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35" windowWidth="11670" windowHeight="9390" activeTab="0"/>
  </bookViews>
  <sheets>
    <sheet name="2018" sheetId="1" r:id="rId1"/>
  </sheets>
  <externalReferences>
    <externalReference r:id="rId4"/>
  </externalReferences>
  <definedNames>
    <definedName name="_xlfn.COUNTIFS" hidden="1">#NAME?</definedName>
    <definedName name="_xlnm.Print_Titles" localSheetId="0">'2018'!$1:$9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JHON WILLIAM TABARES MORALES</author>
    <author>DANIEL SALAZAR CRUZ</author>
  </authors>
  <commentList>
    <comment ref="C118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No existe sistema de acueducto comunitario - solo abastos individuales de aguas lluvias.</t>
        </r>
      </text>
    </comment>
    <comment ref="B17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La empresa de alumbrado público Municipio de Sabaneta  EAPSA operó el sistema de acueducto de la cabecera del municipio hasta el 31 de marzo de 2015, a partir de esa fecha la prestación del servicio fue asumida por la empresa  ASINCOL S.A. E.S.P</t>
        </r>
      </text>
    </comment>
    <comment ref="C17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Servicio Intermitente por horas sin tratamiento</t>
        </r>
      </text>
    </comment>
    <comment ref="C69" authorId="1">
      <text>
        <r>
          <rPr>
            <b/>
            <sz val="9"/>
            <rFont val="Tahoma"/>
            <family val="2"/>
          </rPr>
          <t>JHON WILLIAM TABARES MORALES:</t>
        </r>
        <r>
          <rPr>
            <sz val="9"/>
            <rFont val="Tahoma"/>
            <family val="2"/>
          </rPr>
          <t xml:space="preserve">
Opera el sistema urbano desde julio de 2015</t>
        </r>
      </text>
    </comment>
    <comment ref="L134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del mes. No se igresó el valor del aluminio en la muestra 2015-08-2514_A</t>
        </r>
      </text>
    </comment>
    <comment ref="Q134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anual por corrección del Irca del mes de Agosto.</t>
        </r>
      </text>
    </comment>
  </commentList>
</comments>
</file>

<file path=xl/sharedStrings.xml><?xml version="1.0" encoding="utf-8"?>
<sst xmlns="http://schemas.openxmlformats.org/spreadsheetml/2006/main" count="585" uniqueCount="332">
  <si>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</si>
  <si>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</si>
  <si>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</si>
  <si>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</si>
  <si>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</si>
  <si>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</si>
  <si>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</si>
  <si>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</si>
  <si>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</si>
  <si>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</si>
  <si>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</si>
  <si>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</si>
  <si>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</si>
  <si>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</si>
  <si>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</si>
  <si>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</si>
  <si>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</si>
  <si>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Asociacion Usuarios La Habana</t>
  </si>
  <si>
    <t>SECRETARIA SECCIONAL DE SALUD Y PROTECCION SOCIAL DE ANTIOQUIA</t>
  </si>
  <si>
    <t>Aguas de Heliconia S.A E.S.P.</t>
  </si>
  <si>
    <t>Empresas Públicas de Hispania S.A. E.S.P.</t>
  </si>
  <si>
    <t>Aguas de Maceo S.A.S 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</si>
  <si>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</si>
  <si>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</si>
  <si>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</si>
  <si>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</si>
  <si>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</si>
  <si>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</si>
  <si>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</si>
  <si>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</si>
  <si>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</si>
  <si>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>ESP de Argelia de Maria  ESPAM S.A.</t>
  </si>
  <si>
    <t>Municipio de Zaragoza - Sistema La Temperatura</t>
  </si>
  <si>
    <t>Municipio de Zaragoza - Sistema La Balsita</t>
  </si>
  <si>
    <t>Empresa de Servicios Públicos  S.A. E.S.P</t>
  </si>
  <si>
    <t>Servidonmatías E.S.P. S.A.S.</t>
  </si>
  <si>
    <t>Asociación de Usuarios Acueducto Barrio Alto del Calvario</t>
  </si>
  <si>
    <t>Junta de Acción Comunal Chapinero</t>
  </si>
  <si>
    <t>EE. PP Medellín -Villa Hermosa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</si>
  <si>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</si>
  <si>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</si>
  <si>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</si>
  <si>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</si>
  <si>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</si>
  <si>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</si>
  <si>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</si>
  <si>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</si>
  <si>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</si>
  <si>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</si>
  <si>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</si>
  <si>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</si>
  <si>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</si>
  <si>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</si>
  <si>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</si>
  <si>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</si>
  <si>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</si>
  <si>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</si>
  <si>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</si>
  <si>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</si>
  <si>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</si>
  <si>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</si>
  <si>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</si>
  <si>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</si>
  <si>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</si>
  <si>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</si>
  <si>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</si>
  <si>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</si>
  <si>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</si>
  <si>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</si>
  <si>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</si>
  <si>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</si>
  <si>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</si>
  <si>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</si>
  <si>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</si>
  <si>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</si>
  <si>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</si>
  <si>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</si>
  <si>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</si>
  <si>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</si>
  <si>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</si>
  <si>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</si>
  <si>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</si>
  <si>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</si>
  <si>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</si>
  <si>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</si>
  <si>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</si>
  <si>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</si>
  <si>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</si>
  <si>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</si>
  <si>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</si>
  <si>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</si>
  <si>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</si>
  <si>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</si>
  <si>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</si>
  <si>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</si>
  <si>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</si>
  <si>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</si>
  <si>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</si>
  <si>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</si>
  <si>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</si>
  <si>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</si>
  <si>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</si>
  <si>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</si>
  <si>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</si>
  <si>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</si>
  <si>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</si>
  <si>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</si>
  <si>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</si>
  <si>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</si>
  <si>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</si>
  <si>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</si>
  <si>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</si>
  <si>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</si>
  <si>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</si>
  <si>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</si>
  <si>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</si>
  <si>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</si>
  <si>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</si>
  <si>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</si>
  <si>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</si>
  <si>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</si>
  <si>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</si>
  <si>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</si>
  <si>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</si>
  <si>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</si>
  <si>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</si>
  <si>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</si>
  <si>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</si>
  <si>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</si>
  <si>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</si>
  <si>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</si>
  <si>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</si>
  <si>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</si>
  <si>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</si>
  <si>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</si>
  <si>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</si>
  <si>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</si>
  <si>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</si>
  <si>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</si>
  <si>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</si>
  <si>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</si>
  <si>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</si>
  <si>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</si>
  <si>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</si>
  <si>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</si>
  <si>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</si>
  <si>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</si>
  <si>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</si>
  <si>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</si>
  <si>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</si>
  <si>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</si>
  <si>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</si>
  <si>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</si>
  <si>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</si>
  <si>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</si>
  <si>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</si>
  <si>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</si>
  <si>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</si>
  <si>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</si>
  <si>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</si>
  <si>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</si>
  <si>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</si>
  <si>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</si>
  <si>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</si>
  <si>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</si>
  <si>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</si>
  <si>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</si>
  <si>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</si>
  <si>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</si>
  <si>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</si>
  <si>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</si>
  <si>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</si>
  <si>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</si>
  <si>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</si>
  <si>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</si>
  <si>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</si>
  <si>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</si>
  <si>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</si>
  <si>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</si>
  <si>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</si>
  <si>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</si>
  <si>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</si>
  <si>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</si>
  <si>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</si>
  <si>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</si>
  <si>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</si>
  <si>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</si>
  <si>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</si>
  <si>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</si>
  <si>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</si>
  <si>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 xml:space="preserve">Nordeste </t>
  </si>
  <si>
    <t>Total</t>
  </si>
  <si>
    <t>Numero Sistemas</t>
  </si>
  <si>
    <t>Aguas y Aseo de Yondó S.A. E.S.P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</si>
  <si>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</si>
  <si>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</si>
  <si>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</si>
  <si>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</si>
  <si>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>Empresas Públicas de Amagá  - EPAMA  S.A E.S.P.</t>
  </si>
  <si>
    <t>Acueductos y Alcantarillados Sostenibles S.A. E.S.P -Sistema San Ignacio</t>
  </si>
  <si>
    <t>Dirección de Servicios Públicos Domiciliarios de Angelópolis</t>
  </si>
  <si>
    <t>Empresas de Servicios Públicos Domiciliarios de Angostura S.A.  E.S.P.</t>
  </si>
  <si>
    <t>Acueductos y Alcantarillados Sostenibles S.A. E.S.P</t>
  </si>
  <si>
    <t>Unidad de Servicios Públicos de Anzá</t>
  </si>
  <si>
    <t>Aguas Regionales E.P.M.  S.A.  E.S.P</t>
  </si>
  <si>
    <t>Acueductos y Alcantarillados Sostenibles S.A. E.S.P.</t>
  </si>
  <si>
    <t>EE. PP Medellín E.S.P.</t>
  </si>
  <si>
    <t>Empresas Públicas de Belmira E.S.P.</t>
  </si>
  <si>
    <t>Empresas Públicas Municipales de Betania S.A. E.S.P.</t>
  </si>
  <si>
    <t>Empresas Públicas de Betulia S.A. E.S.P.</t>
  </si>
  <si>
    <t>Empresas Públicas de Briceño S.A. E.S.P.</t>
  </si>
  <si>
    <t>Empresa de Servicios Públicos Domiciliarios-SER Buriticá S.A E.S.P.</t>
  </si>
  <si>
    <t>Aguascol S.A. E.S.P.</t>
  </si>
  <si>
    <t>Unidad Municipal de Servicios Públicos Domiciliarios de Caicedo</t>
  </si>
  <si>
    <t>Asociación de Suscriptores del Acueducto La Rápida "ASDAR"</t>
  </si>
  <si>
    <t>Asociación de Suscriptores de Acueducto y Alcantarillado Mandalay</t>
  </si>
  <si>
    <t>Unidad de Servicios Públicos Domiciliarios  de Campamento</t>
  </si>
  <si>
    <t>Empresas Públicas  de Cañasgordas S.A. E.S.P</t>
  </si>
  <si>
    <t>Empresas de Servicios Públicos Domiciliarios de Caracolí S.A E.S.P</t>
  </si>
  <si>
    <t xml:space="preserve">Empresas Públicas de Caramanta S.A.S. E.S.P. 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</si>
  <si>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</si>
  <si>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</si>
  <si>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</si>
  <si>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</si>
  <si>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10</t>
  </si>
  <si>
    <t>Empresa de Servicios Públicos Domiciliarios S.A. E.S.P - Sistema Algarrobo - El Caney</t>
  </si>
  <si>
    <t>Empresa de Servicios Públicos Domiciliarios S.A. E.S.P - Sistema Buenos Aires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</si>
  <si>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</si>
  <si>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</si>
  <si>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</si>
  <si>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</si>
  <si>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Empresa de Servicios Públicos Domiciliarios S.A E.S.P - Sistema El Zarzal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</si>
  <si>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</si>
  <si>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</si>
  <si>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</si>
  <si>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</si>
  <si>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EE. PP Medellín S.A E.S.P</t>
  </si>
  <si>
    <t>Empresas Públicas de Dabeiba S.A.S. E.S.P. Cabecera Municipal</t>
  </si>
  <si>
    <t>Empresas Públicas de Dabeiba S.A.S. E.S.P. Barrio Bernardo Guerra</t>
  </si>
  <si>
    <t>Junta de Acción Comunal Barrio Alfonso López</t>
  </si>
  <si>
    <t>Empresa de Servicios Públicos de Ebejico E.S.P</t>
  </si>
  <si>
    <t>Empresa Municipal de Acueducto, Alcantarillado y Aseo de El Bagre S.A.  E.S.P</t>
  </si>
  <si>
    <t>Acueducto Mineros S.A</t>
  </si>
  <si>
    <t xml:space="preserve"> La Cimarrona E.S.P.  S.A</t>
  </si>
  <si>
    <t>Empresas Públicas del Municipio de El Santuario E.S.P.</t>
  </si>
  <si>
    <t>Asociación de Usuarios Acueducto Barrio Monseñor Ignacio Botero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</si>
  <si>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</si>
  <si>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</si>
  <si>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</si>
  <si>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</si>
  <si>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>Empresa de Servicios Públicos Domiciliarios S.A E.S.P - EMPUGI S.A. E.S.P</t>
  </si>
  <si>
    <t>Unidad de Servicios Públicos Domiciliarios de Gómez Plata</t>
  </si>
  <si>
    <t xml:space="preserve">Empresa de Servicios Públicos de Granada - ESPG  E.S.P. </t>
  </si>
  <si>
    <t>Empresa de Servicios Públicos de Guadalupe S.A.S. E.S.P.</t>
  </si>
  <si>
    <t xml:space="preserve">Aquaterra  E.S.P.  de Guarne </t>
  </si>
  <si>
    <t xml:space="preserve">Empresa de Servicios Públicos de Guatapé </t>
  </si>
  <si>
    <t>EE. PP Medellín  E.S.P.</t>
  </si>
  <si>
    <t>Empresa de Servicios Públicos Domiciliariosde Ituango - SERVITUANGO  S.A. E.S.P</t>
  </si>
  <si>
    <t>Ingeniería Total S.A. E.S.P.</t>
  </si>
  <si>
    <t>Empresas Públicas de Jericó S.A.  E.S.P.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</si>
  <si>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</si>
  <si>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</si>
  <si>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</si>
  <si>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</si>
  <si>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Empresas Públicas de La Pintada S.A. E.S.P.</t>
  </si>
  <si>
    <t>Empresa de Servicios Públicos de La Union S.A.  E.S.P.</t>
  </si>
  <si>
    <t>Empresa de Servicios Públicos Domiciliarios de Liborina S.A E.S.P</t>
  </si>
  <si>
    <t>Empresa de Servicios Públicos de San José de Marinilla  E.S.P</t>
  </si>
  <si>
    <t>Corporación de Servicios Públicos de Belén - CORBELÉN</t>
  </si>
  <si>
    <t>Municipio de Murindó</t>
  </si>
  <si>
    <t>Unidad de Servicios Públicos Domiciliarios de Nariño - Sistema Santa Clara</t>
  </si>
  <si>
    <t>Unidad de Servicios Públicos Domiciliarios de Nariño -  Sistema Cabuyo</t>
  </si>
  <si>
    <t>Aguascol S.A E.S.P</t>
  </si>
  <si>
    <t>Sistemas Públicos - SISPUB  S.A. E.S.P.</t>
  </si>
  <si>
    <t>Aguas Regionales E.P.M. S.A E.S.P</t>
  </si>
  <si>
    <t>Unidad de Servicios Públicos Domiciliarios  de Peque</t>
  </si>
  <si>
    <t>Empresa Pueblorriqueña de Acueducto, Alcantarillado y Aseo - EPAAA  S.A E.S.P</t>
  </si>
  <si>
    <t>Aguas del Puerto S.A E.S.P</t>
  </si>
  <si>
    <t>Empresas Públicas Municipales de Puerto Nare E.S.P</t>
  </si>
  <si>
    <t>Aguas y Servicios del Ité S.A.S.  E.S.P</t>
  </si>
  <si>
    <t>Corporación de Acueducto del Barrio Agua Plan</t>
  </si>
  <si>
    <t xml:space="preserve">Empresas Públicas de Rionegro - E.P. RIO  S.A.  E.S.P </t>
  </si>
  <si>
    <t>Empresa de Servicios Públicos Domiciliarios de  Sabanalarga S.A E.S.P</t>
  </si>
  <si>
    <t>Empresas Públicas de Salgar S.A  E.S.P</t>
  </si>
  <si>
    <t>Empresas Públicas de San Andrés de Cuerquia  S.A. E.S.P.</t>
  </si>
  <si>
    <t>Unidad de Servicios Públicos de Aguas y Aseo del Tabor</t>
  </si>
  <si>
    <t>Empresa de Servicios Públicos de San Francisco</t>
  </si>
  <si>
    <t>Aguas Regionales E.P.M S.A E.S.P</t>
  </si>
  <si>
    <t>Municipio San Juan de Urabá</t>
  </si>
  <si>
    <t>Empresas Públicas de San Luis S.A. E.S.P. - Sistema La Cristalina</t>
  </si>
  <si>
    <t>Empresas Publicas de San Luis  S.A. E.S.P. - Sistema La Risaralda</t>
  </si>
  <si>
    <t>Acueductos y Alcantarillados Sostenibles S.A.  E.S.P</t>
  </si>
  <si>
    <t>Empresas Públicas de San Rafael S.A. E.S.P</t>
  </si>
  <si>
    <t>Empresas Públicas de San Roque S.A.S.  E.S.P.</t>
  </si>
  <si>
    <t>Empresa de Servicios Públicos Domiciliarios de Acueducto, Alcantarillado y Aseo S.A.  E.S.P</t>
  </si>
  <si>
    <t>Aguas de Pocuné S.A.S.  E.S.P</t>
  </si>
  <si>
    <t>Aguas del Páramo S.A.S.  E.S.P.</t>
  </si>
  <si>
    <t>Aguas Regionales E.P.M  S.A.  E.S.P</t>
  </si>
  <si>
    <t>Empresa de Servicios Públicos Domiciliarios de Támesis S.A.S.  E.S.P.</t>
  </si>
  <si>
    <t xml:space="preserve">Asociación Junta Administradora Acueducto Comunitario Las Isazas </t>
  </si>
  <si>
    <t>Unidad de Servicios Públicos Domiciliarios E.S.P.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</si>
  <si>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</si>
  <si>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</si>
  <si>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</si>
  <si>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Empresas Públicas de Valdivia  S.A.  E.S.P.</t>
  </si>
  <si>
    <t xml:space="preserve">Empresa de Servicios Públicos Domiciliarios de Valparaíso S.A.S.  E.S.P. </t>
  </si>
  <si>
    <t>Empresas Públicas de Vegachí S.A.  E.S.P.</t>
  </si>
  <si>
    <t>Acueductos y Alcantarillados Sostenibles S.A.  E.S.P.</t>
  </si>
  <si>
    <t>Municipio de Vigía del Fuerte</t>
  </si>
  <si>
    <t>Empresa de Servicios Públicos de Yalí S.A. E.S.P</t>
  </si>
  <si>
    <t xml:space="preserve">Aguas del Norte Antioqueño S.A E.S.P                                       </t>
  </si>
  <si>
    <t>Junta de Acción Comunal Acueducto La Inmaculada No. 1</t>
  </si>
  <si>
    <t>Empresa de Servicios Públicos de Yolombó S.A E.S.P</t>
  </si>
  <si>
    <t>SD</t>
  </si>
  <si>
    <t>Convenciones:</t>
  </si>
  <si>
    <r>
      <rPr>
        <sz val="12"/>
        <rFont val="Verdana"/>
        <family val="2"/>
      </rPr>
      <t xml:space="preserve">0.0 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</si>
  <si>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</si>
  <si>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</si>
  <si>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80.1 - 100 %:
</t>
    </r>
    <r>
      <rPr>
        <b/>
        <sz val="12"/>
        <rFont val="Verdana"/>
        <family val="2"/>
      </rPr>
      <t xml:space="preserve"> Inviable Sanitariamente</t>
    </r>
  </si>
  <si>
    <t>PERSONA  PRESTADORA DEL SERVICIO</t>
  </si>
  <si>
    <r>
      <rPr>
        <b/>
        <sz val="12"/>
        <color indexed="8"/>
        <rFont val="Calibri"/>
        <family val="2"/>
      </rPr>
      <t>Indice de Riesgo de Calidad del Agua Potable - IRCA- (Promedio Anual)</t>
    </r>
    <r>
      <rPr>
        <sz val="12"/>
        <color indexed="8"/>
        <rFont val="Calibri"/>
        <family val="2"/>
      </rPr>
      <t xml:space="preserve">: Certifica la Calidad del Agua Suministrada. </t>
    </r>
  </si>
  <si>
    <r>
      <rPr>
        <sz val="12"/>
        <rFont val="Verdana"/>
        <family val="2"/>
      </rPr>
      <t>14.1  - 35 %:</t>
    </r>
    <r>
      <rPr>
        <b/>
        <sz val="12"/>
        <rFont val="Verdana"/>
        <family val="2"/>
      </rPr>
      <t xml:space="preserve">          Riesgo Medio</t>
    </r>
  </si>
  <si>
    <t>% IRCA PROMEDIO ENERO - DIC /2017</t>
  </si>
  <si>
    <t>Empresa de Servicios Públicos de Andes - EEPPA  S.A. E.S.P - La Palmera</t>
  </si>
  <si>
    <t>Empresa de Servicios Públicos de Andes - EEPPA  S.A. E.S.P   - Maria Auxiliadora</t>
  </si>
  <si>
    <t>Aguascol S.A. E.S.P. - Sistema Pozo 8</t>
  </si>
  <si>
    <t>Aguascol S.A. E.S.P. - Sistema Pozo 11</t>
  </si>
  <si>
    <t>Junta de Acción Comunal Barrio El Carmelo</t>
  </si>
  <si>
    <t>CONSOLIDADO  INDICE DE RIESGO DE CALIDAD DEL AGUA PARA CONSUMO HUMANO - IRCA MENSUAL ACUEDUCTOS URBANOS -  ANTIOQUIA 2018</t>
  </si>
  <si>
    <t>Junta Acción Comunal El Turista</t>
  </si>
  <si>
    <t>Asociación de Usuarios del Barrio El Mirador II</t>
  </si>
  <si>
    <t>Junta de Acción Comunal El Bosque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</si>
</sst>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70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56"/>
      <name val="Calibri"/>
      <family val="0"/>
    </font>
    <font>
      <sz val="12"/>
      <color indexed="8"/>
      <name val="Arial"/>
      <family val="0"/>
    </font>
    <font>
      <sz val="14"/>
      <color indexed="8"/>
      <name val="Calibri"/>
      <family val="0"/>
    </font>
    <font>
      <sz val="10.85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80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81" fontId="10" fillId="3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181" fontId="3" fillId="37" borderId="14" xfId="0" applyNumberFormat="1" applyFont="1" applyFill="1" applyBorder="1" applyAlignment="1">
      <alignment horizontal="center" vertical="center"/>
    </xf>
    <xf numFmtId="2" fontId="3" fillId="37" borderId="14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1" fontId="3" fillId="37" borderId="14" xfId="0" applyNumberFormat="1" applyFont="1" applyFill="1" applyBorder="1" applyAlignment="1">
      <alignment horizontal="center" vertical="top"/>
    </xf>
    <xf numFmtId="2" fontId="3" fillId="37" borderId="14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0" fontId="3" fillId="36" borderId="14" xfId="45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vertical="center"/>
    </xf>
    <xf numFmtId="181" fontId="3" fillId="38" borderId="14" xfId="0" applyNumberFormat="1" applyFont="1" applyFill="1" applyBorder="1" applyAlignment="1">
      <alignment horizontal="center" vertical="center"/>
    </xf>
    <xf numFmtId="2" fontId="3" fillId="39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justify" vertical="center" wrapText="1"/>
    </xf>
    <xf numFmtId="0" fontId="68" fillId="0" borderId="0" xfId="0" applyFont="1" applyFill="1" applyBorder="1" applyAlignment="1">
      <alignment vertical="center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 wrapText="1"/>
    </xf>
    <xf numFmtId="180" fontId="3" fillId="0" borderId="14" xfId="45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2" fillId="35" borderId="14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6" fillId="40" borderId="14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0" fontId="16" fillId="42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7" borderId="1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0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43" borderId="14" xfId="0" applyFont="1" applyFill="1" applyBorder="1" applyAlignment="1">
      <alignment horizontal="center" vertical="center" wrapText="1"/>
    </xf>
    <xf numFmtId="0" fontId="16" fillId="44" borderId="14" xfId="0" applyFont="1" applyFill="1" applyBorder="1" applyAlignment="1">
      <alignment horizontal="center" vertical="center" wrapText="1"/>
    </xf>
    <xf numFmtId="2" fontId="0" fillId="35" borderId="16" xfId="0" applyNumberFormat="1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3" fillId="36" borderId="14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2018</a:t>
            </a:r>
          </a:p>
        </c:rich>
      </c:tx>
      <c:layout>
        <c:manualLayout>
          <c:xMode val="factor"/>
          <c:yMode val="factor"/>
          <c:x val="-0.00875"/>
          <c:y val="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825"/>
          <c:w val="0.946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'2018'!$V$6:$V$14</c:f>
              <c:numCache/>
            </c:numRef>
          </c:val>
        </c:ser>
        <c:axId val="48005153"/>
        <c:axId val="29393194"/>
      </c:barChart>
      <c:barChart>
        <c:barDir val="col"/>
        <c:grouping val="clustered"/>
        <c:varyColors val="0"/>
        <c:ser>
          <c:idx val="1"/>
          <c:order val="1"/>
          <c:tx>
            <c:strRef>
              <c:f>'2018'!$W$1:$W$5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'2018'!$W$6:$W$14</c:f>
              <c:numCache/>
            </c:numRef>
          </c:val>
        </c:ser>
        <c:axId val="63212155"/>
        <c:axId val="32038484"/>
      </c:barChart>
      <c:catAx>
        <c:axId val="48005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93194"/>
        <c:crossesAt val="0"/>
        <c:auto val="1"/>
        <c:lblOffset val="100"/>
        <c:tickLblSkip val="1"/>
        <c:noMultiLvlLbl val="0"/>
      </c:catAx>
      <c:valAx>
        <c:axId val="29393194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005153"/>
        <c:crossesAt val="1"/>
        <c:crossBetween val="between"/>
        <c:dispUnits/>
        <c:majorUnit val="5"/>
        <c:minorUnit val="1"/>
      </c:valAx>
      <c:catAx>
        <c:axId val="63212155"/>
        <c:scaling>
          <c:orientation val="minMax"/>
        </c:scaling>
        <c:axPos val="b"/>
        <c:delete val="1"/>
        <c:majorTickMark val="out"/>
        <c:minorTickMark val="none"/>
        <c:tickLblPos val="nextTo"/>
        <c:crossAx val="32038484"/>
        <c:crosses val="autoZero"/>
        <c:auto val="1"/>
        <c:lblOffset val="100"/>
        <c:tickLblSkip val="1"/>
        <c:noMultiLvlLbl val="0"/>
      </c:catAx>
      <c:valAx>
        <c:axId val="320384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32121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75"/>
          <c:y val="0.93575"/>
          <c:w val="0.499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2018</a:t>
            </a:r>
          </a:p>
        </c:rich>
      </c:tx>
      <c:layout>
        <c:manualLayout>
          <c:xMode val="factor"/>
          <c:yMode val="factor"/>
          <c:x val="0.02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53"/>
          <c:y val="0.11575"/>
          <c:w val="0.97525"/>
          <c:h val="0.78825"/>
        </c:manualLayout>
      </c:layout>
      <c:barChart>
        <c:barDir val="bar"/>
        <c:grouping val="stacked"/>
        <c:varyColors val="0"/>
        <c:ser>
          <c:idx val="1"/>
          <c:order val="1"/>
          <c:tx>
            <c:v>Numero</c:v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('2018'!$X$1:$X$5,'2018'!$Z$1:$Z$5,'2018'!$AB$1:$AB$5,'2018'!$AD$1:$AD$5,'2018'!$AF$1:$AF$5,'2018'!$AH$1:$AH$5)</c:f>
              <c:strCache/>
            </c:strRef>
          </c:cat>
          <c:val>
            <c:numRef>
              <c:f>('2018'!$X$15,'2018'!$Z$15,'2018'!$AB$15,'2018'!$AD$15,'2018'!$AF$15,'2018'!$AH$15)</c:f>
              <c:numCache/>
            </c:numRef>
          </c:val>
        </c:ser>
        <c:overlap val="-6"/>
        <c:gapWidth val="114"/>
        <c:axId val="19910901"/>
        <c:axId val="44980382"/>
      </c:barChart>
      <c:barChart>
        <c:barDir val="bar"/>
        <c:grouping val="stacked"/>
        <c:varyColors val="0"/>
        <c:ser>
          <c:idx val="0"/>
          <c:order val="0"/>
          <c:tx>
            <c:v>Porcentaje</c:v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('2018'!$X$1:$X$5,'2018'!$Z$1:$Z$5,'2018'!$AB$1:$AB$5,'2018'!$AD$1:$AD$5)</c:f>
              <c:strCache/>
            </c:strRef>
          </c:cat>
          <c:val>
            <c:numRef>
              <c:f>('2018'!$Y$15,'2018'!$AA$15,'2018'!$AC$15,'2018'!$AE$15,'2018'!$AG$15,'2018'!$AI$15)</c:f>
              <c:numCache/>
            </c:numRef>
          </c:val>
        </c:ser>
        <c:overlap val="-6"/>
        <c:gapWidth val="114"/>
        <c:axId val="2170255"/>
        <c:axId val="19532296"/>
      </c:barChart>
      <c:catAx>
        <c:axId val="19910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0382"/>
        <c:crosses val="autoZero"/>
        <c:auto val="1"/>
        <c:lblOffset val="100"/>
        <c:tickLblSkip val="1"/>
        <c:noMultiLvlLbl val="0"/>
      </c:catAx>
      <c:valAx>
        <c:axId val="44980382"/>
        <c:scaling>
          <c:orientation val="minMax"/>
          <c:max val="1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0901"/>
        <c:crosses val="max"/>
        <c:crossBetween val="between"/>
        <c:dispUnits/>
        <c:majorUnit val="20"/>
      </c:valAx>
      <c:catAx>
        <c:axId val="2170255"/>
        <c:scaling>
          <c:orientation val="minMax"/>
        </c:scaling>
        <c:axPos val="l"/>
        <c:delete val="1"/>
        <c:majorTickMark val="out"/>
        <c:minorTickMark val="none"/>
        <c:tickLblPos val="nextTo"/>
        <c:crossAx val="19532296"/>
        <c:crosses val="autoZero"/>
        <c:auto val="1"/>
        <c:lblOffset val="100"/>
        <c:tickLblSkip val="1"/>
        <c:noMultiLvlLbl val="0"/>
      </c:catAx>
      <c:valAx>
        <c:axId val="19532296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0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025"/>
          <c:w val="0.287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0.827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43725" y="5095875"/>
          <a:ext cx="8667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0.827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72300" y="5095875"/>
          <a:ext cx="84772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0.391</cdr:y>
    </cdr:from>
    <cdr:to>
      <cdr:x>0.96675</cdr:x>
      <cdr:y>0.59825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00775" y="2409825"/>
          <a:ext cx="1304925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0.45275</cdr:y>
    </cdr:from>
    <cdr:to>
      <cdr:x>0.985</cdr:x>
      <cdr:y>0.6915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62700" y="2790825"/>
          <a:ext cx="1285875" cy="1476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0.56575</cdr:y>
    </cdr:from>
    <cdr:to>
      <cdr:x>0.999</cdr:x>
      <cdr:y>0.72825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81825" y="3486150"/>
          <a:ext cx="781050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0.73825</cdr:y>
    </cdr:from>
    <cdr:to>
      <cdr:x>0.95725</cdr:x>
      <cdr:y>0.91875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57975" y="4552950"/>
          <a:ext cx="7715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95250</xdr:rowOff>
    </xdr:from>
    <xdr:to>
      <xdr:col>1</xdr:col>
      <xdr:colOff>1428750</xdr:colOff>
      <xdr:row>6</xdr:row>
      <xdr:rowOff>266700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0"/>
          <a:ext cx="26384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647700</xdr:colOff>
      <xdr:row>15</xdr:row>
      <xdr:rowOff>28575</xdr:rowOff>
    </xdr:from>
    <xdr:to>
      <xdr:col>30</xdr:col>
      <xdr:colOff>409575</xdr:colOff>
      <xdr:row>31</xdr:row>
      <xdr:rowOff>409575</xdr:rowOff>
    </xdr:to>
    <xdr:graphicFrame>
      <xdr:nvGraphicFramePr>
        <xdr:cNvPr id="2" name="1 Gráfico"/>
        <xdr:cNvGraphicFramePr/>
      </xdr:nvGraphicFramePr>
      <xdr:xfrm>
        <a:off x="21288375" y="4838700"/>
        <a:ext cx="7772400" cy="617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409575</xdr:colOff>
      <xdr:row>15</xdr:row>
      <xdr:rowOff>0</xdr:rowOff>
    </xdr:from>
    <xdr:to>
      <xdr:col>41</xdr:col>
      <xdr:colOff>333375</xdr:colOff>
      <xdr:row>31</xdr:row>
      <xdr:rowOff>381000</xdr:rowOff>
    </xdr:to>
    <xdr:graphicFrame>
      <xdr:nvGraphicFramePr>
        <xdr:cNvPr id="3" name="40 Gráfico"/>
        <xdr:cNvGraphicFramePr/>
      </xdr:nvGraphicFramePr>
      <xdr:xfrm>
        <a:off x="29060775" y="4810125"/>
        <a:ext cx="7734300" cy="617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7"/>
  <sheetViews>
    <sheetView tabSelected="1" zoomScale="60" zoomScaleNormal="60" zoomScalePageLayoutView="40" workbookViewId="0" topLeftCell="A1">
      <pane xSplit="3" topLeftCell="D1" activePane="topRight" state="frozen"/>
      <selection pane="topLeft" activeCell="A1" sqref="A1"/>
      <selection pane="topRight" activeCell="C162" sqref="C162"/>
    </sheetView>
  </sheetViews>
  <sheetFormatPr defaultColWidth="11.421875" defaultRowHeight="12.75"/>
  <cols>
    <col min="1" max="1" width="25.7109375" style="0" customWidth="1"/>
    <col min="2" max="2" width="35.42187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3:35" ht="18" customHeight="1">
      <c r="C1" s="57" t="s">
        <v>18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U1" s="85" t="s">
        <v>169</v>
      </c>
      <c r="V1" s="91" t="s">
        <v>192</v>
      </c>
      <c r="W1" s="85" t="s">
        <v>170</v>
      </c>
      <c r="X1" s="91" t="s">
        <v>171</v>
      </c>
      <c r="Y1" s="85" t="s">
        <v>170</v>
      </c>
      <c r="Z1" s="91" t="s">
        <v>172</v>
      </c>
      <c r="AA1" s="85" t="s">
        <v>170</v>
      </c>
      <c r="AB1" s="91" t="s">
        <v>173</v>
      </c>
      <c r="AC1" s="85" t="s">
        <v>170</v>
      </c>
      <c r="AD1" s="91" t="s">
        <v>174</v>
      </c>
      <c r="AE1" s="85" t="s">
        <v>170</v>
      </c>
      <c r="AF1" s="91" t="s">
        <v>175</v>
      </c>
      <c r="AG1" s="85" t="s">
        <v>170</v>
      </c>
      <c r="AH1" s="91" t="s">
        <v>47</v>
      </c>
      <c r="AI1" s="85" t="s">
        <v>170</v>
      </c>
    </row>
    <row r="2" spans="3:35" ht="18">
      <c r="C2" s="58" t="s">
        <v>11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U2" s="85"/>
      <c r="V2" s="91"/>
      <c r="W2" s="85"/>
      <c r="X2" s="91"/>
      <c r="Y2" s="85"/>
      <c r="Z2" s="91"/>
      <c r="AA2" s="85"/>
      <c r="AB2" s="91"/>
      <c r="AC2" s="85"/>
      <c r="AD2" s="91"/>
      <c r="AE2" s="85"/>
      <c r="AF2" s="91"/>
      <c r="AG2" s="85"/>
      <c r="AH2" s="91"/>
      <c r="AI2" s="85"/>
    </row>
    <row r="3" spans="3:35" ht="15" customHeight="1">
      <c r="C3" s="63" t="s">
        <v>328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  <c r="U3" s="85"/>
      <c r="V3" s="91"/>
      <c r="W3" s="85"/>
      <c r="X3" s="91"/>
      <c r="Y3" s="85"/>
      <c r="Z3" s="91"/>
      <c r="AA3" s="85"/>
      <c r="AB3" s="91"/>
      <c r="AC3" s="85"/>
      <c r="AD3" s="91"/>
      <c r="AE3" s="85"/>
      <c r="AF3" s="91"/>
      <c r="AG3" s="85"/>
      <c r="AH3" s="91"/>
      <c r="AI3" s="85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85"/>
      <c r="V4" s="91"/>
      <c r="W4" s="85"/>
      <c r="X4" s="91"/>
      <c r="Y4" s="85"/>
      <c r="Z4" s="91"/>
      <c r="AA4" s="85"/>
      <c r="AB4" s="91"/>
      <c r="AC4" s="85"/>
      <c r="AD4" s="91"/>
      <c r="AE4" s="85"/>
      <c r="AF4" s="91"/>
      <c r="AG4" s="85"/>
      <c r="AH4" s="91"/>
      <c r="AI4" s="85"/>
    </row>
    <row r="5" spans="2:35" ht="12.75" customHeight="1">
      <c r="B5" s="32"/>
      <c r="C5" s="70" t="s">
        <v>314</v>
      </c>
      <c r="D5" s="86" t="s">
        <v>47</v>
      </c>
      <c r="E5" s="86"/>
      <c r="F5" s="87" t="s">
        <v>315</v>
      </c>
      <c r="G5" s="87"/>
      <c r="H5" s="87"/>
      <c r="I5" s="88" t="s">
        <v>316</v>
      </c>
      <c r="J5" s="88"/>
      <c r="K5" s="88"/>
      <c r="L5" s="71" t="s">
        <v>321</v>
      </c>
      <c r="M5" s="71"/>
      <c r="N5" s="71"/>
      <c r="O5" s="74" t="s">
        <v>317</v>
      </c>
      <c r="P5" s="74"/>
      <c r="Q5" s="74"/>
      <c r="R5" s="75" t="s">
        <v>318</v>
      </c>
      <c r="S5" s="75"/>
      <c r="U5" s="85"/>
      <c r="V5" s="91"/>
      <c r="W5" s="85"/>
      <c r="X5" s="91"/>
      <c r="Y5" s="85"/>
      <c r="Z5" s="91"/>
      <c r="AA5" s="85"/>
      <c r="AB5" s="91"/>
      <c r="AC5" s="85"/>
      <c r="AD5" s="91"/>
      <c r="AE5" s="85"/>
      <c r="AF5" s="91"/>
      <c r="AG5" s="85"/>
      <c r="AH5" s="91"/>
      <c r="AI5" s="85"/>
    </row>
    <row r="6" spans="2:35" ht="24.75" customHeight="1">
      <c r="B6" s="32"/>
      <c r="C6" s="70"/>
      <c r="D6" s="86"/>
      <c r="E6" s="86"/>
      <c r="F6" s="87"/>
      <c r="G6" s="87"/>
      <c r="H6" s="87"/>
      <c r="I6" s="88"/>
      <c r="J6" s="88"/>
      <c r="K6" s="88"/>
      <c r="L6" s="71"/>
      <c r="M6" s="71"/>
      <c r="N6" s="71"/>
      <c r="O6" s="74"/>
      <c r="P6" s="74"/>
      <c r="Q6" s="74"/>
      <c r="R6" s="75"/>
      <c r="S6" s="75"/>
      <c r="U6" s="23" t="s">
        <v>176</v>
      </c>
      <c r="V6" s="24">
        <f>COUNTIF('2018'!A:A,"Valle de Aburra")-_xlfn.COUNTIFS('2018'!A:A,"Valle de Aburra",'2018'!C:C,"")</f>
        <v>20</v>
      </c>
      <c r="W6" s="25">
        <f>(V6/$V$15)*100</f>
        <v>11.428571428571429</v>
      </c>
      <c r="X6" s="24">
        <f>_xlfn.COUNTIFS('2018'!A:A,"Valle de Aburra",'2018'!S:S,"Sin Riesgo")</f>
        <v>18</v>
      </c>
      <c r="Y6" s="25">
        <f>(X6/V6)*100</f>
        <v>90</v>
      </c>
      <c r="Z6" s="24">
        <f>_xlfn.COUNTIFS('2018'!A:A,"Valle de Aburra",'2018'!S:S,"Bajo")</f>
        <v>1</v>
      </c>
      <c r="AA6" s="25">
        <f>(Z6/V6)*100</f>
        <v>5</v>
      </c>
      <c r="AB6" s="24">
        <f>_xlfn.COUNTIFS('2018'!A:A,"Valle de Aburra",'2018'!S:S,"Medio")</f>
        <v>1</v>
      </c>
      <c r="AC6" s="25">
        <f>(AB6/V6)*100</f>
        <v>5</v>
      </c>
      <c r="AD6" s="24">
        <f>_xlfn.COUNTIFS('2018'!A:A,"Valle de Aburra",'2018'!S:S,"Alto")</f>
        <v>0</v>
      </c>
      <c r="AE6" s="25">
        <f>(AD6/V6)*100</f>
        <v>0</v>
      </c>
      <c r="AF6" s="24">
        <f>_xlfn.COUNTIFS('2018'!A:A,"Valle de Aburra",'2018'!S:S,"Inviable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2:35" ht="24.75" customHeight="1">
      <c r="B7" s="33"/>
      <c r="C7" s="33"/>
      <c r="D7" s="34"/>
      <c r="E7" s="34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U7" s="27" t="s">
        <v>184</v>
      </c>
      <c r="V7" s="24">
        <f>COUNTIF('2018'!A:A,"Uraba")-_xlfn.COUNTIFS('2018'!A:A,"Uraba",'2018'!C:C,"")</f>
        <v>12</v>
      </c>
      <c r="W7" s="25">
        <f aca="true" t="shared" si="0" ref="W7:W15">(V7/$V$15)*100</f>
        <v>6.857142857142858</v>
      </c>
      <c r="X7" s="24">
        <f>_xlfn.COUNTIFS('2018'!A:A,"Uraba",'2018'!S:S,"Sin Riesgo")</f>
        <v>8</v>
      </c>
      <c r="Y7" s="25">
        <f aca="true" t="shared" si="1" ref="Y7:Y15">(X7/V7)*100</f>
        <v>66.66666666666666</v>
      </c>
      <c r="Z7" s="24">
        <f>_xlfn.COUNTIFS('2018'!A:A,"Uraba",'2018'!S:S,"Bajo")</f>
        <v>2</v>
      </c>
      <c r="AA7" s="25">
        <f aca="true" t="shared" si="2" ref="AA7:AA15">(Z7/V7)*100</f>
        <v>16.666666666666664</v>
      </c>
      <c r="AB7" s="24">
        <f>_xlfn.COUNTIFS('2018'!A:A,"Uraba",'2018'!S:S,"Medio")</f>
        <v>0</v>
      </c>
      <c r="AC7" s="25">
        <f aca="true" t="shared" si="3" ref="AC7:AC15">(AB7/V7)*100</f>
        <v>0</v>
      </c>
      <c r="AD7" s="24">
        <f>_xlfn.COUNTIFS('2018'!A:A,"Uraba",'2018'!S:S,"Alto")</f>
        <v>0</v>
      </c>
      <c r="AE7" s="25">
        <f aca="true" t="shared" si="4" ref="AE7:AE15">(AD7/V7)*100</f>
        <v>0</v>
      </c>
      <c r="AF7" s="24">
        <f>_xlfn.COUNTIFS('2018'!A:A,"Uraba",'2018'!S:S,"Inviable Sanitariamente")</f>
        <v>0</v>
      </c>
      <c r="AG7" s="25">
        <f aca="true" t="shared" si="5" ref="AG7:AG15">(AF7/V7)*100</f>
        <v>0</v>
      </c>
      <c r="AH7" s="26">
        <f aca="true" t="shared" si="6" ref="AH7:AH15">V7-(X7+Z7+AB7+AD7+AF7)</f>
        <v>2</v>
      </c>
      <c r="AI7" s="25">
        <f aca="true" t="shared" si="7" ref="AI7:AI15">(AH7/V7)*100</f>
        <v>16.666666666666664</v>
      </c>
    </row>
    <row r="8" spans="1:35" ht="24.75" customHeight="1">
      <c r="A8" s="66" t="s">
        <v>178</v>
      </c>
      <c r="B8" s="67" t="s">
        <v>0</v>
      </c>
      <c r="C8" s="68" t="s">
        <v>319</v>
      </c>
      <c r="D8" s="78" t="s">
        <v>29</v>
      </c>
      <c r="E8" s="82">
        <v>2018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89" t="s">
        <v>322</v>
      </c>
      <c r="R8" s="72" t="s">
        <v>12</v>
      </c>
      <c r="S8" s="68" t="s">
        <v>16</v>
      </c>
      <c r="T8" s="1"/>
      <c r="U8" s="28" t="s">
        <v>183</v>
      </c>
      <c r="V8" s="24">
        <f>COUNTIF('2018'!A:A,"Norte")-_xlfn.COUNTIFS('2018'!A:A,"Norte",'2018'!C:C,"")</f>
        <v>19</v>
      </c>
      <c r="W8" s="25">
        <f t="shared" si="0"/>
        <v>10.857142857142858</v>
      </c>
      <c r="X8" s="24">
        <f>_xlfn.COUNTIFS('2018'!A:A,"Norte",'2018'!S:S,"Sin Riesgo")</f>
        <v>16</v>
      </c>
      <c r="Y8" s="25">
        <f t="shared" si="1"/>
        <v>84.21052631578947</v>
      </c>
      <c r="Z8" s="24">
        <f>_xlfn.COUNTIFS('2018'!A:A,"Norte",'2018'!S:S,"Bajo")</f>
        <v>1</v>
      </c>
      <c r="AA8" s="25">
        <f t="shared" si="2"/>
        <v>5.263157894736842</v>
      </c>
      <c r="AB8" s="24">
        <f>_xlfn.COUNTIFS('2018'!A:A,"Norte",'2018'!S:S,"Medio")</f>
        <v>0</v>
      </c>
      <c r="AC8" s="25">
        <f t="shared" si="3"/>
        <v>0</v>
      </c>
      <c r="AD8" s="24">
        <f>_xlfn.COUNTIFS('2018'!A:A,"Norte",'2018'!S:S,"Alto")</f>
        <v>1</v>
      </c>
      <c r="AE8" s="25">
        <f t="shared" si="4"/>
        <v>5.263157894736842</v>
      </c>
      <c r="AF8" s="24">
        <f>_xlfn.COUNTIFS('2018'!A:A,"Norte",'2018'!S:S,"Inviable Sanitariamente")</f>
        <v>1</v>
      </c>
      <c r="AG8" s="25">
        <f t="shared" si="5"/>
        <v>5.263157894736842</v>
      </c>
      <c r="AH8" s="26">
        <f t="shared" si="6"/>
        <v>0</v>
      </c>
      <c r="AI8" s="25">
        <f t="shared" si="7"/>
        <v>0</v>
      </c>
    </row>
    <row r="9" spans="1:35" ht="24.75" customHeight="1">
      <c r="A9" s="66"/>
      <c r="B9" s="66"/>
      <c r="C9" s="69"/>
      <c r="D9" s="79"/>
      <c r="E9" s="18" t="s">
        <v>28</v>
      </c>
      <c r="F9" s="18" t="s">
        <v>27</v>
      </c>
      <c r="G9" s="18" t="s">
        <v>26</v>
      </c>
      <c r="H9" s="18" t="s">
        <v>1</v>
      </c>
      <c r="I9" s="18" t="s">
        <v>2</v>
      </c>
      <c r="J9" s="18" t="s">
        <v>25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90"/>
      <c r="R9" s="73"/>
      <c r="S9" s="69"/>
      <c r="T9" s="1"/>
      <c r="U9" s="28" t="s">
        <v>180</v>
      </c>
      <c r="V9" s="24">
        <f>COUNTIF('2018'!A:A,"Occidente")-_xlfn.COUNTIFS('2018'!A:A,"Occidente",'2018'!C:C,"")</f>
        <v>24</v>
      </c>
      <c r="W9" s="25">
        <f t="shared" si="0"/>
        <v>13.714285714285715</v>
      </c>
      <c r="X9" s="24">
        <f>_xlfn.COUNTIFS('2018'!A:A,"Occidente",'2018'!S:S,"Sin Riesgo")</f>
        <v>21</v>
      </c>
      <c r="Y9" s="25">
        <f t="shared" si="1"/>
        <v>87.5</v>
      </c>
      <c r="Z9" s="24">
        <f>_xlfn.COUNTIFS('2018'!A:A,"Occidente",'2018'!S:S,"Bajo")</f>
        <v>1</v>
      </c>
      <c r="AA9" s="25">
        <f t="shared" si="2"/>
        <v>4.166666666666666</v>
      </c>
      <c r="AB9" s="24">
        <f>_xlfn.COUNTIFS('2018'!A:A,"Occidente",'2018'!S:S,"Medio")</f>
        <v>0</v>
      </c>
      <c r="AC9" s="25">
        <f t="shared" si="3"/>
        <v>0</v>
      </c>
      <c r="AD9" s="24">
        <f>_xlfn.COUNTIFS('2018'!A:A,"Occidente",'2018'!S:S,"Alto")</f>
        <v>1</v>
      </c>
      <c r="AE9" s="25">
        <f t="shared" si="4"/>
        <v>4.166666666666666</v>
      </c>
      <c r="AF9" s="24">
        <f>_xlfn.COUNTIFS('2018'!A:A,"Occidente",'2018'!S:S,"Inviable Sanitariamente")</f>
        <v>1</v>
      </c>
      <c r="AG9" s="25">
        <f t="shared" si="5"/>
        <v>4.166666666666666</v>
      </c>
      <c r="AH9" s="26">
        <f t="shared" si="6"/>
        <v>0</v>
      </c>
      <c r="AI9" s="25">
        <f t="shared" si="7"/>
        <v>0</v>
      </c>
    </row>
    <row r="10" spans="1:35" ht="40.5" customHeight="1">
      <c r="A10" s="35" t="s">
        <v>179</v>
      </c>
      <c r="B10" s="36" t="s">
        <v>48</v>
      </c>
      <c r="C10" s="59" t="s">
        <v>194</v>
      </c>
      <c r="D10" s="37">
        <v>78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9">
        <v>0</v>
      </c>
      <c r="R10" s="40" t="str">
        <f>IF(Q10&lt;=5,"SI","NO")</f>
        <v>SI</v>
      </c>
      <c r="S10" s="40" t="str">
        <f>IF(Q10&lt;=5,"Sin Riesgo",IF(Q10&lt;=14,"Bajo",IF(Q10&lt;=35,"Medio",IF(Q10&lt;=80,"Alto","Inviable Sanitariamente"))))</f>
        <v>Sin Riesgo</v>
      </c>
      <c r="T10" s="2"/>
      <c r="U10" s="28" t="s">
        <v>181</v>
      </c>
      <c r="V10" s="24">
        <f>COUNTIF('2018'!A:A,"Suroeste")-_xlfn.COUNTIFS('2018'!A:A,"Suroeste",'2018'!C:C,"")</f>
        <v>29</v>
      </c>
      <c r="W10" s="25">
        <f t="shared" si="0"/>
        <v>16.57142857142857</v>
      </c>
      <c r="X10" s="24">
        <f>_xlfn.COUNTIFS('2018'!A:A,"Suroeste",'2018'!S:S,"Sin Riesgo")</f>
        <v>26</v>
      </c>
      <c r="Y10" s="25">
        <f t="shared" si="1"/>
        <v>89.65517241379311</v>
      </c>
      <c r="Z10" s="24">
        <f>_xlfn.COUNTIFS('2018'!A:A,"Suroeste",'2018'!S:S,"Bajo")</f>
        <v>3</v>
      </c>
      <c r="AA10" s="25">
        <f t="shared" si="2"/>
        <v>10.344827586206897</v>
      </c>
      <c r="AB10" s="24">
        <f>_xlfn.COUNTIFS('2018'!A:A,"Suroeste",'2018'!S:S,"Medio")</f>
        <v>0</v>
      </c>
      <c r="AC10" s="25">
        <f t="shared" si="3"/>
        <v>0</v>
      </c>
      <c r="AD10" s="24">
        <f>_xlfn.COUNTIFS('2018'!A:A,"Suroeste",'2018'!S:S,"Alto")</f>
        <v>0</v>
      </c>
      <c r="AE10" s="25">
        <f t="shared" si="4"/>
        <v>0</v>
      </c>
      <c r="AF10" s="24">
        <f>_xlfn.COUNTIFS('2018'!A:A,"Suroeste",'2018'!S:S,"Inviable Sanitariamente")</f>
        <v>0</v>
      </c>
      <c r="AG10" s="25">
        <f t="shared" si="5"/>
        <v>0</v>
      </c>
      <c r="AH10" s="26">
        <f t="shared" si="6"/>
        <v>0</v>
      </c>
      <c r="AI10" s="25">
        <f t="shared" si="7"/>
        <v>0</v>
      </c>
    </row>
    <row r="11" spans="1:35" ht="36.75" customHeight="1">
      <c r="A11" s="35" t="s">
        <v>179</v>
      </c>
      <c r="B11" s="36" t="s">
        <v>48</v>
      </c>
      <c r="C11" s="59" t="s">
        <v>195</v>
      </c>
      <c r="D11" s="37">
        <v>2049</v>
      </c>
      <c r="E11" s="38">
        <v>6.45</v>
      </c>
      <c r="F11" s="38">
        <v>9.03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9">
        <v>1.45</v>
      </c>
      <c r="R11" s="40" t="str">
        <f aca="true" t="shared" si="8" ref="R11:R69">IF(Q11&lt;=5,"SI","NO")</f>
        <v>SI</v>
      </c>
      <c r="S11" s="40" t="str">
        <f aca="true" t="shared" si="9" ref="S11:S68">IF(Q11&lt;=5,"Sin Riesgo",IF(Q11&lt;=14,"Bajo",IF(Q11&lt;=35,"Medio",IF(Q11&lt;=80,"Alto","Inviable Sanitariamente"))))</f>
        <v>Sin Riesgo</v>
      </c>
      <c r="T11" s="2"/>
      <c r="U11" s="28" t="s">
        <v>185</v>
      </c>
      <c r="V11" s="24">
        <f>COUNTIF('2018'!A:A,"Bajo Cauca")-_xlfn.COUNTIFS('2018'!A:A,"Bajo Cauca",'2018'!C:C,"")</f>
        <v>17</v>
      </c>
      <c r="W11" s="25">
        <f t="shared" si="0"/>
        <v>9.714285714285714</v>
      </c>
      <c r="X11" s="24">
        <f>_xlfn.COUNTIFS('2018'!A:A,"Bajo Cauca",'2018'!S:S,"Sin Riesgo")</f>
        <v>12</v>
      </c>
      <c r="Y11" s="25">
        <f t="shared" si="1"/>
        <v>70.58823529411765</v>
      </c>
      <c r="Z11" s="24">
        <f>_xlfn.COUNTIFS('2018'!A:A,"Bajo Cauca",'2018'!S:S,"Bajo")</f>
        <v>1</v>
      </c>
      <c r="AA11" s="25">
        <f t="shared" si="2"/>
        <v>5.88235294117647</v>
      </c>
      <c r="AB11" s="24">
        <f>_xlfn.COUNTIFS('2018'!A:A,"Bajo Cauca",'2018'!S:S,"Medio")</f>
        <v>0</v>
      </c>
      <c r="AC11" s="25">
        <f t="shared" si="3"/>
        <v>0</v>
      </c>
      <c r="AD11" s="24">
        <f>_xlfn.COUNTIFS('2018'!A:A,"Bajo Cauca",'2018'!S:S,"Alto")</f>
        <v>0</v>
      </c>
      <c r="AE11" s="25">
        <f t="shared" si="4"/>
        <v>0</v>
      </c>
      <c r="AF11" s="24">
        <f>_xlfn.COUNTIFS('2018'!A:A,"Bajo Cauca",'2018'!S:S,"Inviable Sanitariamente")</f>
        <v>4</v>
      </c>
      <c r="AG11" s="25">
        <f t="shared" si="5"/>
        <v>23.52941176470588</v>
      </c>
      <c r="AH11" s="26">
        <f t="shared" si="6"/>
        <v>0</v>
      </c>
      <c r="AI11" s="25">
        <f t="shared" si="7"/>
        <v>0</v>
      </c>
    </row>
    <row r="12" spans="1:35" ht="32.25" customHeight="1">
      <c r="A12" s="35" t="s">
        <v>180</v>
      </c>
      <c r="B12" s="41" t="s">
        <v>49</v>
      </c>
      <c r="C12" s="59" t="s">
        <v>196</v>
      </c>
      <c r="D12" s="37">
        <v>353</v>
      </c>
      <c r="E12" s="42">
        <v>0</v>
      </c>
      <c r="F12" s="42">
        <v>0</v>
      </c>
      <c r="G12" s="42">
        <v>8.85</v>
      </c>
      <c r="H12" s="42">
        <v>15.3</v>
      </c>
      <c r="I12" s="42">
        <v>1.18</v>
      </c>
      <c r="J12" s="42">
        <v>1.17</v>
      </c>
      <c r="K12" s="42">
        <v>0</v>
      </c>
      <c r="L12" s="42">
        <v>0</v>
      </c>
      <c r="M12" s="42">
        <v>0</v>
      </c>
      <c r="N12" s="42">
        <v>6.45</v>
      </c>
      <c r="O12" s="42">
        <v>0</v>
      </c>
      <c r="P12" s="42">
        <v>17.88</v>
      </c>
      <c r="Q12" s="39">
        <v>4.36</v>
      </c>
      <c r="R12" s="40" t="str">
        <f t="shared" si="8"/>
        <v>SI</v>
      </c>
      <c r="S12" s="40" t="str">
        <f t="shared" si="9"/>
        <v>Sin Riesgo</v>
      </c>
      <c r="T12" s="2"/>
      <c r="U12" s="28" t="s">
        <v>186</v>
      </c>
      <c r="V12" s="24">
        <f>COUNTIF('2018'!A:A,"Magdalena Medio")-_xlfn.COUNTIFS('2018'!A:A,"Magdalena Medio",'2018'!C:C,"")</f>
        <v>6</v>
      </c>
      <c r="W12" s="25">
        <f t="shared" si="0"/>
        <v>3.428571428571429</v>
      </c>
      <c r="X12" s="24">
        <f>_xlfn.COUNTIFS('2018'!A:A,"Magdalena Medio",'2018'!S:S,"Sin Riesgo")</f>
        <v>6</v>
      </c>
      <c r="Y12" s="25">
        <f t="shared" si="1"/>
        <v>100</v>
      </c>
      <c r="Z12" s="24">
        <f>_xlfn.COUNTIFS('2018'!A:A,"Magdalena Medio",'2018'!S:S,"Bajo")</f>
        <v>0</v>
      </c>
      <c r="AA12" s="25">
        <f t="shared" si="2"/>
        <v>0</v>
      </c>
      <c r="AB12" s="24">
        <f>_xlfn.COUNTIFS('2018'!A:A,"Magdalena Medio",'2018'!S:S,"Medio")</f>
        <v>0</v>
      </c>
      <c r="AC12" s="25">
        <f t="shared" si="3"/>
        <v>0</v>
      </c>
      <c r="AD12" s="24">
        <f>_xlfn.COUNTIFS('2018'!A:A,"Magdalena Medio",'2018'!S:S,"Alto")</f>
        <v>0</v>
      </c>
      <c r="AE12" s="25">
        <f t="shared" si="4"/>
        <v>0</v>
      </c>
      <c r="AF12" s="24">
        <f>_xlfn.COUNTIFS('2018'!A:A,"Magdalena Medio",'2018'!S:S,"Inviable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33.75" customHeight="1">
      <c r="A13" s="35" t="s">
        <v>179</v>
      </c>
      <c r="B13" s="36" t="s">
        <v>50</v>
      </c>
      <c r="C13" s="59" t="s">
        <v>197</v>
      </c>
      <c r="D13" s="37">
        <v>958</v>
      </c>
      <c r="E13" s="42">
        <v>0</v>
      </c>
      <c r="F13" s="42">
        <v>0</v>
      </c>
      <c r="G13" s="42">
        <v>6.45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23.59</v>
      </c>
      <c r="N13" s="42">
        <v>0</v>
      </c>
      <c r="O13" s="42">
        <v>0</v>
      </c>
      <c r="P13" s="42">
        <v>0</v>
      </c>
      <c r="Q13" s="43">
        <v>2.5</v>
      </c>
      <c r="R13" s="40" t="str">
        <f t="shared" si="8"/>
        <v>SI</v>
      </c>
      <c r="S13" s="40" t="str">
        <f t="shared" si="9"/>
        <v>Sin Riesgo</v>
      </c>
      <c r="T13" s="2"/>
      <c r="U13" s="28" t="s">
        <v>190</v>
      </c>
      <c r="V13" s="24">
        <f>COUNTIF('2018'!A:A,"Nordeste")-_xlfn.COUNTIFS('2018'!A:A,"Nordeste",'2018'!C:C,"")</f>
        <v>16</v>
      </c>
      <c r="W13" s="25">
        <f t="shared" si="0"/>
        <v>9.142857142857142</v>
      </c>
      <c r="X13" s="24">
        <f>_xlfn.COUNTIFS('2018'!A:A,"Nordeste",'2018'!S:S,"Sin Riesgo")</f>
        <v>10</v>
      </c>
      <c r="Y13" s="25">
        <f t="shared" si="1"/>
        <v>62.5</v>
      </c>
      <c r="Z13" s="24">
        <f>_xlfn.COUNTIFS('2018'!A:A,"Nordeste",'2018'!S:S,"Bajo")</f>
        <v>0</v>
      </c>
      <c r="AA13" s="25">
        <f t="shared" si="2"/>
        <v>0</v>
      </c>
      <c r="AB13" s="24">
        <f>_xlfn.COUNTIFS('2018'!A:A,"Nordeste",'2018'!S:S,"Medio")</f>
        <v>0</v>
      </c>
      <c r="AC13" s="25">
        <f t="shared" si="3"/>
        <v>0</v>
      </c>
      <c r="AD13" s="24">
        <f>_xlfn.COUNTIFS('2018'!A:A,"Nordeste",'2018'!S:S,"Alto")</f>
        <v>3</v>
      </c>
      <c r="AE13" s="25">
        <f t="shared" si="4"/>
        <v>18.75</v>
      </c>
      <c r="AF13" s="24">
        <f>_xlfn.COUNTIFS('2018'!A:A,"Nordeste",'2018'!S:S,"Inviable Sanitariamente")</f>
        <v>3</v>
      </c>
      <c r="AG13" s="25">
        <f t="shared" si="5"/>
        <v>18.75</v>
      </c>
      <c r="AH13" s="26">
        <f t="shared" si="6"/>
        <v>0</v>
      </c>
      <c r="AI13" s="25">
        <f t="shared" si="7"/>
        <v>0</v>
      </c>
    </row>
    <row r="14" spans="1:35" ht="24.75" customHeight="1">
      <c r="A14" s="35" t="s">
        <v>181</v>
      </c>
      <c r="B14" s="36" t="s">
        <v>51</v>
      </c>
      <c r="C14" s="59" t="s">
        <v>198</v>
      </c>
      <c r="D14" s="37">
        <v>4428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3">
        <v>0</v>
      </c>
      <c r="R14" s="40" t="str">
        <f t="shared" si="8"/>
        <v>SI</v>
      </c>
      <c r="S14" s="40" t="str">
        <f t="shared" si="9"/>
        <v>Sin Riesgo</v>
      </c>
      <c r="T14" s="2"/>
      <c r="U14" s="28" t="s">
        <v>179</v>
      </c>
      <c r="V14" s="24">
        <f>COUNTIF('2018'!A:A,"Oriente")-_xlfn.COUNTIFS('2018'!A:A,"Oriente",'2018'!C:C,"")</f>
        <v>32</v>
      </c>
      <c r="W14" s="25">
        <f t="shared" si="0"/>
        <v>18.285714285714285</v>
      </c>
      <c r="X14" s="24">
        <f>_xlfn.COUNTIFS('2018'!A:A,"Oriente",'2018'!S:S,"Sin Riesgo")</f>
        <v>30</v>
      </c>
      <c r="Y14" s="25">
        <f t="shared" si="1"/>
        <v>93.75</v>
      </c>
      <c r="Z14" s="24">
        <f>_xlfn.COUNTIFS('2018'!A:A,"Oriente",'2018'!S:S,"Bajo")</f>
        <v>1</v>
      </c>
      <c r="AA14" s="25">
        <f t="shared" si="2"/>
        <v>3.125</v>
      </c>
      <c r="AB14" s="24">
        <f>_xlfn.COUNTIFS('2018'!A:A,"Oriente",'2018'!S:S,"Medio")</f>
        <v>0</v>
      </c>
      <c r="AC14" s="25">
        <f t="shared" si="3"/>
        <v>0</v>
      </c>
      <c r="AD14" s="24">
        <f>_xlfn.COUNTIFS('2018'!A:A,"Oriente",'2018'!S:S,"Alto")</f>
        <v>0</v>
      </c>
      <c r="AE14" s="25">
        <f t="shared" si="4"/>
        <v>0</v>
      </c>
      <c r="AF14" s="24">
        <f>_xlfn.COUNTIFS('2018'!A:A,"Oriente",'2018'!S:S,"Inviable Sanitariamente")</f>
        <v>1</v>
      </c>
      <c r="AG14" s="25">
        <f t="shared" si="5"/>
        <v>3.125</v>
      </c>
      <c r="AH14" s="26">
        <f t="shared" si="6"/>
        <v>0</v>
      </c>
      <c r="AI14" s="25">
        <f t="shared" si="7"/>
        <v>0</v>
      </c>
    </row>
    <row r="15" spans="1:35" ht="33" customHeight="1">
      <c r="A15" s="35" t="s">
        <v>182</v>
      </c>
      <c r="B15" s="36" t="s">
        <v>52</v>
      </c>
      <c r="C15" s="60" t="s">
        <v>199</v>
      </c>
      <c r="D15" s="45">
        <v>2940</v>
      </c>
      <c r="E15" s="42">
        <v>0</v>
      </c>
      <c r="F15" s="42">
        <v>0</v>
      </c>
      <c r="G15" s="42">
        <v>0</v>
      </c>
      <c r="H15" s="42">
        <v>4.42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3.31</v>
      </c>
      <c r="O15" s="42">
        <v>0</v>
      </c>
      <c r="P15" s="42">
        <v>0</v>
      </c>
      <c r="Q15" s="43">
        <v>0.76</v>
      </c>
      <c r="R15" s="40" t="str">
        <f t="shared" si="8"/>
        <v>SI</v>
      </c>
      <c r="S15" s="40" t="str">
        <f t="shared" si="9"/>
        <v>Sin Riesgo</v>
      </c>
      <c r="T15" s="2"/>
      <c r="U15" s="29" t="s">
        <v>191</v>
      </c>
      <c r="V15" s="22">
        <f>SUM(V6:V14)</f>
        <v>175</v>
      </c>
      <c r="W15" s="30">
        <f t="shared" si="0"/>
        <v>100</v>
      </c>
      <c r="X15" s="22">
        <f>SUM(X6:X14)</f>
        <v>147</v>
      </c>
      <c r="Y15" s="30">
        <f t="shared" si="1"/>
        <v>84</v>
      </c>
      <c r="Z15" s="22">
        <f>SUM(Z6:Z14)</f>
        <v>10</v>
      </c>
      <c r="AA15" s="30">
        <f t="shared" si="2"/>
        <v>5.714285714285714</v>
      </c>
      <c r="AB15" s="22">
        <f>SUM(AB6:AB14)</f>
        <v>1</v>
      </c>
      <c r="AC15" s="30">
        <f t="shared" si="3"/>
        <v>0.5714285714285714</v>
      </c>
      <c r="AD15" s="22">
        <f>SUM(AD6:AD14)</f>
        <v>5</v>
      </c>
      <c r="AE15" s="30">
        <f t="shared" si="4"/>
        <v>2.857142857142857</v>
      </c>
      <c r="AF15" s="22">
        <f>SUM(AF6:AF14)</f>
        <v>10</v>
      </c>
      <c r="AG15" s="30">
        <f t="shared" si="5"/>
        <v>5.714285714285714</v>
      </c>
      <c r="AH15" s="22">
        <f t="shared" si="6"/>
        <v>2</v>
      </c>
      <c r="AI15" s="30">
        <f t="shared" si="7"/>
        <v>1.1428571428571428</v>
      </c>
    </row>
    <row r="16" spans="1:26" ht="38.25" customHeight="1">
      <c r="A16" s="35" t="s">
        <v>181</v>
      </c>
      <c r="B16" s="36" t="s">
        <v>53</v>
      </c>
      <c r="C16" s="59" t="s">
        <v>324</v>
      </c>
      <c r="D16" s="24">
        <v>6984</v>
      </c>
      <c r="E16" s="38">
        <v>0.64</v>
      </c>
      <c r="F16" s="38">
        <v>13.55</v>
      </c>
      <c r="G16" s="38">
        <v>0</v>
      </c>
      <c r="H16" s="38">
        <v>0</v>
      </c>
      <c r="I16" s="38">
        <v>0</v>
      </c>
      <c r="J16" s="38">
        <v>5.99</v>
      </c>
      <c r="K16" s="38">
        <v>0</v>
      </c>
      <c r="L16" s="38">
        <v>10.65</v>
      </c>
      <c r="M16" s="38">
        <v>0</v>
      </c>
      <c r="N16" s="38">
        <v>1.15</v>
      </c>
      <c r="O16" s="38">
        <v>0.44</v>
      </c>
      <c r="P16" s="38">
        <v>1.83</v>
      </c>
      <c r="Q16" s="39">
        <v>2.19</v>
      </c>
      <c r="R16" s="40" t="str">
        <f t="shared" si="8"/>
        <v>SI</v>
      </c>
      <c r="S16" s="40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8.25" customHeight="1">
      <c r="A17" s="35" t="s">
        <v>181</v>
      </c>
      <c r="B17" s="36" t="s">
        <v>53</v>
      </c>
      <c r="C17" s="59" t="s">
        <v>323</v>
      </c>
      <c r="D17" s="56">
        <v>2723</v>
      </c>
      <c r="E17" s="38">
        <v>0</v>
      </c>
      <c r="F17" s="38">
        <v>0</v>
      </c>
      <c r="G17" s="38">
        <v>0</v>
      </c>
      <c r="H17" s="38">
        <v>0</v>
      </c>
      <c r="I17" s="38">
        <v>8.24</v>
      </c>
      <c r="J17" s="38">
        <v>0</v>
      </c>
      <c r="K17" s="38">
        <v>0.97</v>
      </c>
      <c r="L17" s="38">
        <v>10.62</v>
      </c>
      <c r="M17" s="38">
        <v>0.64</v>
      </c>
      <c r="N17" s="38">
        <v>9.49</v>
      </c>
      <c r="O17" s="38">
        <v>7.98</v>
      </c>
      <c r="P17" s="38">
        <v>0.48</v>
      </c>
      <c r="Q17" s="39">
        <v>4.25</v>
      </c>
      <c r="R17" s="40" t="str">
        <f t="shared" si="8"/>
        <v>SI</v>
      </c>
      <c r="S17" s="40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5" t="s">
        <v>181</v>
      </c>
      <c r="B18" s="36" t="s">
        <v>54</v>
      </c>
      <c r="C18" s="59" t="s">
        <v>200</v>
      </c>
      <c r="D18" s="37">
        <v>609</v>
      </c>
      <c r="E18" s="38">
        <v>8.85</v>
      </c>
      <c r="F18" s="38">
        <v>6.45</v>
      </c>
      <c r="G18" s="38">
        <v>0</v>
      </c>
      <c r="H18" s="38">
        <v>0</v>
      </c>
      <c r="I18" s="38">
        <v>8.85</v>
      </c>
      <c r="J18" s="38">
        <v>0</v>
      </c>
      <c r="K18" s="38">
        <v>0</v>
      </c>
      <c r="L18" s="38">
        <v>0</v>
      </c>
      <c r="M18" s="38">
        <v>0</v>
      </c>
      <c r="N18" s="38">
        <v>6.45</v>
      </c>
      <c r="O18" s="38">
        <v>0</v>
      </c>
      <c r="P18" s="38">
        <v>0</v>
      </c>
      <c r="Q18" s="39">
        <v>2.55</v>
      </c>
      <c r="R18" s="40" t="str">
        <f t="shared" si="8"/>
        <v>SI</v>
      </c>
      <c r="S18" s="40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6" customHeight="1">
      <c r="A19" s="35" t="s">
        <v>183</v>
      </c>
      <c r="B19" s="36" t="s">
        <v>55</v>
      </c>
      <c r="C19" s="59" t="s">
        <v>201</v>
      </c>
      <c r="D19" s="37">
        <v>865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9">
        <v>0</v>
      </c>
      <c r="R19" s="40" t="str">
        <f t="shared" si="8"/>
        <v>SI</v>
      </c>
      <c r="S19" s="40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5" t="s">
        <v>182</v>
      </c>
      <c r="B20" s="36" t="s">
        <v>56</v>
      </c>
      <c r="C20" s="60" t="s">
        <v>202</v>
      </c>
      <c r="D20" s="45">
        <v>1629</v>
      </c>
      <c r="E20" s="38">
        <v>0</v>
      </c>
      <c r="F20" s="38">
        <v>0</v>
      </c>
      <c r="G20" s="38">
        <v>6.45</v>
      </c>
      <c r="H20" s="38">
        <v>8.84</v>
      </c>
      <c r="I20" s="38">
        <v>0</v>
      </c>
      <c r="J20" s="38">
        <v>1.18</v>
      </c>
      <c r="K20" s="38">
        <v>2.58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9">
        <v>1.63</v>
      </c>
      <c r="R20" s="40" t="str">
        <f t="shared" si="8"/>
        <v>SI</v>
      </c>
      <c r="S20" s="40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5" t="s">
        <v>180</v>
      </c>
      <c r="B21" s="36" t="s">
        <v>57</v>
      </c>
      <c r="C21" s="59" t="s">
        <v>203</v>
      </c>
      <c r="D21" s="37">
        <v>453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6.45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9">
        <v>0.54</v>
      </c>
      <c r="R21" s="40" t="str">
        <f t="shared" si="8"/>
        <v>SI</v>
      </c>
      <c r="S21" s="40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5" t="s">
        <v>184</v>
      </c>
      <c r="B22" s="36" t="s">
        <v>58</v>
      </c>
      <c r="C22" s="59" t="s">
        <v>204</v>
      </c>
      <c r="D22" s="37">
        <v>26299</v>
      </c>
      <c r="E22" s="38">
        <v>0</v>
      </c>
      <c r="F22" s="38">
        <v>0</v>
      </c>
      <c r="G22" s="38">
        <v>0</v>
      </c>
      <c r="H22" s="38">
        <v>4.11</v>
      </c>
      <c r="I22" s="38">
        <v>0</v>
      </c>
      <c r="J22" s="38">
        <v>0.11</v>
      </c>
      <c r="K22" s="38">
        <v>0</v>
      </c>
      <c r="L22" s="38">
        <v>0.5</v>
      </c>
      <c r="M22" s="38">
        <v>3.87</v>
      </c>
      <c r="N22" s="38">
        <v>2.65</v>
      </c>
      <c r="O22" s="38">
        <v>0</v>
      </c>
      <c r="P22" s="38">
        <v>0</v>
      </c>
      <c r="Q22" s="39">
        <v>1.02</v>
      </c>
      <c r="R22" s="40" t="str">
        <f t="shared" si="8"/>
        <v>SI</v>
      </c>
      <c r="S22" s="40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5" t="s">
        <v>184</v>
      </c>
      <c r="B23" s="36" t="s">
        <v>59</v>
      </c>
      <c r="C23" s="60" t="s">
        <v>205</v>
      </c>
      <c r="D23" s="45">
        <v>2671</v>
      </c>
      <c r="E23" s="38">
        <v>0</v>
      </c>
      <c r="F23" s="38">
        <v>0</v>
      </c>
      <c r="G23" s="38">
        <v>0</v>
      </c>
      <c r="H23" s="38">
        <v>5.88</v>
      </c>
      <c r="I23" s="38">
        <v>6.45</v>
      </c>
      <c r="J23" s="38">
        <v>0</v>
      </c>
      <c r="K23" s="38">
        <v>0</v>
      </c>
      <c r="L23" s="38">
        <v>0</v>
      </c>
      <c r="M23" s="38">
        <v>8.84</v>
      </c>
      <c r="N23" s="38">
        <v>0</v>
      </c>
      <c r="O23" s="38">
        <v>0</v>
      </c>
      <c r="P23" s="38">
        <v>0</v>
      </c>
      <c r="Q23" s="39">
        <v>1.86</v>
      </c>
      <c r="R23" s="40" t="str">
        <f t="shared" si="8"/>
        <v>SI</v>
      </c>
      <c r="S23" s="40" t="str">
        <f t="shared" si="9"/>
        <v>Sin Riesgo</v>
      </c>
      <c r="T23" s="4"/>
      <c r="U23" s="4"/>
      <c r="V23" s="4"/>
      <c r="W23" s="4"/>
    </row>
    <row r="24" spans="1:23" ht="24.75" customHeight="1">
      <c r="A24" s="35" t="s">
        <v>179</v>
      </c>
      <c r="B24" s="46" t="s">
        <v>60</v>
      </c>
      <c r="C24" s="59" t="s">
        <v>31</v>
      </c>
      <c r="D24" s="37">
        <v>917</v>
      </c>
      <c r="E24" s="38">
        <v>65.5</v>
      </c>
      <c r="F24" s="38">
        <v>71.7</v>
      </c>
      <c r="G24" s="38">
        <v>88.54</v>
      </c>
      <c r="H24" s="38">
        <v>81.21</v>
      </c>
      <c r="I24" s="38">
        <v>64.94</v>
      </c>
      <c r="J24" s="38">
        <v>88.54</v>
      </c>
      <c r="K24" s="38">
        <v>88.02</v>
      </c>
      <c r="L24" s="38">
        <v>88.54</v>
      </c>
      <c r="M24" s="38">
        <v>97.58</v>
      </c>
      <c r="N24" s="38">
        <v>77.7</v>
      </c>
      <c r="O24" s="38">
        <v>88.54</v>
      </c>
      <c r="P24" s="38">
        <v>95</v>
      </c>
      <c r="Q24" s="39">
        <v>83.4</v>
      </c>
      <c r="R24" s="40" t="str">
        <f t="shared" si="8"/>
        <v>NO</v>
      </c>
      <c r="S24" s="40" t="str">
        <f t="shared" si="9"/>
        <v>Inviable Sanitariamente</v>
      </c>
      <c r="T24" s="4"/>
      <c r="U24" s="4"/>
      <c r="V24" s="4"/>
      <c r="W24" s="4"/>
    </row>
    <row r="25" spans="1:23" ht="24.75" customHeight="1">
      <c r="A25" s="35" t="s">
        <v>180</v>
      </c>
      <c r="B25" s="36" t="s">
        <v>61</v>
      </c>
      <c r="C25" s="60" t="s">
        <v>202</v>
      </c>
      <c r="D25" s="45">
        <v>584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8.85</v>
      </c>
      <c r="O25" s="38">
        <v>0</v>
      </c>
      <c r="P25" s="38">
        <v>0</v>
      </c>
      <c r="Q25" s="39">
        <v>0.8</v>
      </c>
      <c r="R25" s="40" t="str">
        <f t="shared" si="8"/>
        <v>SI</v>
      </c>
      <c r="S25" s="40" t="str">
        <f t="shared" si="9"/>
        <v>Sin Riesgo</v>
      </c>
      <c r="T25" s="4"/>
      <c r="U25" s="4"/>
      <c r="V25" s="4"/>
      <c r="W25" s="4"/>
    </row>
    <row r="26" spans="1:23" ht="24.75" customHeight="1">
      <c r="A26" s="35" t="s">
        <v>176</v>
      </c>
      <c r="B26" s="36" t="s">
        <v>62</v>
      </c>
      <c r="C26" s="59" t="s">
        <v>206</v>
      </c>
      <c r="D26" s="37">
        <v>6811</v>
      </c>
      <c r="E26" s="38">
        <v>0</v>
      </c>
      <c r="F26" s="38">
        <v>0.7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9">
        <v>0.06</v>
      </c>
      <c r="R26" s="40" t="str">
        <f t="shared" si="8"/>
        <v>SI</v>
      </c>
      <c r="S26" s="40" t="str">
        <f t="shared" si="9"/>
        <v>Sin Riesgo</v>
      </c>
      <c r="T26" s="4"/>
      <c r="U26" s="4"/>
      <c r="V26" s="4"/>
      <c r="W26" s="4"/>
    </row>
    <row r="27" spans="1:23" ht="24.75" customHeight="1">
      <c r="A27" s="35" t="s">
        <v>176</v>
      </c>
      <c r="B27" s="36" t="s">
        <v>63</v>
      </c>
      <c r="C27" s="59" t="s">
        <v>206</v>
      </c>
      <c r="D27" s="37">
        <v>131971</v>
      </c>
      <c r="E27" s="38">
        <v>0</v>
      </c>
      <c r="F27" s="38">
        <v>0</v>
      </c>
      <c r="G27" s="38">
        <v>0</v>
      </c>
      <c r="H27" s="38">
        <v>1.91</v>
      </c>
      <c r="I27" s="38">
        <v>4.48</v>
      </c>
      <c r="J27" s="38">
        <v>1.6</v>
      </c>
      <c r="K27" s="38">
        <v>0</v>
      </c>
      <c r="L27" s="38">
        <v>0</v>
      </c>
      <c r="M27" s="38">
        <v>0</v>
      </c>
      <c r="N27" s="38">
        <v>0</v>
      </c>
      <c r="O27" s="38">
        <v>0.12</v>
      </c>
      <c r="P27" s="38">
        <v>1.81</v>
      </c>
      <c r="Q27" s="39">
        <v>1.21</v>
      </c>
      <c r="R27" s="40" t="str">
        <f t="shared" si="8"/>
        <v>SI</v>
      </c>
      <c r="S27" s="40" t="str">
        <f t="shared" si="9"/>
        <v>Sin Riesgo</v>
      </c>
      <c r="T27" s="4"/>
      <c r="U27" s="4"/>
      <c r="V27" s="4"/>
      <c r="W27" s="4"/>
    </row>
    <row r="28" spans="1:23" ht="24.75" customHeight="1">
      <c r="A28" s="35" t="s">
        <v>183</v>
      </c>
      <c r="B28" s="36" t="s">
        <v>64</v>
      </c>
      <c r="C28" s="59" t="s">
        <v>207</v>
      </c>
      <c r="D28" s="37">
        <v>672</v>
      </c>
      <c r="E28" s="38">
        <v>0</v>
      </c>
      <c r="F28" s="38">
        <v>0</v>
      </c>
      <c r="G28" s="38">
        <v>12.9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9">
        <v>1.08</v>
      </c>
      <c r="R28" s="40" t="str">
        <f t="shared" si="8"/>
        <v>SI</v>
      </c>
      <c r="S28" s="40" t="str">
        <f t="shared" si="9"/>
        <v>Sin Riesgo</v>
      </c>
      <c r="T28" s="4"/>
      <c r="U28" s="4"/>
      <c r="V28" s="4"/>
      <c r="W28" s="4"/>
    </row>
    <row r="29" spans="1:23" ht="33.75" customHeight="1">
      <c r="A29" s="35" t="s">
        <v>181</v>
      </c>
      <c r="B29" s="36" t="s">
        <v>65</v>
      </c>
      <c r="C29" s="59" t="s">
        <v>208</v>
      </c>
      <c r="D29" s="37">
        <v>1247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32.45</v>
      </c>
      <c r="Q29" s="39">
        <v>2.7</v>
      </c>
      <c r="R29" s="40" t="str">
        <f t="shared" si="8"/>
        <v>SI</v>
      </c>
      <c r="S29" s="40" t="str">
        <f t="shared" si="9"/>
        <v>Sin Riesgo</v>
      </c>
      <c r="T29" s="4"/>
      <c r="U29" s="4"/>
      <c r="V29" s="4"/>
      <c r="W29" s="4"/>
    </row>
    <row r="30" spans="1:23" ht="24.75" customHeight="1">
      <c r="A30" s="35" t="s">
        <v>181</v>
      </c>
      <c r="B30" s="36" t="s">
        <v>66</v>
      </c>
      <c r="C30" s="59" t="s">
        <v>209</v>
      </c>
      <c r="D30" s="37">
        <v>2095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9">
        <v>0</v>
      </c>
      <c r="R30" s="40" t="str">
        <f t="shared" si="8"/>
        <v>SI</v>
      </c>
      <c r="S30" s="40" t="str">
        <f t="shared" si="9"/>
        <v>Sin Riesgo</v>
      </c>
      <c r="T30" s="4"/>
      <c r="U30" s="4"/>
      <c r="V30" s="4"/>
      <c r="W30" s="4"/>
    </row>
    <row r="31" spans="1:23" ht="24.75" customHeight="1">
      <c r="A31" s="35" t="s">
        <v>183</v>
      </c>
      <c r="B31" s="36" t="s">
        <v>67</v>
      </c>
      <c r="C31" s="59" t="s">
        <v>210</v>
      </c>
      <c r="D31" s="37">
        <v>943</v>
      </c>
      <c r="E31" s="38">
        <v>0</v>
      </c>
      <c r="F31" s="38">
        <v>0</v>
      </c>
      <c r="G31" s="38">
        <v>0</v>
      </c>
      <c r="H31" s="38">
        <v>0</v>
      </c>
      <c r="I31" s="38">
        <v>24.15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9">
        <v>2.01</v>
      </c>
      <c r="R31" s="40" t="str">
        <f t="shared" si="8"/>
        <v>SI</v>
      </c>
      <c r="S31" s="40" t="str">
        <f t="shared" si="9"/>
        <v>Sin Riesgo</v>
      </c>
      <c r="T31" s="4"/>
      <c r="U31" s="4"/>
      <c r="V31" s="4"/>
      <c r="W31" s="4"/>
    </row>
    <row r="32" spans="1:23" ht="37.5" customHeight="1">
      <c r="A32" s="35" t="s">
        <v>180</v>
      </c>
      <c r="B32" s="36" t="s">
        <v>68</v>
      </c>
      <c r="C32" s="59" t="s">
        <v>211</v>
      </c>
      <c r="D32" s="37">
        <v>706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9">
        <v>0</v>
      </c>
      <c r="R32" s="40" t="str">
        <f t="shared" si="8"/>
        <v>SI</v>
      </c>
      <c r="S32" s="40" t="str">
        <f t="shared" si="9"/>
        <v>Sin Riesgo</v>
      </c>
      <c r="T32" s="4"/>
      <c r="U32" s="4"/>
      <c r="V32" s="4"/>
      <c r="W32" s="4"/>
    </row>
    <row r="33" spans="1:23" ht="24.75" customHeight="1">
      <c r="A33" s="35" t="s">
        <v>185</v>
      </c>
      <c r="B33" s="36" t="s">
        <v>69</v>
      </c>
      <c r="C33" s="59" t="s">
        <v>13</v>
      </c>
      <c r="D33" s="37">
        <v>54</v>
      </c>
      <c r="E33" s="38">
        <v>6.45</v>
      </c>
      <c r="F33" s="38">
        <v>26.54</v>
      </c>
      <c r="G33" s="38">
        <v>26.54</v>
      </c>
      <c r="H33" s="38">
        <v>0</v>
      </c>
      <c r="I33" s="38"/>
      <c r="J33" s="38">
        <v>48.67</v>
      </c>
      <c r="K33" s="38">
        <v>0</v>
      </c>
      <c r="L33" s="38">
        <v>26.54</v>
      </c>
      <c r="M33" s="38">
        <v>26.54</v>
      </c>
      <c r="N33" s="38">
        <v>0</v>
      </c>
      <c r="O33" s="38"/>
      <c r="P33" s="38">
        <v>0</v>
      </c>
      <c r="Q33" s="39">
        <v>14</v>
      </c>
      <c r="R33" s="40" t="str">
        <f t="shared" si="8"/>
        <v>NO</v>
      </c>
      <c r="S33" s="40" t="str">
        <f t="shared" si="9"/>
        <v>Bajo</v>
      </c>
      <c r="T33" s="4"/>
      <c r="U33" s="4"/>
      <c r="V33" s="4"/>
      <c r="W33" s="4"/>
    </row>
    <row r="34" spans="1:23" ht="24.75" customHeight="1">
      <c r="A34" s="35" t="s">
        <v>185</v>
      </c>
      <c r="B34" s="36" t="s">
        <v>69</v>
      </c>
      <c r="C34" s="59" t="s">
        <v>212</v>
      </c>
      <c r="D34" s="37">
        <v>2056</v>
      </c>
      <c r="E34" s="38">
        <v>0</v>
      </c>
      <c r="F34" s="38">
        <v>0</v>
      </c>
      <c r="G34" s="38">
        <v>2.58</v>
      </c>
      <c r="H34" s="38">
        <v>0</v>
      </c>
      <c r="I34" s="38">
        <v>0</v>
      </c>
      <c r="J34" s="38">
        <v>0</v>
      </c>
      <c r="K34" s="38">
        <v>23.59</v>
      </c>
      <c r="L34" s="38">
        <v>6.45</v>
      </c>
      <c r="M34" s="38">
        <v>0</v>
      </c>
      <c r="N34" s="38">
        <v>6.63</v>
      </c>
      <c r="O34" s="38">
        <v>0</v>
      </c>
      <c r="P34" s="38">
        <v>0</v>
      </c>
      <c r="Q34" s="39">
        <v>3.55</v>
      </c>
      <c r="R34" s="40" t="str">
        <f t="shared" si="8"/>
        <v>SI</v>
      </c>
      <c r="S34" s="40" t="str">
        <f t="shared" si="9"/>
        <v>Sin Riesgo</v>
      </c>
      <c r="T34" s="4"/>
      <c r="U34" s="4"/>
      <c r="V34" s="4"/>
      <c r="W34" s="4"/>
    </row>
    <row r="35" spans="1:23" ht="35.25" customHeight="1">
      <c r="A35" s="35" t="s">
        <v>180</v>
      </c>
      <c r="B35" s="36" t="s">
        <v>70</v>
      </c>
      <c r="C35" s="59" t="s">
        <v>213</v>
      </c>
      <c r="D35" s="37">
        <v>599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9">
        <v>0</v>
      </c>
      <c r="R35" s="40" t="str">
        <f t="shared" si="8"/>
        <v>SI</v>
      </c>
      <c r="S35" s="40" t="str">
        <f t="shared" si="9"/>
        <v>Sin Riesgo</v>
      </c>
      <c r="T35" s="4"/>
      <c r="U35" s="4"/>
      <c r="V35" s="4"/>
      <c r="W35" s="4"/>
    </row>
    <row r="36" spans="1:23" ht="24.75" customHeight="1">
      <c r="A36" s="35" t="s">
        <v>176</v>
      </c>
      <c r="B36" s="36" t="s">
        <v>71</v>
      </c>
      <c r="C36" s="59" t="s">
        <v>206</v>
      </c>
      <c r="D36" s="37">
        <v>17340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3.49</v>
      </c>
      <c r="K36" s="38">
        <v>0</v>
      </c>
      <c r="L36" s="38">
        <v>0</v>
      </c>
      <c r="M36" s="38">
        <v>3.87</v>
      </c>
      <c r="N36" s="38">
        <v>0</v>
      </c>
      <c r="O36" s="38">
        <v>0</v>
      </c>
      <c r="P36" s="38">
        <v>0</v>
      </c>
      <c r="Q36" s="39">
        <v>0.67</v>
      </c>
      <c r="R36" s="40" t="str">
        <f t="shared" si="8"/>
        <v>SI</v>
      </c>
      <c r="S36" s="40" t="str">
        <f t="shared" si="9"/>
        <v>Sin Riesgo</v>
      </c>
      <c r="T36" s="4"/>
      <c r="U36" s="4"/>
      <c r="V36" s="4"/>
      <c r="W36" s="4"/>
    </row>
    <row r="37" spans="1:23" ht="32.25" customHeight="1">
      <c r="A37" s="35" t="s">
        <v>176</v>
      </c>
      <c r="B37" s="36" t="s">
        <v>71</v>
      </c>
      <c r="C37" s="59" t="s">
        <v>214</v>
      </c>
      <c r="D37" s="37">
        <v>224</v>
      </c>
      <c r="E37" s="38">
        <v>0</v>
      </c>
      <c r="F37" s="38">
        <v>0</v>
      </c>
      <c r="G37" s="38">
        <v>0</v>
      </c>
      <c r="H37" s="38">
        <v>5.81</v>
      </c>
      <c r="I37" s="38">
        <v>25.3</v>
      </c>
      <c r="J37" s="38">
        <v>17.26</v>
      </c>
      <c r="K37" s="38">
        <v>5.81</v>
      </c>
      <c r="L37" s="38">
        <v>12.21</v>
      </c>
      <c r="M37" s="38">
        <v>31.12</v>
      </c>
      <c r="N37" s="38">
        <v>25.3</v>
      </c>
      <c r="O37" s="38">
        <v>32.67</v>
      </c>
      <c r="P37" s="38">
        <v>22.09</v>
      </c>
      <c r="Q37" s="39">
        <v>16.79</v>
      </c>
      <c r="R37" s="40" t="str">
        <f t="shared" si="8"/>
        <v>NO</v>
      </c>
      <c r="S37" s="40" t="str">
        <f t="shared" si="9"/>
        <v>Medio</v>
      </c>
      <c r="T37" s="4"/>
      <c r="U37" s="4"/>
      <c r="V37" s="4"/>
      <c r="W37" s="4"/>
    </row>
    <row r="38" spans="1:23" ht="37.5" customHeight="1">
      <c r="A38" s="35" t="s">
        <v>176</v>
      </c>
      <c r="B38" s="36" t="s">
        <v>71</v>
      </c>
      <c r="C38" s="59" t="s">
        <v>215</v>
      </c>
      <c r="D38" s="37">
        <v>1150</v>
      </c>
      <c r="E38" s="38">
        <v>0</v>
      </c>
      <c r="F38" s="38">
        <v>0</v>
      </c>
      <c r="G38" s="38">
        <v>0</v>
      </c>
      <c r="H38" s="38">
        <v>0</v>
      </c>
      <c r="I38" s="38">
        <v>8.14</v>
      </c>
      <c r="J38" s="38">
        <v>25.3</v>
      </c>
      <c r="K38" s="38">
        <v>0</v>
      </c>
      <c r="L38" s="38">
        <v>12.21</v>
      </c>
      <c r="M38" s="38">
        <v>2.32</v>
      </c>
      <c r="N38" s="38">
        <v>14.59</v>
      </c>
      <c r="O38" s="38">
        <v>23.62</v>
      </c>
      <c r="P38" s="38">
        <v>0</v>
      </c>
      <c r="Q38" s="39">
        <v>7.46</v>
      </c>
      <c r="R38" s="40" t="str">
        <f t="shared" si="8"/>
        <v>NO</v>
      </c>
      <c r="S38" s="40" t="str">
        <f t="shared" si="9"/>
        <v>Bajo</v>
      </c>
      <c r="T38" s="4"/>
      <c r="U38" s="4"/>
      <c r="V38" s="4"/>
      <c r="W38" s="4"/>
    </row>
    <row r="39" spans="1:23" ht="33.75" customHeight="1">
      <c r="A39" s="35" t="s">
        <v>183</v>
      </c>
      <c r="B39" s="36" t="s">
        <v>72</v>
      </c>
      <c r="C39" s="61" t="s">
        <v>216</v>
      </c>
      <c r="D39" s="47">
        <v>803</v>
      </c>
      <c r="E39" s="38">
        <v>0</v>
      </c>
      <c r="F39" s="38">
        <v>0</v>
      </c>
      <c r="G39" s="38">
        <v>0</v>
      </c>
      <c r="H39" s="38">
        <v>9.03</v>
      </c>
      <c r="I39" s="38">
        <v>0</v>
      </c>
      <c r="J39" s="38">
        <v>5.92</v>
      </c>
      <c r="K39" s="38">
        <v>0</v>
      </c>
      <c r="L39" s="38">
        <v>0</v>
      </c>
      <c r="M39" s="38">
        <v>9.03</v>
      </c>
      <c r="N39" s="38">
        <v>0</v>
      </c>
      <c r="O39" s="38">
        <v>0</v>
      </c>
      <c r="P39" s="38">
        <v>0</v>
      </c>
      <c r="Q39" s="39">
        <v>2</v>
      </c>
      <c r="R39" s="40" t="str">
        <f t="shared" si="8"/>
        <v>SI</v>
      </c>
      <c r="S39" s="40" t="str">
        <f t="shared" si="9"/>
        <v>Sin Riesgo</v>
      </c>
      <c r="T39" s="4"/>
      <c r="U39" s="4"/>
      <c r="V39" s="4"/>
      <c r="W39" s="4"/>
    </row>
    <row r="40" spans="1:23" ht="24.75" customHeight="1">
      <c r="A40" s="35" t="s">
        <v>180</v>
      </c>
      <c r="B40" s="36" t="s">
        <v>73</v>
      </c>
      <c r="C40" s="59" t="s">
        <v>217</v>
      </c>
      <c r="D40" s="37">
        <v>1515</v>
      </c>
      <c r="E40" s="38">
        <v>0</v>
      </c>
      <c r="F40" s="38">
        <v>6.45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9">
        <v>0.54</v>
      </c>
      <c r="R40" s="40" t="str">
        <f t="shared" si="8"/>
        <v>SI</v>
      </c>
      <c r="S40" s="40" t="str">
        <f t="shared" si="9"/>
        <v>Sin Riesgo</v>
      </c>
      <c r="T40" s="4"/>
      <c r="U40" s="4"/>
      <c r="V40" s="4"/>
      <c r="W40" s="4"/>
    </row>
    <row r="41" spans="1:23" ht="32.25" customHeight="1">
      <c r="A41" s="48" t="s">
        <v>186</v>
      </c>
      <c r="B41" s="36" t="s">
        <v>74</v>
      </c>
      <c r="C41" s="59" t="s">
        <v>218</v>
      </c>
      <c r="D41" s="37">
        <v>1031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0.88</v>
      </c>
      <c r="K41" s="38">
        <v>0</v>
      </c>
      <c r="L41" s="38">
        <v>0</v>
      </c>
      <c r="M41" s="38">
        <v>0</v>
      </c>
      <c r="N41" s="38">
        <v>0.64</v>
      </c>
      <c r="O41" s="38">
        <v>0</v>
      </c>
      <c r="P41" s="38">
        <v>1.52</v>
      </c>
      <c r="Q41" s="39">
        <v>0.26</v>
      </c>
      <c r="R41" s="40" t="str">
        <f t="shared" si="8"/>
        <v>SI</v>
      </c>
      <c r="S41" s="40" t="str">
        <f t="shared" si="9"/>
        <v>Sin Riesgo</v>
      </c>
      <c r="T41" s="13"/>
      <c r="U41" s="4"/>
      <c r="V41" s="4"/>
      <c r="W41" s="4"/>
    </row>
    <row r="42" spans="1:23" ht="26.25" customHeight="1">
      <c r="A42" s="35" t="s">
        <v>181</v>
      </c>
      <c r="B42" s="36" t="s">
        <v>75</v>
      </c>
      <c r="C42" s="59" t="s">
        <v>219</v>
      </c>
      <c r="D42" s="37">
        <v>970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9">
        <v>0</v>
      </c>
      <c r="R42" s="40" t="str">
        <f t="shared" si="8"/>
        <v>SI</v>
      </c>
      <c r="S42" s="40" t="str">
        <f t="shared" si="9"/>
        <v>Sin Riesgo</v>
      </c>
      <c r="T42" s="4"/>
      <c r="U42" s="4"/>
      <c r="V42" s="4"/>
      <c r="W42" s="4"/>
    </row>
    <row r="43" spans="1:23" ht="24.75" customHeight="1">
      <c r="A43" s="35" t="s">
        <v>184</v>
      </c>
      <c r="B43" s="36" t="s">
        <v>76</v>
      </c>
      <c r="C43" s="59" t="s">
        <v>204</v>
      </c>
      <c r="D43" s="37">
        <v>7373</v>
      </c>
      <c r="E43" s="38">
        <v>0</v>
      </c>
      <c r="F43" s="38">
        <v>0</v>
      </c>
      <c r="G43" s="38">
        <v>4.96</v>
      </c>
      <c r="H43" s="38">
        <v>3.87</v>
      </c>
      <c r="I43" s="38">
        <v>9.41</v>
      </c>
      <c r="J43" s="38">
        <v>3.87</v>
      </c>
      <c r="K43" s="38">
        <v>0.88</v>
      </c>
      <c r="L43" s="38">
        <v>5.3</v>
      </c>
      <c r="M43" s="38">
        <v>3.87</v>
      </c>
      <c r="N43" s="38">
        <v>9.67</v>
      </c>
      <c r="O43" s="38">
        <v>0</v>
      </c>
      <c r="P43" s="38">
        <v>3.87</v>
      </c>
      <c r="Q43" s="39">
        <v>3.82</v>
      </c>
      <c r="R43" s="40" t="str">
        <f t="shared" si="8"/>
        <v>SI</v>
      </c>
      <c r="S43" s="40" t="str">
        <f t="shared" si="9"/>
        <v>Sin Riesgo</v>
      </c>
      <c r="T43" s="4"/>
      <c r="U43" s="4"/>
      <c r="V43" s="4"/>
      <c r="W43" s="4"/>
    </row>
    <row r="44" spans="1:23" ht="35.25" customHeight="1">
      <c r="A44" s="35" t="s">
        <v>183</v>
      </c>
      <c r="B44" s="36" t="s">
        <v>187</v>
      </c>
      <c r="C44" s="59" t="s">
        <v>220</v>
      </c>
      <c r="D44" s="37">
        <v>1212</v>
      </c>
      <c r="E44" s="38">
        <v>0</v>
      </c>
      <c r="F44" s="38">
        <v>0</v>
      </c>
      <c r="G44" s="38">
        <v>0</v>
      </c>
      <c r="H44" s="38">
        <v>0</v>
      </c>
      <c r="I44" s="38">
        <v>8.85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9">
        <v>0.74</v>
      </c>
      <c r="R44" s="40" t="str">
        <f t="shared" si="8"/>
        <v>SI</v>
      </c>
      <c r="S44" s="40" t="str">
        <f t="shared" si="9"/>
        <v>Sin Riesgo</v>
      </c>
      <c r="T44" s="4"/>
      <c r="U44" s="4"/>
      <c r="V44" s="4"/>
      <c r="W44" s="4"/>
    </row>
    <row r="45" spans="1:23" ht="24.75" customHeight="1">
      <c r="A45" s="35" t="s">
        <v>185</v>
      </c>
      <c r="B45" s="36" t="s">
        <v>77</v>
      </c>
      <c r="C45" s="59" t="s">
        <v>221</v>
      </c>
      <c r="D45" s="37">
        <v>11523</v>
      </c>
      <c r="E45" s="38">
        <v>0</v>
      </c>
      <c r="F45" s="38">
        <v>0.77</v>
      </c>
      <c r="G45" s="38">
        <v>10.61</v>
      </c>
      <c r="H45" s="38">
        <v>0</v>
      </c>
      <c r="I45" s="38">
        <v>14.19</v>
      </c>
      <c r="J45" s="38">
        <v>0</v>
      </c>
      <c r="K45" s="38">
        <v>0</v>
      </c>
      <c r="L45" s="38">
        <v>0</v>
      </c>
      <c r="M45" s="38">
        <v>3.52</v>
      </c>
      <c r="N45" s="38">
        <v>0</v>
      </c>
      <c r="O45" s="38">
        <v>0</v>
      </c>
      <c r="P45" s="38">
        <v>0</v>
      </c>
      <c r="Q45" s="39">
        <v>2.42</v>
      </c>
      <c r="R45" s="40" t="str">
        <f t="shared" si="8"/>
        <v>SI</v>
      </c>
      <c r="S45" s="40" t="str">
        <f t="shared" si="9"/>
        <v>Sin Riesgo</v>
      </c>
      <c r="T45" s="4"/>
      <c r="U45" s="4"/>
      <c r="V45" s="4"/>
      <c r="W45" s="4"/>
    </row>
    <row r="46" spans="1:23" ht="24.75" customHeight="1">
      <c r="A46" s="35" t="s">
        <v>185</v>
      </c>
      <c r="B46" s="36" t="s">
        <v>77</v>
      </c>
      <c r="C46" s="59" t="s">
        <v>222</v>
      </c>
      <c r="D46" s="37">
        <v>1500</v>
      </c>
      <c r="E46" s="38">
        <v>0</v>
      </c>
      <c r="F46" s="38">
        <v>0</v>
      </c>
      <c r="G46" s="38">
        <v>0.64</v>
      </c>
      <c r="H46" s="38">
        <v>9.49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9">
        <v>0.84</v>
      </c>
      <c r="R46" s="40" t="str">
        <f t="shared" si="8"/>
        <v>SI</v>
      </c>
      <c r="S46" s="40" t="str">
        <f t="shared" si="9"/>
        <v>Sin Riesgo</v>
      </c>
      <c r="T46" s="4"/>
      <c r="U46" s="4"/>
      <c r="V46" s="4"/>
      <c r="W46" s="4"/>
    </row>
    <row r="47" spans="1:23" ht="24.75" customHeight="1">
      <c r="A47" s="35" t="s">
        <v>185</v>
      </c>
      <c r="B47" s="36" t="s">
        <v>77</v>
      </c>
      <c r="C47" s="59" t="s">
        <v>325</v>
      </c>
      <c r="D47" s="55">
        <v>749</v>
      </c>
      <c r="E47" s="38"/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8.84</v>
      </c>
      <c r="N47" s="38">
        <v>0</v>
      </c>
      <c r="O47" s="38">
        <v>0</v>
      </c>
      <c r="P47" s="38">
        <v>0</v>
      </c>
      <c r="Q47" s="39">
        <v>0.88</v>
      </c>
      <c r="R47" s="40" t="str">
        <f t="shared" si="8"/>
        <v>SI</v>
      </c>
      <c r="S47" s="40" t="str">
        <f t="shared" si="9"/>
        <v>Sin Riesgo</v>
      </c>
      <c r="T47" s="4"/>
      <c r="U47" s="4"/>
      <c r="V47" s="4"/>
      <c r="W47" s="4"/>
    </row>
    <row r="48" spans="1:23" ht="24.75" customHeight="1">
      <c r="A48" s="35" t="s">
        <v>185</v>
      </c>
      <c r="B48" s="36" t="s">
        <v>77</v>
      </c>
      <c r="C48" s="59" t="s">
        <v>223</v>
      </c>
      <c r="D48" s="37">
        <v>1458</v>
      </c>
      <c r="E48" s="38">
        <v>0</v>
      </c>
      <c r="F48" s="38">
        <v>6.45</v>
      </c>
      <c r="G48" s="38">
        <v>6.45</v>
      </c>
      <c r="H48" s="38">
        <v>0</v>
      </c>
      <c r="I48" s="38">
        <v>0</v>
      </c>
      <c r="J48" s="38">
        <v>0</v>
      </c>
      <c r="K48" s="38">
        <v>0</v>
      </c>
      <c r="L48" s="38">
        <v>6.45</v>
      </c>
      <c r="M48" s="38">
        <v>0</v>
      </c>
      <c r="N48" s="38">
        <v>0</v>
      </c>
      <c r="O48" s="38">
        <v>0</v>
      </c>
      <c r="P48" s="38">
        <v>0</v>
      </c>
      <c r="Q48" s="39">
        <v>1.61</v>
      </c>
      <c r="R48" s="40" t="str">
        <f t="shared" si="8"/>
        <v>SI</v>
      </c>
      <c r="S48" s="40" t="str">
        <f t="shared" si="9"/>
        <v>Sin Riesgo</v>
      </c>
      <c r="T48" s="4"/>
      <c r="U48" s="4"/>
      <c r="V48" s="4"/>
      <c r="W48" s="4"/>
    </row>
    <row r="49" spans="1:23" ht="24.75" customHeight="1">
      <c r="A49" s="35" t="s">
        <v>185</v>
      </c>
      <c r="B49" s="36" t="s">
        <v>77</v>
      </c>
      <c r="C49" s="59" t="s">
        <v>224</v>
      </c>
      <c r="D49" s="37">
        <v>1973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9">
        <v>0</v>
      </c>
      <c r="R49" s="40" t="str">
        <f t="shared" si="8"/>
        <v>SI</v>
      </c>
      <c r="S49" s="40" t="str">
        <f t="shared" si="9"/>
        <v>Sin Riesgo</v>
      </c>
      <c r="T49" s="4"/>
      <c r="U49" s="4"/>
      <c r="V49" s="4"/>
      <c r="W49" s="4"/>
    </row>
    <row r="50" spans="1:23" ht="24.75" customHeight="1">
      <c r="A50" s="35" t="s">
        <v>185</v>
      </c>
      <c r="B50" s="36" t="s">
        <v>77</v>
      </c>
      <c r="C50" s="59" t="s">
        <v>326</v>
      </c>
      <c r="D50" s="37">
        <v>1986</v>
      </c>
      <c r="E50" s="38"/>
      <c r="F50" s="38">
        <v>2.29</v>
      </c>
      <c r="G50" s="38">
        <v>2.41</v>
      </c>
      <c r="H50" s="38">
        <v>2.29</v>
      </c>
      <c r="I50" s="38">
        <v>7.68</v>
      </c>
      <c r="J50" s="38">
        <v>0</v>
      </c>
      <c r="K50" s="38">
        <v>0</v>
      </c>
      <c r="L50" s="38">
        <v>0</v>
      </c>
      <c r="M50" s="38">
        <v>6.45</v>
      </c>
      <c r="N50" s="38">
        <v>0</v>
      </c>
      <c r="O50" s="38">
        <v>13.27</v>
      </c>
      <c r="P50" s="38"/>
      <c r="Q50" s="39">
        <v>3.41</v>
      </c>
      <c r="R50" s="40" t="str">
        <f t="shared" si="8"/>
        <v>SI</v>
      </c>
      <c r="S50" s="40" t="str">
        <f t="shared" si="9"/>
        <v>Sin Riesgo</v>
      </c>
      <c r="T50" s="4"/>
      <c r="U50" s="4"/>
      <c r="V50" s="4"/>
      <c r="W50" s="4"/>
    </row>
    <row r="51" spans="1:23" ht="24.75" customHeight="1">
      <c r="A51" s="35" t="s">
        <v>184</v>
      </c>
      <c r="B51" s="36" t="s">
        <v>78</v>
      </c>
      <c r="C51" s="59" t="s">
        <v>204</v>
      </c>
      <c r="D51" s="37">
        <v>12490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3.87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9">
        <v>0.32</v>
      </c>
      <c r="R51" s="40" t="str">
        <f t="shared" si="8"/>
        <v>SI</v>
      </c>
      <c r="S51" s="40" t="str">
        <f t="shared" si="9"/>
        <v>Sin Riesgo</v>
      </c>
      <c r="T51" s="4"/>
      <c r="U51" s="4"/>
      <c r="V51" s="4"/>
      <c r="W51" s="4"/>
    </row>
    <row r="52" spans="1:23" ht="36" customHeight="1">
      <c r="A52" s="35" t="s">
        <v>182</v>
      </c>
      <c r="B52" s="41" t="s">
        <v>79</v>
      </c>
      <c r="C52" s="59" t="s">
        <v>225</v>
      </c>
      <c r="D52" s="37">
        <v>732</v>
      </c>
      <c r="E52" s="38">
        <v>90.32</v>
      </c>
      <c r="F52" s="38">
        <v>70.96</v>
      </c>
      <c r="G52" s="38">
        <v>70.96</v>
      </c>
      <c r="H52" s="38">
        <v>70.96</v>
      </c>
      <c r="I52" s="38">
        <v>98.06</v>
      </c>
      <c r="J52" s="38">
        <v>70.96</v>
      </c>
      <c r="K52" s="38">
        <v>65.08</v>
      </c>
      <c r="L52" s="38">
        <v>70.96</v>
      </c>
      <c r="M52" s="38">
        <v>70.96</v>
      </c>
      <c r="N52" s="38">
        <v>70.96</v>
      </c>
      <c r="O52" s="38">
        <v>90.32</v>
      </c>
      <c r="P52" s="38">
        <v>70.96</v>
      </c>
      <c r="Q52" s="39">
        <v>75.95</v>
      </c>
      <c r="R52" s="40" t="str">
        <f t="shared" si="8"/>
        <v>NO</v>
      </c>
      <c r="S52" s="40" t="str">
        <f t="shared" si="9"/>
        <v>Alto</v>
      </c>
      <c r="T52" s="13"/>
      <c r="U52" s="4"/>
      <c r="V52" s="4"/>
      <c r="W52" s="4"/>
    </row>
    <row r="53" spans="1:23" ht="36" customHeight="1">
      <c r="A53" s="35" t="s">
        <v>182</v>
      </c>
      <c r="B53" s="41" t="s">
        <v>79</v>
      </c>
      <c r="C53" s="59" t="s">
        <v>226</v>
      </c>
      <c r="D53" s="37">
        <v>180</v>
      </c>
      <c r="E53" s="38">
        <v>70.96</v>
      </c>
      <c r="F53" s="38">
        <v>70.96</v>
      </c>
      <c r="G53" s="38">
        <v>70.96</v>
      </c>
      <c r="H53" s="38">
        <v>70.96</v>
      </c>
      <c r="I53" s="38">
        <v>90.32</v>
      </c>
      <c r="J53" s="38">
        <v>90.32</v>
      </c>
      <c r="K53" s="38">
        <v>82.84</v>
      </c>
      <c r="L53" s="38">
        <v>98.06</v>
      </c>
      <c r="M53" s="38">
        <v>90.32</v>
      </c>
      <c r="N53" s="38">
        <v>90.32</v>
      </c>
      <c r="O53" s="38">
        <v>97.34</v>
      </c>
      <c r="P53" s="38">
        <v>70.96</v>
      </c>
      <c r="Q53" s="39">
        <v>82.86</v>
      </c>
      <c r="R53" s="40" t="str">
        <f t="shared" si="8"/>
        <v>NO</v>
      </c>
      <c r="S53" s="40" t="str">
        <f t="shared" si="9"/>
        <v>Inviable Sanitariamente</v>
      </c>
      <c r="T53" s="4"/>
      <c r="U53" s="4"/>
      <c r="V53" s="4"/>
      <c r="W53" s="4"/>
    </row>
    <row r="54" spans="1:23" ht="33.75" customHeight="1">
      <c r="A54" s="35" t="s">
        <v>182</v>
      </c>
      <c r="B54" s="41" t="s">
        <v>79</v>
      </c>
      <c r="C54" s="59" t="s">
        <v>227</v>
      </c>
      <c r="D54" s="37">
        <v>102</v>
      </c>
      <c r="E54" s="38">
        <v>70.96</v>
      </c>
      <c r="F54" s="38">
        <v>90.32</v>
      </c>
      <c r="G54" s="38">
        <v>70.96</v>
      </c>
      <c r="H54" s="38">
        <v>70.96</v>
      </c>
      <c r="I54" s="38">
        <v>90.32</v>
      </c>
      <c r="J54" s="38">
        <v>89.94</v>
      </c>
      <c r="K54" s="38">
        <v>70.96</v>
      </c>
      <c r="L54" s="38">
        <v>70.96</v>
      </c>
      <c r="M54" s="38">
        <v>90.32</v>
      </c>
      <c r="N54" s="38">
        <v>70.96</v>
      </c>
      <c r="O54" s="38">
        <v>70.96</v>
      </c>
      <c r="P54" s="38">
        <v>70.96</v>
      </c>
      <c r="Q54" s="39">
        <v>77.38</v>
      </c>
      <c r="R54" s="40" t="str">
        <f t="shared" si="8"/>
        <v>NO</v>
      </c>
      <c r="S54" s="40" t="str">
        <f t="shared" si="9"/>
        <v>Alto</v>
      </c>
      <c r="T54" s="4"/>
      <c r="U54" s="4"/>
      <c r="V54" s="4"/>
      <c r="W54" s="4"/>
    </row>
    <row r="55" spans="1:23" ht="30.75" customHeight="1">
      <c r="A55" s="35" t="s">
        <v>182</v>
      </c>
      <c r="B55" s="41" t="s">
        <v>79</v>
      </c>
      <c r="C55" s="59" t="s">
        <v>228</v>
      </c>
      <c r="D55" s="37">
        <v>132</v>
      </c>
      <c r="E55" s="38">
        <v>90.32</v>
      </c>
      <c r="F55" s="38">
        <v>90.32</v>
      </c>
      <c r="G55" s="38">
        <v>90.32</v>
      </c>
      <c r="H55" s="38">
        <v>98.06</v>
      </c>
      <c r="I55" s="38">
        <v>70.96</v>
      </c>
      <c r="J55" s="38">
        <v>82.84</v>
      </c>
      <c r="K55" s="38">
        <v>70.96</v>
      </c>
      <c r="L55" s="38">
        <v>90.32</v>
      </c>
      <c r="M55" s="38">
        <v>90.32</v>
      </c>
      <c r="N55" s="38">
        <v>90.32</v>
      </c>
      <c r="O55" s="38">
        <v>38.7</v>
      </c>
      <c r="P55" s="38">
        <v>90.32</v>
      </c>
      <c r="Q55" s="39">
        <v>82.81</v>
      </c>
      <c r="R55" s="40" t="str">
        <f t="shared" si="8"/>
        <v>NO</v>
      </c>
      <c r="S55" s="40" t="str">
        <f t="shared" si="9"/>
        <v>Inviable Sanitariamente</v>
      </c>
      <c r="T55" s="4"/>
      <c r="U55" s="4"/>
      <c r="V55" s="4"/>
      <c r="W55" s="4"/>
    </row>
    <row r="56" spans="1:23" ht="33.75" customHeight="1">
      <c r="A56" s="35" t="s">
        <v>182</v>
      </c>
      <c r="B56" s="41" t="s">
        <v>79</v>
      </c>
      <c r="C56" s="59" t="s">
        <v>229</v>
      </c>
      <c r="D56" s="37">
        <v>1537</v>
      </c>
      <c r="E56" s="38">
        <v>0</v>
      </c>
      <c r="F56" s="38">
        <v>0</v>
      </c>
      <c r="G56" s="38">
        <v>6.45</v>
      </c>
      <c r="H56" s="38">
        <v>0</v>
      </c>
      <c r="I56" s="38">
        <v>0.88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23.59</v>
      </c>
      <c r="P56" s="38">
        <v>0</v>
      </c>
      <c r="Q56" s="39">
        <v>2.57</v>
      </c>
      <c r="R56" s="40" t="str">
        <f t="shared" si="8"/>
        <v>SI</v>
      </c>
      <c r="S56" s="40" t="str">
        <f t="shared" si="9"/>
        <v>Sin Riesgo</v>
      </c>
      <c r="T56" s="4"/>
      <c r="U56" s="4"/>
      <c r="V56" s="4"/>
      <c r="W56" s="4"/>
    </row>
    <row r="57" spans="1:23" ht="33.75" customHeight="1">
      <c r="A57" s="35" t="s">
        <v>182</v>
      </c>
      <c r="B57" s="41" t="s">
        <v>79</v>
      </c>
      <c r="C57" s="59" t="s">
        <v>230</v>
      </c>
      <c r="D57" s="37">
        <v>261</v>
      </c>
      <c r="E57" s="38">
        <v>90.32</v>
      </c>
      <c r="F57" s="38">
        <v>90.32</v>
      </c>
      <c r="G57" s="38">
        <v>90.32</v>
      </c>
      <c r="H57" s="38">
        <v>90.32</v>
      </c>
      <c r="I57" s="38">
        <v>98.06</v>
      </c>
      <c r="J57" s="38">
        <v>82.84</v>
      </c>
      <c r="K57" s="38">
        <v>70.96</v>
      </c>
      <c r="L57" s="38">
        <v>90.32</v>
      </c>
      <c r="M57" s="38">
        <v>90.32</v>
      </c>
      <c r="N57" s="38">
        <v>70.96</v>
      </c>
      <c r="O57" s="38">
        <v>70.96</v>
      </c>
      <c r="P57" s="38">
        <v>90.32</v>
      </c>
      <c r="Q57" s="39">
        <v>85.5</v>
      </c>
      <c r="R57" s="40" t="str">
        <f t="shared" si="8"/>
        <v>NO</v>
      </c>
      <c r="S57" s="40" t="str">
        <f t="shared" si="9"/>
        <v>Inviable Sanitariamente</v>
      </c>
      <c r="T57" s="4"/>
      <c r="U57" s="4"/>
      <c r="V57" s="4"/>
      <c r="W57" s="4"/>
    </row>
    <row r="58" spans="1:23" ht="35.25" customHeight="1">
      <c r="A58" s="35" t="s">
        <v>182</v>
      </c>
      <c r="B58" s="41" t="s">
        <v>79</v>
      </c>
      <c r="C58" s="59" t="s">
        <v>231</v>
      </c>
      <c r="D58" s="37">
        <v>45</v>
      </c>
      <c r="E58" s="38">
        <v>90.32</v>
      </c>
      <c r="F58" s="38">
        <v>70.96</v>
      </c>
      <c r="G58" s="38">
        <v>70.96</v>
      </c>
      <c r="H58" s="38">
        <v>70.96</v>
      </c>
      <c r="I58" s="38">
        <v>90.32</v>
      </c>
      <c r="J58" s="38">
        <v>65.08</v>
      </c>
      <c r="K58" s="38">
        <v>70.96</v>
      </c>
      <c r="L58" s="38">
        <v>70.96</v>
      </c>
      <c r="M58" s="38">
        <v>90.32</v>
      </c>
      <c r="N58" s="38">
        <v>90.32</v>
      </c>
      <c r="O58" s="38"/>
      <c r="P58" s="38">
        <v>90.32</v>
      </c>
      <c r="Q58" s="39">
        <v>79.22</v>
      </c>
      <c r="R58" s="40" t="str">
        <f t="shared" si="8"/>
        <v>NO</v>
      </c>
      <c r="S58" s="40" t="str">
        <f t="shared" si="9"/>
        <v>Alto</v>
      </c>
      <c r="T58" s="4"/>
      <c r="U58" s="4"/>
      <c r="V58" s="4"/>
      <c r="W58" s="4"/>
    </row>
    <row r="59" spans="1:23" ht="24.75" customHeight="1">
      <c r="A59" s="35" t="s">
        <v>181</v>
      </c>
      <c r="B59" s="41" t="s">
        <v>80</v>
      </c>
      <c r="C59" s="59" t="s">
        <v>14</v>
      </c>
      <c r="D59" s="37">
        <v>95</v>
      </c>
      <c r="E59" s="38">
        <v>0</v>
      </c>
      <c r="F59" s="38">
        <v>0</v>
      </c>
      <c r="G59" s="38">
        <v>15.3</v>
      </c>
      <c r="H59" s="38">
        <v>0</v>
      </c>
      <c r="I59" s="38">
        <v>14.98</v>
      </c>
      <c r="J59" s="38">
        <v>0</v>
      </c>
      <c r="K59" s="38">
        <v>0</v>
      </c>
      <c r="L59" s="38">
        <v>0</v>
      </c>
      <c r="M59" s="38">
        <v>0</v>
      </c>
      <c r="N59" s="38">
        <v>15.3</v>
      </c>
      <c r="O59" s="38">
        <v>6.45</v>
      </c>
      <c r="P59" s="38">
        <v>0</v>
      </c>
      <c r="Q59" s="39">
        <v>4.34</v>
      </c>
      <c r="R59" s="40" t="str">
        <f t="shared" si="8"/>
        <v>SI</v>
      </c>
      <c r="S59" s="40" t="str">
        <f t="shared" si="9"/>
        <v>Sin Riesgo</v>
      </c>
      <c r="T59" s="4"/>
      <c r="U59" s="4"/>
      <c r="V59" s="4"/>
      <c r="W59" s="4"/>
    </row>
    <row r="60" spans="1:23" ht="24.75" customHeight="1">
      <c r="A60" s="35" t="s">
        <v>181</v>
      </c>
      <c r="B60" s="41" t="s">
        <v>80</v>
      </c>
      <c r="C60" s="59" t="s">
        <v>30</v>
      </c>
      <c r="D60" s="37">
        <v>4850</v>
      </c>
      <c r="E60" s="38">
        <v>0</v>
      </c>
      <c r="F60" s="38">
        <v>0</v>
      </c>
      <c r="G60" s="38">
        <v>0</v>
      </c>
      <c r="H60" s="38">
        <v>9.03</v>
      </c>
      <c r="I60" s="38">
        <v>0</v>
      </c>
      <c r="J60" s="38">
        <v>5.88</v>
      </c>
      <c r="K60" s="49">
        <v>0</v>
      </c>
      <c r="L60" s="49">
        <v>0</v>
      </c>
      <c r="M60" s="49">
        <v>0</v>
      </c>
      <c r="N60" s="49">
        <v>0</v>
      </c>
      <c r="O60" s="49">
        <v>0</v>
      </c>
      <c r="P60" s="49">
        <v>0</v>
      </c>
      <c r="Q60" s="39">
        <v>1.24</v>
      </c>
      <c r="R60" s="40" t="str">
        <f t="shared" si="8"/>
        <v>SI</v>
      </c>
      <c r="S60" s="40" t="str">
        <f t="shared" si="9"/>
        <v>Sin Riesgo</v>
      </c>
      <c r="T60" s="4"/>
      <c r="U60" s="4"/>
      <c r="V60" s="4"/>
      <c r="W60" s="4"/>
    </row>
    <row r="61" spans="1:23" ht="40.5" customHeight="1">
      <c r="A61" s="35" t="s">
        <v>181</v>
      </c>
      <c r="B61" s="41" t="s">
        <v>80</v>
      </c>
      <c r="C61" s="59" t="s">
        <v>232</v>
      </c>
      <c r="D61" s="37">
        <v>209</v>
      </c>
      <c r="E61" s="38">
        <v>6.45</v>
      </c>
      <c r="F61" s="38">
        <v>17.7</v>
      </c>
      <c r="G61" s="38">
        <v>21.75</v>
      </c>
      <c r="H61" s="38">
        <v>0</v>
      </c>
      <c r="I61" s="38">
        <v>8.85</v>
      </c>
      <c r="J61" s="38">
        <v>0</v>
      </c>
      <c r="K61" s="38">
        <v>16.31</v>
      </c>
      <c r="L61" s="38">
        <v>17.7</v>
      </c>
      <c r="M61" s="38">
        <v>47.74</v>
      </c>
      <c r="N61" s="38">
        <v>0</v>
      </c>
      <c r="O61" s="38">
        <v>8.85</v>
      </c>
      <c r="P61" s="38">
        <v>6.45</v>
      </c>
      <c r="Q61" s="39">
        <v>13.1</v>
      </c>
      <c r="R61" s="40" t="str">
        <f t="shared" si="8"/>
        <v>NO</v>
      </c>
      <c r="S61" s="40" t="str">
        <f t="shared" si="9"/>
        <v>Bajo</v>
      </c>
      <c r="T61" s="4"/>
      <c r="U61" s="4"/>
      <c r="V61" s="4"/>
      <c r="W61" s="4"/>
    </row>
    <row r="62" spans="1:23" ht="24.75" customHeight="1">
      <c r="A62" s="35" t="s">
        <v>179</v>
      </c>
      <c r="B62" s="36" t="s">
        <v>81</v>
      </c>
      <c r="C62" s="59" t="s">
        <v>233</v>
      </c>
      <c r="D62" s="37">
        <v>2832</v>
      </c>
      <c r="E62" s="38">
        <v>0</v>
      </c>
      <c r="F62" s="38">
        <v>0</v>
      </c>
      <c r="G62" s="38">
        <v>0</v>
      </c>
      <c r="H62" s="38">
        <v>5.91</v>
      </c>
      <c r="I62" s="38">
        <v>0</v>
      </c>
      <c r="J62" s="38">
        <v>0</v>
      </c>
      <c r="K62" s="38">
        <v>0</v>
      </c>
      <c r="L62" s="38">
        <v>6.45</v>
      </c>
      <c r="M62" s="38">
        <v>15.29</v>
      </c>
      <c r="N62" s="38">
        <v>6.45</v>
      </c>
      <c r="O62" s="38">
        <v>0</v>
      </c>
      <c r="P62" s="38">
        <v>0</v>
      </c>
      <c r="Q62" s="39">
        <v>2.84</v>
      </c>
      <c r="R62" s="40" t="str">
        <f t="shared" si="8"/>
        <v>SI</v>
      </c>
      <c r="S62" s="40" t="str">
        <f t="shared" si="9"/>
        <v>Sin Riesgo</v>
      </c>
      <c r="T62" s="4"/>
      <c r="U62" s="4"/>
      <c r="V62" s="4"/>
      <c r="W62" s="4"/>
    </row>
    <row r="63" spans="1:23" ht="33.75" customHeight="1">
      <c r="A63" s="35" t="s">
        <v>179</v>
      </c>
      <c r="B63" s="36" t="s">
        <v>82</v>
      </c>
      <c r="C63" s="59" t="s">
        <v>234</v>
      </c>
      <c r="D63" s="37">
        <v>840</v>
      </c>
      <c r="E63" s="38">
        <v>0</v>
      </c>
      <c r="F63" s="38">
        <v>0</v>
      </c>
      <c r="G63" s="38">
        <v>6.45</v>
      </c>
      <c r="H63" s="38">
        <v>0</v>
      </c>
      <c r="I63" s="38">
        <v>0</v>
      </c>
      <c r="J63" s="38">
        <v>0</v>
      </c>
      <c r="K63" s="38">
        <v>0.88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9">
        <v>0.62</v>
      </c>
      <c r="R63" s="40" t="str">
        <f t="shared" si="8"/>
        <v>SI</v>
      </c>
      <c r="S63" s="40" t="str">
        <f t="shared" si="9"/>
        <v>Sin Riesgo</v>
      </c>
      <c r="T63" s="4"/>
      <c r="U63" s="4"/>
      <c r="V63" s="4"/>
      <c r="W63" s="4"/>
    </row>
    <row r="64" spans="1:23" ht="24.75" customHeight="1">
      <c r="A64" s="35" t="s">
        <v>181</v>
      </c>
      <c r="B64" s="36" t="s">
        <v>83</v>
      </c>
      <c r="C64" s="59" t="s">
        <v>235</v>
      </c>
      <c r="D64" s="37">
        <v>2521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9">
        <v>0</v>
      </c>
      <c r="R64" s="40" t="str">
        <f t="shared" si="8"/>
        <v>SI</v>
      </c>
      <c r="S64" s="40" t="str">
        <f t="shared" si="9"/>
        <v>Sin Riesgo</v>
      </c>
      <c r="T64" s="4"/>
      <c r="U64" s="4"/>
      <c r="V64" s="4"/>
      <c r="W64" s="4"/>
    </row>
    <row r="65" spans="1:23" ht="24.75" customHeight="1">
      <c r="A65" s="35" t="s">
        <v>176</v>
      </c>
      <c r="B65" s="36" t="s">
        <v>84</v>
      </c>
      <c r="C65" s="59" t="s">
        <v>236</v>
      </c>
      <c r="D65" s="37">
        <v>18501</v>
      </c>
      <c r="E65" s="38">
        <v>0</v>
      </c>
      <c r="F65" s="38">
        <v>0</v>
      </c>
      <c r="G65" s="38">
        <v>0</v>
      </c>
      <c r="H65" s="38">
        <v>0</v>
      </c>
      <c r="I65" s="38">
        <v>6.77</v>
      </c>
      <c r="J65" s="38">
        <v>0</v>
      </c>
      <c r="K65" s="38">
        <v>0.27</v>
      </c>
      <c r="L65" s="38">
        <v>0.71</v>
      </c>
      <c r="M65" s="38">
        <v>0.77</v>
      </c>
      <c r="N65" s="38">
        <v>0.78</v>
      </c>
      <c r="O65" s="38">
        <v>0.88</v>
      </c>
      <c r="P65" s="38">
        <v>0</v>
      </c>
      <c r="Q65" s="39">
        <v>0.7</v>
      </c>
      <c r="R65" s="40" t="str">
        <f t="shared" si="8"/>
        <v>SI</v>
      </c>
      <c r="S65" s="40" t="str">
        <f t="shared" si="9"/>
        <v>Sin Riesgo</v>
      </c>
      <c r="T65" s="4"/>
      <c r="U65" s="4"/>
      <c r="V65" s="4"/>
      <c r="W65" s="4"/>
    </row>
    <row r="66" spans="1:23" ht="37.5" customHeight="1">
      <c r="A66" s="35" t="s">
        <v>180</v>
      </c>
      <c r="B66" s="36" t="s">
        <v>85</v>
      </c>
      <c r="C66" s="59" t="s">
        <v>237</v>
      </c>
      <c r="D66" s="37">
        <v>1626</v>
      </c>
      <c r="E66" s="38">
        <v>0</v>
      </c>
      <c r="F66" s="38">
        <v>6.45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9">
        <v>0.54</v>
      </c>
      <c r="R66" s="40" t="str">
        <f t="shared" si="8"/>
        <v>SI</v>
      </c>
      <c r="S66" s="40" t="str">
        <f t="shared" si="9"/>
        <v>Sin Riesgo</v>
      </c>
      <c r="T66" s="4"/>
      <c r="U66" s="4"/>
      <c r="V66" s="4"/>
      <c r="W66" s="4"/>
    </row>
    <row r="67" spans="1:23" ht="30.75" customHeight="1">
      <c r="A67" s="35" t="s">
        <v>180</v>
      </c>
      <c r="B67" s="36" t="s">
        <v>85</v>
      </c>
      <c r="C67" s="59" t="s">
        <v>238</v>
      </c>
      <c r="D67" s="37">
        <v>116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9">
        <v>0</v>
      </c>
      <c r="R67" s="40" t="str">
        <f t="shared" si="8"/>
        <v>SI</v>
      </c>
      <c r="S67" s="40" t="str">
        <f t="shared" si="9"/>
        <v>Sin Riesgo</v>
      </c>
      <c r="T67" s="4"/>
      <c r="U67" s="4"/>
      <c r="V67" s="4"/>
      <c r="W67" s="4"/>
    </row>
    <row r="68" spans="1:23" ht="33" customHeight="1">
      <c r="A68" s="35" t="s">
        <v>180</v>
      </c>
      <c r="B68" s="36" t="s">
        <v>85</v>
      </c>
      <c r="C68" s="59" t="s">
        <v>239</v>
      </c>
      <c r="D68" s="37">
        <v>427</v>
      </c>
      <c r="E68" s="38"/>
      <c r="F68" s="38">
        <v>90.32</v>
      </c>
      <c r="G68" s="38">
        <v>65.08</v>
      </c>
      <c r="H68" s="38">
        <v>98.06</v>
      </c>
      <c r="I68" s="38">
        <v>90.32</v>
      </c>
      <c r="J68" s="38">
        <v>70.96</v>
      </c>
      <c r="K68" s="38">
        <v>90.32</v>
      </c>
      <c r="L68" s="38">
        <v>90.32</v>
      </c>
      <c r="M68" s="38">
        <v>70.96</v>
      </c>
      <c r="N68" s="38">
        <v>98.06</v>
      </c>
      <c r="O68" s="38">
        <v>98.06</v>
      </c>
      <c r="P68" s="38">
        <v>98.06</v>
      </c>
      <c r="Q68" s="39">
        <v>87.32</v>
      </c>
      <c r="R68" s="40" t="str">
        <f t="shared" si="8"/>
        <v>NO</v>
      </c>
      <c r="S68" s="40" t="str">
        <f t="shared" si="9"/>
        <v>Inviable Sanitariamente</v>
      </c>
      <c r="T68" s="4"/>
      <c r="U68" s="4"/>
      <c r="V68" s="4"/>
      <c r="W68" s="4"/>
    </row>
    <row r="69" spans="1:23" ht="24.75" customHeight="1">
      <c r="A69" s="35" t="s">
        <v>183</v>
      </c>
      <c r="B69" s="36" t="s">
        <v>86</v>
      </c>
      <c r="C69" s="59" t="s">
        <v>35</v>
      </c>
      <c r="D69" s="37">
        <v>4091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9">
        <v>0</v>
      </c>
      <c r="R69" s="40" t="str">
        <f t="shared" si="8"/>
        <v>SI</v>
      </c>
      <c r="S69" s="40" t="str">
        <f aca="true" t="shared" si="10" ref="S69:S131">IF(Q69&lt;=5,"Sin Riesgo",IF(Q69&lt;=14,"Bajo",IF(Q69&lt;=35,"Medio",IF(Q69&lt;=80,"Alto","Inviable Sanitariamente"))))</f>
        <v>Sin Riesgo</v>
      </c>
      <c r="T69" s="4"/>
      <c r="U69" s="4"/>
      <c r="V69" s="4"/>
      <c r="W69" s="4"/>
    </row>
    <row r="70" spans="1:23" ht="24.75" customHeight="1">
      <c r="A70" s="35" t="s">
        <v>180</v>
      </c>
      <c r="B70" s="36" t="s">
        <v>87</v>
      </c>
      <c r="C70" s="59" t="s">
        <v>240</v>
      </c>
      <c r="D70" s="37">
        <v>1171</v>
      </c>
      <c r="E70" s="38">
        <v>23.65</v>
      </c>
      <c r="F70" s="38">
        <v>0</v>
      </c>
      <c r="G70" s="38">
        <v>0</v>
      </c>
      <c r="H70" s="38">
        <v>23.6</v>
      </c>
      <c r="I70" s="38">
        <v>0</v>
      </c>
      <c r="J70" s="38">
        <v>8.85</v>
      </c>
      <c r="K70" s="38">
        <v>0</v>
      </c>
      <c r="L70" s="38">
        <v>0</v>
      </c>
      <c r="M70" s="38">
        <v>8.85</v>
      </c>
      <c r="N70" s="38">
        <v>0</v>
      </c>
      <c r="O70" s="38">
        <v>0</v>
      </c>
      <c r="P70" s="38">
        <v>0</v>
      </c>
      <c r="Q70" s="39">
        <v>5.41</v>
      </c>
      <c r="R70" s="40" t="str">
        <f aca="true" t="shared" si="11" ref="R70:R142">IF(Q70&lt;=5,"SI","NO")</f>
        <v>NO</v>
      </c>
      <c r="S70" s="40" t="str">
        <f t="shared" si="10"/>
        <v>Bajo</v>
      </c>
      <c r="T70" s="4"/>
      <c r="U70" s="4"/>
      <c r="V70" s="4"/>
      <c r="W70" s="4"/>
    </row>
    <row r="71" spans="1:23" ht="32.25" customHeight="1">
      <c r="A71" s="35" t="s">
        <v>185</v>
      </c>
      <c r="B71" s="36" t="s">
        <v>88</v>
      </c>
      <c r="C71" s="59" t="s">
        <v>241</v>
      </c>
      <c r="D71" s="54">
        <v>8205</v>
      </c>
      <c r="E71" s="38">
        <v>0</v>
      </c>
      <c r="F71" s="38">
        <v>3.87</v>
      </c>
      <c r="G71" s="38">
        <v>3.52</v>
      </c>
      <c r="H71" s="38">
        <v>0</v>
      </c>
      <c r="I71" s="38">
        <v>0</v>
      </c>
      <c r="J71" s="38">
        <v>0</v>
      </c>
      <c r="K71" s="38">
        <v>0</v>
      </c>
      <c r="L71" s="38">
        <v>0.91</v>
      </c>
      <c r="M71" s="38">
        <v>3.87</v>
      </c>
      <c r="N71" s="38">
        <v>0</v>
      </c>
      <c r="O71" s="38">
        <v>0.38</v>
      </c>
      <c r="P71" s="38">
        <v>0</v>
      </c>
      <c r="Q71" s="39">
        <v>1.04</v>
      </c>
      <c r="R71" s="40" t="str">
        <f t="shared" si="11"/>
        <v>SI</v>
      </c>
      <c r="S71" s="40" t="str">
        <f t="shared" si="10"/>
        <v>Sin Riesgo</v>
      </c>
      <c r="T71" s="4"/>
      <c r="U71" s="4"/>
      <c r="V71" s="4"/>
      <c r="W71" s="4"/>
    </row>
    <row r="72" spans="1:23" ht="24.75" customHeight="1">
      <c r="A72" s="35" t="s">
        <v>185</v>
      </c>
      <c r="B72" s="36" t="s">
        <v>88</v>
      </c>
      <c r="C72" s="59" t="s">
        <v>242</v>
      </c>
      <c r="D72" s="54">
        <v>348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9">
        <v>0</v>
      </c>
      <c r="R72" s="40" t="str">
        <f t="shared" si="11"/>
        <v>SI</v>
      </c>
      <c r="S72" s="40" t="str">
        <f t="shared" si="10"/>
        <v>Sin Riesgo</v>
      </c>
      <c r="T72" s="4"/>
      <c r="U72" s="4"/>
      <c r="V72" s="4"/>
      <c r="W72" s="4"/>
    </row>
    <row r="73" spans="1:23" ht="24.75" customHeight="1">
      <c r="A73" s="35" t="s">
        <v>179</v>
      </c>
      <c r="B73" s="36" t="s">
        <v>188</v>
      </c>
      <c r="C73" s="59" t="s">
        <v>243</v>
      </c>
      <c r="D73" s="37">
        <v>9659</v>
      </c>
      <c r="E73" s="38">
        <v>0</v>
      </c>
      <c r="F73" s="38">
        <v>0</v>
      </c>
      <c r="G73" s="38">
        <v>0</v>
      </c>
      <c r="H73" s="38">
        <v>5.3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9">
        <v>0.44</v>
      </c>
      <c r="R73" s="40" t="str">
        <f t="shared" si="11"/>
        <v>SI</v>
      </c>
      <c r="S73" s="40" t="str">
        <f t="shared" si="10"/>
        <v>Sin Riesgo</v>
      </c>
      <c r="T73" s="4"/>
      <c r="U73" s="4"/>
      <c r="V73" s="4"/>
      <c r="W73" s="4"/>
    </row>
    <row r="74" spans="1:23" ht="38.25" customHeight="1">
      <c r="A74" s="35" t="s">
        <v>179</v>
      </c>
      <c r="B74" s="36" t="s">
        <v>89</v>
      </c>
      <c r="C74" s="59" t="s">
        <v>244</v>
      </c>
      <c r="D74" s="37">
        <v>7091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9">
        <v>0</v>
      </c>
      <c r="R74" s="40" t="str">
        <f t="shared" si="11"/>
        <v>SI</v>
      </c>
      <c r="S74" s="40" t="str">
        <f t="shared" si="10"/>
        <v>Sin Riesgo</v>
      </c>
      <c r="T74" s="4"/>
      <c r="U74" s="4"/>
      <c r="V74" s="4"/>
      <c r="W74" s="4"/>
    </row>
    <row r="75" spans="1:23" ht="43.5" customHeight="1">
      <c r="A75" s="35" t="s">
        <v>179</v>
      </c>
      <c r="B75" s="36" t="s">
        <v>89</v>
      </c>
      <c r="C75" s="59" t="s">
        <v>245</v>
      </c>
      <c r="D75" s="37">
        <v>178</v>
      </c>
      <c r="E75" s="38">
        <v>0</v>
      </c>
      <c r="F75" s="38">
        <v>0</v>
      </c>
      <c r="G75" s="38">
        <v>0</v>
      </c>
      <c r="H75" s="38">
        <v>0</v>
      </c>
      <c r="I75" s="38">
        <v>2.65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9">
        <v>0.22</v>
      </c>
      <c r="R75" s="40" t="str">
        <f t="shared" si="11"/>
        <v>SI</v>
      </c>
      <c r="S75" s="40" t="str">
        <f t="shared" si="10"/>
        <v>Sin Riesgo</v>
      </c>
      <c r="T75" s="4"/>
      <c r="U75" s="4"/>
      <c r="V75" s="4"/>
      <c r="W75" s="4"/>
    </row>
    <row r="76" spans="1:23" ht="33.75" customHeight="1">
      <c r="A76" s="35" t="s">
        <v>179</v>
      </c>
      <c r="B76" s="36" t="s">
        <v>89</v>
      </c>
      <c r="C76" s="59" t="s">
        <v>36</v>
      </c>
      <c r="D76" s="37">
        <v>80</v>
      </c>
      <c r="E76" s="38">
        <v>0</v>
      </c>
      <c r="F76" s="38">
        <v>0</v>
      </c>
      <c r="G76" s="38">
        <v>0</v>
      </c>
      <c r="H76" s="38">
        <v>21.3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9">
        <v>1.77</v>
      </c>
      <c r="R76" s="40" t="str">
        <f t="shared" si="11"/>
        <v>SI</v>
      </c>
      <c r="S76" s="40" t="str">
        <f t="shared" si="10"/>
        <v>Sin Riesgo</v>
      </c>
      <c r="T76" s="4"/>
      <c r="U76" s="4"/>
      <c r="V76" s="4"/>
      <c r="W76" s="4"/>
    </row>
    <row r="77" spans="1:23" ht="39.75" customHeight="1">
      <c r="A77" s="35" t="s">
        <v>183</v>
      </c>
      <c r="B77" s="36" t="s">
        <v>90</v>
      </c>
      <c r="C77" s="59" t="s">
        <v>246</v>
      </c>
      <c r="D77" s="37">
        <v>80</v>
      </c>
      <c r="E77" s="38">
        <v>6.45</v>
      </c>
      <c r="F77" s="38">
        <v>15.3</v>
      </c>
      <c r="G77" s="38">
        <v>8.85</v>
      </c>
      <c r="H77" s="38">
        <v>0</v>
      </c>
      <c r="I77" s="38">
        <v>11.43</v>
      </c>
      <c r="J77" s="38">
        <v>0</v>
      </c>
      <c r="K77" s="38">
        <v>0</v>
      </c>
      <c r="L77" s="38">
        <v>9.03</v>
      </c>
      <c r="M77" s="38">
        <v>0</v>
      </c>
      <c r="N77" s="38">
        <v>9.03</v>
      </c>
      <c r="O77" s="38">
        <v>9.03</v>
      </c>
      <c r="P77" s="38">
        <v>8.85</v>
      </c>
      <c r="Q77" s="39">
        <v>6.5</v>
      </c>
      <c r="R77" s="40" t="str">
        <f t="shared" si="11"/>
        <v>NO</v>
      </c>
      <c r="S77" s="40" t="str">
        <f t="shared" si="10"/>
        <v>Bajo</v>
      </c>
      <c r="T77" s="4"/>
      <c r="U77" s="4"/>
      <c r="V77" s="4"/>
      <c r="W77" s="4"/>
    </row>
    <row r="78" spans="1:23" ht="24.75" customHeight="1">
      <c r="A78" s="35" t="s">
        <v>176</v>
      </c>
      <c r="B78" s="36" t="s">
        <v>91</v>
      </c>
      <c r="C78" s="59" t="s">
        <v>206</v>
      </c>
      <c r="D78" s="37">
        <v>69888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9">
        <v>0</v>
      </c>
      <c r="R78" s="40" t="str">
        <f t="shared" si="11"/>
        <v>SI</v>
      </c>
      <c r="S78" s="40" t="str">
        <f t="shared" si="10"/>
        <v>Sin Riesgo</v>
      </c>
      <c r="T78" s="4"/>
      <c r="U78" s="4"/>
      <c r="V78" s="4"/>
      <c r="W78" s="4"/>
    </row>
    <row r="79" spans="1:23" ht="24.75" customHeight="1">
      <c r="A79" s="35" t="s">
        <v>181</v>
      </c>
      <c r="B79" s="36" t="s">
        <v>92</v>
      </c>
      <c r="C79" s="59" t="s">
        <v>247</v>
      </c>
      <c r="D79" s="37">
        <v>2803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9">
        <v>0</v>
      </c>
      <c r="R79" s="40" t="str">
        <f t="shared" si="11"/>
        <v>SI</v>
      </c>
      <c r="S79" s="40" t="str">
        <f t="shared" si="10"/>
        <v>Sin Riesgo</v>
      </c>
      <c r="T79" s="4"/>
      <c r="U79" s="4"/>
      <c r="V79" s="4"/>
      <c r="W79" s="4"/>
    </row>
    <row r="80" spans="1:23" ht="32.25" customHeight="1">
      <c r="A80" s="35" t="s">
        <v>180</v>
      </c>
      <c r="B80" s="36" t="s">
        <v>93</v>
      </c>
      <c r="C80" s="59" t="s">
        <v>248</v>
      </c>
      <c r="D80" s="37">
        <v>1685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9">
        <v>0</v>
      </c>
      <c r="R80" s="40" t="str">
        <f t="shared" si="11"/>
        <v>SI</v>
      </c>
      <c r="S80" s="40" t="str">
        <f t="shared" si="10"/>
        <v>Sin Riesgo</v>
      </c>
      <c r="T80" s="4"/>
      <c r="U80" s="4"/>
      <c r="V80" s="4"/>
      <c r="W80" s="4"/>
    </row>
    <row r="81" spans="1:23" ht="39.75" customHeight="1">
      <c r="A81" s="35" t="s">
        <v>180</v>
      </c>
      <c r="B81" s="36" t="s">
        <v>93</v>
      </c>
      <c r="C81" s="59" t="s">
        <v>249</v>
      </c>
      <c r="D81" s="37">
        <v>1494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9">
        <v>0</v>
      </c>
      <c r="R81" s="40" t="str">
        <f t="shared" si="11"/>
        <v>SI</v>
      </c>
      <c r="S81" s="40" t="str">
        <f t="shared" si="10"/>
        <v>Sin Riesgo</v>
      </c>
      <c r="T81" s="4"/>
      <c r="U81" s="4"/>
      <c r="V81" s="4"/>
      <c r="W81" s="4"/>
    </row>
    <row r="82" spans="1:23" ht="39" customHeight="1">
      <c r="A82" s="35" t="s">
        <v>180</v>
      </c>
      <c r="B82" s="36" t="s">
        <v>94</v>
      </c>
      <c r="C82" s="59" t="s">
        <v>250</v>
      </c>
      <c r="D82" s="37">
        <v>361</v>
      </c>
      <c r="E82" s="38">
        <v>0</v>
      </c>
      <c r="F82" s="38">
        <v>15.3</v>
      </c>
      <c r="G82" s="38">
        <v>6.45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6.45</v>
      </c>
      <c r="O82" s="38">
        <v>17.88</v>
      </c>
      <c r="P82" s="38">
        <v>8.85</v>
      </c>
      <c r="Q82" s="39">
        <v>4.58</v>
      </c>
      <c r="R82" s="40" t="str">
        <f t="shared" si="11"/>
        <v>SI</v>
      </c>
      <c r="S82" s="40" t="str">
        <f t="shared" si="10"/>
        <v>Sin Riesgo</v>
      </c>
      <c r="T82" s="4"/>
      <c r="U82" s="4"/>
      <c r="V82" s="4"/>
      <c r="W82" s="4"/>
    </row>
    <row r="83" spans="1:23" ht="39" customHeight="1">
      <c r="A83" s="35" t="s">
        <v>180</v>
      </c>
      <c r="B83" s="36" t="s">
        <v>94</v>
      </c>
      <c r="C83" s="59" t="s">
        <v>327</v>
      </c>
      <c r="D83" s="55">
        <v>64</v>
      </c>
      <c r="E83" s="38"/>
      <c r="F83" s="38">
        <v>70.96</v>
      </c>
      <c r="G83" s="38">
        <v>70.96</v>
      </c>
      <c r="H83" s="38">
        <v>70.96</v>
      </c>
      <c r="I83" s="38">
        <v>65.08</v>
      </c>
      <c r="J83" s="38">
        <v>70.96</v>
      </c>
      <c r="K83" s="38">
        <v>70.96</v>
      </c>
      <c r="L83" s="38">
        <v>70.96</v>
      </c>
      <c r="M83" s="38">
        <v>70.96</v>
      </c>
      <c r="N83" s="38">
        <v>70.96</v>
      </c>
      <c r="O83" s="38">
        <v>70.96</v>
      </c>
      <c r="P83" s="38">
        <v>70.96</v>
      </c>
      <c r="Q83" s="39">
        <v>70.43</v>
      </c>
      <c r="R83" s="40" t="str">
        <f t="shared" si="11"/>
        <v>NO</v>
      </c>
      <c r="S83" s="40" t="str">
        <f t="shared" si="10"/>
        <v>Alto</v>
      </c>
      <c r="T83" s="4"/>
      <c r="U83" s="4"/>
      <c r="V83" s="4"/>
      <c r="W83" s="4"/>
    </row>
    <row r="84" spans="1:23" ht="24.75" customHeight="1">
      <c r="A84" s="35" t="s">
        <v>176</v>
      </c>
      <c r="B84" s="36" t="s">
        <v>95</v>
      </c>
      <c r="C84" s="59" t="s">
        <v>206</v>
      </c>
      <c r="D84" s="37">
        <v>7641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40" t="str">
        <f t="shared" si="11"/>
        <v>SI</v>
      </c>
      <c r="S84" s="40" t="str">
        <f t="shared" si="10"/>
        <v>Sin Riesgo</v>
      </c>
      <c r="T84" s="4"/>
      <c r="U84" s="4"/>
      <c r="V84" s="4"/>
      <c r="W84" s="4"/>
    </row>
    <row r="85" spans="1:23" ht="36" customHeight="1">
      <c r="A85" s="35" t="s">
        <v>183</v>
      </c>
      <c r="B85" s="36" t="s">
        <v>96</v>
      </c>
      <c r="C85" s="59" t="s">
        <v>251</v>
      </c>
      <c r="D85" s="37">
        <v>1929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6.45</v>
      </c>
      <c r="P85" s="38">
        <v>0</v>
      </c>
      <c r="Q85" s="39">
        <v>0.54</v>
      </c>
      <c r="R85" s="40" t="str">
        <f t="shared" si="11"/>
        <v>SI</v>
      </c>
      <c r="S85" s="40" t="str">
        <f t="shared" si="10"/>
        <v>Sin Riesgo</v>
      </c>
      <c r="T85" s="4"/>
      <c r="U85" s="4"/>
      <c r="V85" s="4"/>
      <c r="W85" s="4"/>
    </row>
    <row r="86" spans="1:23" ht="33.75" customHeight="1">
      <c r="A86" s="35" t="s">
        <v>179</v>
      </c>
      <c r="B86" s="36" t="s">
        <v>97</v>
      </c>
      <c r="C86" s="59" t="s">
        <v>252</v>
      </c>
      <c r="D86" s="37">
        <v>2844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8.84</v>
      </c>
      <c r="L86" s="38">
        <v>0</v>
      </c>
      <c r="M86" s="38">
        <v>8.84</v>
      </c>
      <c r="N86" s="38">
        <v>0</v>
      </c>
      <c r="O86" s="38">
        <v>0</v>
      </c>
      <c r="P86" s="38">
        <v>0</v>
      </c>
      <c r="Q86" s="39">
        <v>1.47</v>
      </c>
      <c r="R86" s="40" t="str">
        <f t="shared" si="11"/>
        <v>SI</v>
      </c>
      <c r="S86" s="40" t="str">
        <f t="shared" si="10"/>
        <v>Sin Riesgo</v>
      </c>
      <c r="T86" s="4"/>
      <c r="U86" s="4"/>
      <c r="V86" s="4"/>
      <c r="W86" s="4"/>
    </row>
    <row r="87" spans="1:23" ht="34.5" customHeight="1">
      <c r="A87" s="35" t="s">
        <v>183</v>
      </c>
      <c r="B87" s="36" t="s">
        <v>98</v>
      </c>
      <c r="C87" s="59" t="s">
        <v>253</v>
      </c>
      <c r="D87" s="37">
        <v>771</v>
      </c>
      <c r="E87" s="38">
        <v>0</v>
      </c>
      <c r="F87" s="38">
        <v>0</v>
      </c>
      <c r="G87" s="38">
        <v>0</v>
      </c>
      <c r="H87" s="38">
        <v>0</v>
      </c>
      <c r="I87" s="38">
        <v>7.1</v>
      </c>
      <c r="J87" s="38">
        <v>8.28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1.28</v>
      </c>
      <c r="R87" s="40" t="str">
        <f t="shared" si="11"/>
        <v>SI</v>
      </c>
      <c r="S87" s="40" t="str">
        <f t="shared" si="10"/>
        <v>Sin Riesgo</v>
      </c>
      <c r="T87" s="4"/>
      <c r="U87" s="4"/>
      <c r="V87" s="4"/>
      <c r="W87" s="4"/>
    </row>
    <row r="88" spans="1:23" ht="24.75" customHeight="1">
      <c r="A88" s="35" t="s">
        <v>179</v>
      </c>
      <c r="B88" s="36" t="s">
        <v>99</v>
      </c>
      <c r="C88" s="59" t="s">
        <v>254</v>
      </c>
      <c r="D88" s="37">
        <v>5454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9">
        <v>0</v>
      </c>
      <c r="R88" s="40" t="str">
        <f t="shared" si="11"/>
        <v>SI</v>
      </c>
      <c r="S88" s="40" t="str">
        <f t="shared" si="10"/>
        <v>Sin Riesgo</v>
      </c>
      <c r="T88" s="4"/>
      <c r="U88" s="4"/>
      <c r="V88" s="4"/>
      <c r="W88" s="4"/>
    </row>
    <row r="89" spans="1:23" ht="24.75" customHeight="1">
      <c r="A89" s="35" t="s">
        <v>179</v>
      </c>
      <c r="B89" s="36" t="s">
        <v>100</v>
      </c>
      <c r="C89" s="59" t="s">
        <v>255</v>
      </c>
      <c r="D89" s="37">
        <v>2045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8.84</v>
      </c>
      <c r="N89" s="38">
        <v>0</v>
      </c>
      <c r="O89" s="38">
        <v>0</v>
      </c>
      <c r="P89" s="38">
        <v>0</v>
      </c>
      <c r="Q89" s="39">
        <v>0.73</v>
      </c>
      <c r="R89" s="40" t="str">
        <f t="shared" si="11"/>
        <v>SI</v>
      </c>
      <c r="S89" s="40" t="str">
        <f t="shared" si="10"/>
        <v>Sin Riesgo</v>
      </c>
      <c r="T89" s="4"/>
      <c r="U89" s="4"/>
      <c r="V89" s="4"/>
      <c r="W89" s="4"/>
    </row>
    <row r="90" spans="1:23" ht="24.75" customHeight="1">
      <c r="A90" s="35" t="s">
        <v>180</v>
      </c>
      <c r="B90" s="36" t="s">
        <v>101</v>
      </c>
      <c r="C90" s="59" t="s">
        <v>19</v>
      </c>
      <c r="D90" s="37">
        <v>773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9.68</v>
      </c>
      <c r="P90" s="38">
        <v>0</v>
      </c>
      <c r="Q90" s="39">
        <v>0.57</v>
      </c>
      <c r="R90" s="40" t="str">
        <f t="shared" si="11"/>
        <v>SI</v>
      </c>
      <c r="S90" s="40" t="str">
        <f t="shared" si="10"/>
        <v>Sin Riesgo</v>
      </c>
      <c r="T90" s="4"/>
      <c r="U90" s="4"/>
      <c r="V90" s="4"/>
      <c r="W90" s="4"/>
    </row>
    <row r="91" spans="1:23" ht="24.75" customHeight="1">
      <c r="A91" s="35" t="s">
        <v>181</v>
      </c>
      <c r="B91" s="36" t="s">
        <v>102</v>
      </c>
      <c r="C91" s="59" t="s">
        <v>20</v>
      </c>
      <c r="D91" s="37">
        <v>1307</v>
      </c>
      <c r="E91" s="38">
        <v>0</v>
      </c>
      <c r="F91" s="38">
        <v>0</v>
      </c>
      <c r="G91" s="38">
        <v>6.45</v>
      </c>
      <c r="H91" s="38">
        <v>0</v>
      </c>
      <c r="I91" s="38">
        <v>1.18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9">
        <v>0.64</v>
      </c>
      <c r="R91" s="40" t="str">
        <f t="shared" si="11"/>
        <v>SI</v>
      </c>
      <c r="S91" s="40" t="str">
        <f t="shared" si="10"/>
        <v>Sin Riesgo</v>
      </c>
      <c r="T91" s="4"/>
      <c r="U91" s="4"/>
      <c r="V91" s="4"/>
      <c r="W91" s="4"/>
    </row>
    <row r="92" spans="1:23" ht="24.75" customHeight="1">
      <c r="A92" s="35" t="s">
        <v>176</v>
      </c>
      <c r="B92" s="41" t="s">
        <v>103</v>
      </c>
      <c r="C92" s="59" t="s">
        <v>256</v>
      </c>
      <c r="D92" s="37">
        <v>71938</v>
      </c>
      <c r="E92" s="38">
        <v>0.09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9">
        <v>0.03</v>
      </c>
      <c r="R92" s="40" t="str">
        <f t="shared" si="11"/>
        <v>SI</v>
      </c>
      <c r="S92" s="40" t="str">
        <f t="shared" si="10"/>
        <v>Sin Riesgo</v>
      </c>
      <c r="T92" s="4"/>
      <c r="U92" s="4"/>
      <c r="V92" s="4"/>
      <c r="W92" s="4"/>
    </row>
    <row r="93" spans="1:23" ht="38.25" customHeight="1">
      <c r="A93" s="35" t="s">
        <v>183</v>
      </c>
      <c r="B93" s="36" t="s">
        <v>104</v>
      </c>
      <c r="C93" s="60" t="s">
        <v>257</v>
      </c>
      <c r="D93" s="45">
        <v>1851</v>
      </c>
      <c r="E93" s="38">
        <v>0</v>
      </c>
      <c r="F93" s="38">
        <v>0</v>
      </c>
      <c r="G93" s="38">
        <v>0</v>
      </c>
      <c r="H93" s="38">
        <v>6.45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9">
        <v>0.54</v>
      </c>
      <c r="R93" s="40" t="str">
        <f t="shared" si="11"/>
        <v>SI</v>
      </c>
      <c r="S93" s="40" t="str">
        <f t="shared" si="10"/>
        <v>Sin Riesgo</v>
      </c>
      <c r="T93" s="4"/>
      <c r="U93" s="4"/>
      <c r="V93" s="4"/>
      <c r="W93" s="4"/>
    </row>
    <row r="94" spans="1:23" ht="29.25" customHeight="1">
      <c r="A94" s="35" t="s">
        <v>183</v>
      </c>
      <c r="B94" s="36" t="s">
        <v>104</v>
      </c>
      <c r="C94" s="60" t="s">
        <v>37</v>
      </c>
      <c r="D94" s="24">
        <v>50</v>
      </c>
      <c r="E94" s="38">
        <v>90.32</v>
      </c>
      <c r="F94" s="38">
        <v>90.32</v>
      </c>
      <c r="G94" s="38">
        <v>38.7</v>
      </c>
      <c r="H94" s="38">
        <v>70.96</v>
      </c>
      <c r="I94" s="38">
        <v>70.96</v>
      </c>
      <c r="J94" s="38">
        <v>82.84</v>
      </c>
      <c r="K94" s="38">
        <v>90.32</v>
      </c>
      <c r="L94" s="38">
        <v>90.32</v>
      </c>
      <c r="M94" s="38">
        <v>70.96</v>
      </c>
      <c r="N94" s="38">
        <v>98.06</v>
      </c>
      <c r="O94" s="38">
        <v>90.32</v>
      </c>
      <c r="P94" s="38">
        <v>90.32</v>
      </c>
      <c r="Q94" s="39">
        <v>81.2</v>
      </c>
      <c r="R94" s="40" t="str">
        <f t="shared" si="11"/>
        <v>NO</v>
      </c>
      <c r="S94" s="40" t="str">
        <f t="shared" si="10"/>
        <v>Inviable Sanitariamente</v>
      </c>
      <c r="T94" s="4"/>
      <c r="U94" s="4"/>
      <c r="V94" s="4"/>
      <c r="W94" s="4"/>
    </row>
    <row r="95" spans="1:23" ht="24.75" customHeight="1">
      <c r="A95" s="35" t="s">
        <v>181</v>
      </c>
      <c r="B95" s="36" t="s">
        <v>105</v>
      </c>
      <c r="C95" s="59" t="s">
        <v>258</v>
      </c>
      <c r="D95" s="37">
        <v>3089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6.45</v>
      </c>
      <c r="P95" s="38">
        <v>0</v>
      </c>
      <c r="Q95" s="39">
        <v>0.54</v>
      </c>
      <c r="R95" s="40" t="str">
        <f t="shared" si="11"/>
        <v>SI</v>
      </c>
      <c r="S95" s="40" t="str">
        <f t="shared" si="10"/>
        <v>Sin Riesgo</v>
      </c>
      <c r="T95" s="4"/>
      <c r="U95" s="4"/>
      <c r="V95" s="4"/>
      <c r="W95" s="4"/>
    </row>
    <row r="96" spans="1:23" ht="24.75" customHeight="1">
      <c r="A96" s="35" t="s">
        <v>181</v>
      </c>
      <c r="B96" s="36" t="s">
        <v>106</v>
      </c>
      <c r="C96" s="59" t="s">
        <v>259</v>
      </c>
      <c r="D96" s="37">
        <v>2666</v>
      </c>
      <c r="E96" s="38">
        <v>0</v>
      </c>
      <c r="F96" s="38">
        <v>0</v>
      </c>
      <c r="G96" s="38">
        <v>8.85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9">
        <v>0.74</v>
      </c>
      <c r="R96" s="40" t="str">
        <f t="shared" si="11"/>
        <v>SI</v>
      </c>
      <c r="S96" s="40" t="str">
        <f t="shared" si="10"/>
        <v>Sin Riesgo</v>
      </c>
      <c r="T96" s="4"/>
      <c r="U96" s="4"/>
      <c r="V96" s="4"/>
      <c r="W96" s="4"/>
    </row>
    <row r="97" spans="1:23" ht="24.75" customHeight="1">
      <c r="A97" s="35" t="s">
        <v>179</v>
      </c>
      <c r="B97" s="36" t="s">
        <v>107</v>
      </c>
      <c r="C97" s="59" t="s">
        <v>260</v>
      </c>
      <c r="D97" s="37">
        <v>9403</v>
      </c>
      <c r="E97" s="38">
        <v>0</v>
      </c>
      <c r="F97" s="38">
        <v>0</v>
      </c>
      <c r="G97" s="38">
        <v>0</v>
      </c>
      <c r="H97" s="38">
        <v>0</v>
      </c>
      <c r="I97" s="38">
        <v>9.89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9">
        <v>0.83</v>
      </c>
      <c r="R97" s="40" t="str">
        <f t="shared" si="11"/>
        <v>SI</v>
      </c>
      <c r="S97" s="40" t="str">
        <f t="shared" si="10"/>
        <v>Sin Riesgo</v>
      </c>
      <c r="T97" s="4"/>
      <c r="U97" s="4"/>
      <c r="V97" s="4"/>
      <c r="W97" s="4"/>
    </row>
    <row r="98" spans="1:23" ht="39.75" customHeight="1">
      <c r="A98" s="35" t="s">
        <v>179</v>
      </c>
      <c r="B98" s="36" t="s">
        <v>107</v>
      </c>
      <c r="C98" s="59" t="s">
        <v>261</v>
      </c>
      <c r="D98" s="37">
        <v>1988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8.84</v>
      </c>
      <c r="P98" s="38">
        <v>0</v>
      </c>
      <c r="Q98" s="39">
        <v>0.73</v>
      </c>
      <c r="R98" s="40" t="str">
        <f t="shared" si="11"/>
        <v>SI</v>
      </c>
      <c r="S98" s="40" t="str">
        <f t="shared" si="10"/>
        <v>Sin Riesgo</v>
      </c>
      <c r="T98" s="4"/>
      <c r="U98" s="4"/>
      <c r="V98" s="4"/>
      <c r="W98" s="4"/>
    </row>
    <row r="99" spans="1:23" ht="35.25" customHeight="1">
      <c r="A99" s="35" t="s">
        <v>179</v>
      </c>
      <c r="B99" s="36" t="s">
        <v>107</v>
      </c>
      <c r="C99" s="59" t="s">
        <v>262</v>
      </c>
      <c r="D99" s="37">
        <v>3493</v>
      </c>
      <c r="E99" s="38">
        <v>0</v>
      </c>
      <c r="F99" s="38">
        <v>0</v>
      </c>
      <c r="G99" s="38">
        <v>0.88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9">
        <v>0.07</v>
      </c>
      <c r="R99" s="40" t="str">
        <f t="shared" si="11"/>
        <v>SI</v>
      </c>
      <c r="S99" s="40" t="str">
        <f t="shared" si="10"/>
        <v>Sin Riesgo</v>
      </c>
      <c r="T99" s="4"/>
      <c r="U99" s="4"/>
      <c r="V99" s="4"/>
      <c r="W99" s="4"/>
    </row>
    <row r="100" spans="1:23" ht="27" customHeight="1">
      <c r="A100" s="35" t="s">
        <v>176</v>
      </c>
      <c r="B100" s="36" t="s">
        <v>108</v>
      </c>
      <c r="C100" s="59" t="s">
        <v>206</v>
      </c>
      <c r="D100" s="37">
        <v>11333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3.37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9">
        <v>0.29</v>
      </c>
      <c r="R100" s="40" t="str">
        <f t="shared" si="11"/>
        <v>SI</v>
      </c>
      <c r="S100" s="40" t="str">
        <f t="shared" si="10"/>
        <v>Sin Riesgo</v>
      </c>
      <c r="T100" s="4"/>
      <c r="U100" s="4"/>
      <c r="V100" s="4"/>
      <c r="W100" s="4"/>
    </row>
    <row r="101" spans="1:23" ht="24.75" customHeight="1">
      <c r="A101" s="35" t="s">
        <v>181</v>
      </c>
      <c r="B101" s="36" t="s">
        <v>109</v>
      </c>
      <c r="C101" s="59" t="s">
        <v>263</v>
      </c>
      <c r="D101" s="37">
        <v>287</v>
      </c>
      <c r="E101" s="38">
        <v>6.45</v>
      </c>
      <c r="F101" s="38">
        <v>0</v>
      </c>
      <c r="G101" s="38">
        <v>0</v>
      </c>
      <c r="H101" s="38">
        <v>0</v>
      </c>
      <c r="I101" s="38">
        <v>0</v>
      </c>
      <c r="J101" s="38">
        <v>6.45</v>
      </c>
      <c r="K101" s="38">
        <v>6.45</v>
      </c>
      <c r="L101" s="38">
        <v>13.27</v>
      </c>
      <c r="M101" s="38">
        <v>0</v>
      </c>
      <c r="N101" s="38">
        <v>0</v>
      </c>
      <c r="O101" s="38">
        <v>6.45</v>
      </c>
      <c r="P101" s="38">
        <v>0</v>
      </c>
      <c r="Q101" s="39">
        <v>3.06</v>
      </c>
      <c r="R101" s="40" t="str">
        <f t="shared" si="11"/>
        <v>SI</v>
      </c>
      <c r="S101" s="40" t="str">
        <f t="shared" si="10"/>
        <v>Sin Riesgo</v>
      </c>
      <c r="T101" s="4"/>
      <c r="U101" s="4"/>
      <c r="V101" s="4"/>
      <c r="W101" s="4"/>
    </row>
    <row r="102" spans="1:23" ht="24.75" customHeight="1">
      <c r="A102" s="35" t="s">
        <v>181</v>
      </c>
      <c r="B102" s="36" t="s">
        <v>109</v>
      </c>
      <c r="C102" s="59" t="s">
        <v>264</v>
      </c>
      <c r="D102" s="37">
        <v>1998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17.7</v>
      </c>
      <c r="L102" s="38">
        <v>0</v>
      </c>
      <c r="M102" s="38">
        <v>0</v>
      </c>
      <c r="N102" s="38">
        <v>0</v>
      </c>
      <c r="O102" s="38">
        <v>0</v>
      </c>
      <c r="P102" s="38">
        <v>6.45</v>
      </c>
      <c r="Q102" s="39">
        <v>2.01</v>
      </c>
      <c r="R102" s="40" t="str">
        <f t="shared" si="11"/>
        <v>SI</v>
      </c>
      <c r="S102" s="40" t="str">
        <f t="shared" si="10"/>
        <v>Sin Riesgo</v>
      </c>
      <c r="T102" s="4"/>
      <c r="U102" s="4"/>
      <c r="V102" s="4"/>
      <c r="W102" s="4"/>
    </row>
    <row r="103" spans="1:23" ht="34.5" customHeight="1">
      <c r="A103" s="35" t="s">
        <v>179</v>
      </c>
      <c r="B103" s="36" t="s">
        <v>110</v>
      </c>
      <c r="C103" s="59" t="s">
        <v>265</v>
      </c>
      <c r="D103" s="37">
        <v>3839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6.45</v>
      </c>
      <c r="N103" s="38">
        <v>0</v>
      </c>
      <c r="O103" s="38">
        <v>0</v>
      </c>
      <c r="P103" s="38">
        <v>0</v>
      </c>
      <c r="Q103" s="39">
        <v>0.53</v>
      </c>
      <c r="R103" s="40" t="str">
        <f t="shared" si="11"/>
        <v>SI</v>
      </c>
      <c r="S103" s="40" t="str">
        <f t="shared" si="10"/>
        <v>Sin Riesgo</v>
      </c>
      <c r="T103" s="4"/>
      <c r="U103" s="4"/>
      <c r="V103" s="4"/>
      <c r="W103" s="4"/>
    </row>
    <row r="104" spans="1:23" ht="33" customHeight="1">
      <c r="A104" s="35" t="s">
        <v>180</v>
      </c>
      <c r="B104" s="36" t="s">
        <v>111</v>
      </c>
      <c r="C104" s="59" t="s">
        <v>266</v>
      </c>
      <c r="D104" s="37">
        <v>1129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9">
        <v>0</v>
      </c>
      <c r="R104" s="40" t="str">
        <f t="shared" si="11"/>
        <v>SI</v>
      </c>
      <c r="S104" s="40" t="str">
        <f t="shared" si="10"/>
        <v>Sin Riesgo</v>
      </c>
      <c r="T104" s="4"/>
      <c r="U104" s="4"/>
      <c r="V104" s="4"/>
      <c r="W104" s="4"/>
    </row>
    <row r="105" spans="1:23" ht="24.75" customHeight="1">
      <c r="A105" s="35" t="s">
        <v>186</v>
      </c>
      <c r="B105" s="36" t="s">
        <v>112</v>
      </c>
      <c r="C105" s="59" t="s">
        <v>21</v>
      </c>
      <c r="D105" s="37">
        <v>1336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9">
        <v>0</v>
      </c>
      <c r="R105" s="40" t="str">
        <f t="shared" si="11"/>
        <v>SI</v>
      </c>
      <c r="S105" s="40" t="str">
        <f t="shared" si="10"/>
        <v>Sin Riesgo</v>
      </c>
      <c r="T105" s="4"/>
      <c r="U105" s="4"/>
      <c r="V105" s="4"/>
      <c r="W105" s="4"/>
    </row>
    <row r="106" spans="1:23" ht="37.5" customHeight="1">
      <c r="A106" s="35" t="s">
        <v>179</v>
      </c>
      <c r="B106" s="36" t="s">
        <v>113</v>
      </c>
      <c r="C106" s="59" t="s">
        <v>267</v>
      </c>
      <c r="D106" s="37">
        <v>12243</v>
      </c>
      <c r="E106" s="38">
        <v>0</v>
      </c>
      <c r="F106" s="38">
        <v>0</v>
      </c>
      <c r="G106" s="38">
        <v>3.87</v>
      </c>
      <c r="H106" s="38">
        <v>0.7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9">
        <v>0.38</v>
      </c>
      <c r="R106" s="40" t="str">
        <f t="shared" si="11"/>
        <v>SI</v>
      </c>
      <c r="S106" s="40" t="str">
        <f t="shared" si="10"/>
        <v>Sin Riesgo</v>
      </c>
      <c r="T106" s="4"/>
      <c r="U106" s="4"/>
      <c r="V106" s="4"/>
      <c r="W106" s="4"/>
    </row>
    <row r="107" spans="1:23" ht="33.75" customHeight="1">
      <c r="A107" s="35" t="s">
        <v>179</v>
      </c>
      <c r="B107" s="36" t="s">
        <v>113</v>
      </c>
      <c r="C107" s="59" t="s">
        <v>268</v>
      </c>
      <c r="D107" s="37">
        <v>987</v>
      </c>
      <c r="E107" s="38">
        <v>0</v>
      </c>
      <c r="F107" s="38">
        <v>0</v>
      </c>
      <c r="G107" s="38">
        <v>0</v>
      </c>
      <c r="H107" s="38">
        <v>3.55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9">
        <v>0.29</v>
      </c>
      <c r="R107" s="40" t="str">
        <f t="shared" si="11"/>
        <v>SI</v>
      </c>
      <c r="S107" s="40" t="str">
        <f t="shared" si="10"/>
        <v>Sin Riesgo</v>
      </c>
      <c r="T107" s="4"/>
      <c r="U107" s="4"/>
      <c r="V107" s="4"/>
      <c r="W107" s="4"/>
    </row>
    <row r="108" spans="1:23" ht="24.75" customHeight="1">
      <c r="A108" s="35" t="s">
        <v>176</v>
      </c>
      <c r="B108" s="36" t="s">
        <v>114</v>
      </c>
      <c r="C108" s="59" t="s">
        <v>38</v>
      </c>
      <c r="D108" s="55">
        <v>671</v>
      </c>
      <c r="E108" s="38">
        <v>0.7</v>
      </c>
      <c r="F108" s="38">
        <v>0</v>
      </c>
      <c r="G108" s="38">
        <v>0</v>
      </c>
      <c r="H108" s="38">
        <v>0</v>
      </c>
      <c r="I108" s="38">
        <v>0.06</v>
      </c>
      <c r="J108" s="38">
        <v>0</v>
      </c>
      <c r="K108" s="38"/>
      <c r="L108" s="38">
        <v>1.94</v>
      </c>
      <c r="M108" s="38">
        <v>7.48</v>
      </c>
      <c r="N108" s="38">
        <v>1.16</v>
      </c>
      <c r="O108" s="38">
        <v>0</v>
      </c>
      <c r="P108" s="38">
        <v>2.48</v>
      </c>
      <c r="Q108" s="39">
        <v>1.2563636363636363</v>
      </c>
      <c r="R108" s="40" t="str">
        <f t="shared" si="11"/>
        <v>SI</v>
      </c>
      <c r="S108" s="40" t="str">
        <f t="shared" si="10"/>
        <v>Sin Riesgo</v>
      </c>
      <c r="T108" s="4"/>
      <c r="U108" s="4"/>
      <c r="V108" s="4"/>
      <c r="W108" s="4"/>
    </row>
    <row r="109" spans="1:23" ht="24.75" customHeight="1">
      <c r="A109" s="35" t="s">
        <v>176</v>
      </c>
      <c r="B109" s="36" t="s">
        <v>114</v>
      </c>
      <c r="C109" s="59" t="s">
        <v>39</v>
      </c>
      <c r="D109" s="55">
        <v>617358</v>
      </c>
      <c r="E109" s="38">
        <v>0.3</v>
      </c>
      <c r="F109" s="38">
        <v>0.86</v>
      </c>
      <c r="G109" s="38">
        <v>0</v>
      </c>
      <c r="H109" s="38">
        <v>0</v>
      </c>
      <c r="I109" s="38">
        <v>0</v>
      </c>
      <c r="J109" s="38">
        <v>0</v>
      </c>
      <c r="K109" s="38"/>
      <c r="L109" s="38">
        <v>0.19</v>
      </c>
      <c r="M109" s="38">
        <v>3.57</v>
      </c>
      <c r="N109" s="38">
        <v>0.62</v>
      </c>
      <c r="O109" s="38">
        <v>0</v>
      </c>
      <c r="P109" s="38">
        <v>1.81</v>
      </c>
      <c r="Q109" s="39">
        <v>0.6681818181818181</v>
      </c>
      <c r="R109" s="40" t="str">
        <f t="shared" si="11"/>
        <v>SI</v>
      </c>
      <c r="S109" s="40" t="str">
        <f t="shared" si="10"/>
        <v>Sin Riesgo</v>
      </c>
      <c r="T109" s="4"/>
      <c r="U109" s="4"/>
      <c r="V109" s="4"/>
      <c r="W109" s="4"/>
    </row>
    <row r="110" spans="1:23" ht="24.75" customHeight="1">
      <c r="A110" s="35" t="s">
        <v>176</v>
      </c>
      <c r="B110" s="36" t="s">
        <v>114</v>
      </c>
      <c r="C110" s="59" t="s">
        <v>40</v>
      </c>
      <c r="D110" s="55">
        <v>5074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/>
      <c r="L110" s="38">
        <v>0</v>
      </c>
      <c r="M110" s="38">
        <v>9.74</v>
      </c>
      <c r="N110" s="38">
        <v>0</v>
      </c>
      <c r="O110" s="38">
        <v>0</v>
      </c>
      <c r="P110" s="38">
        <v>1.53</v>
      </c>
      <c r="Q110" s="39">
        <v>1.0245454545454544</v>
      </c>
      <c r="R110" s="40" t="str">
        <f t="shared" si="11"/>
        <v>SI</v>
      </c>
      <c r="S110" s="40" t="str">
        <f t="shared" si="10"/>
        <v>Sin Riesgo</v>
      </c>
      <c r="T110" s="4"/>
      <c r="U110" s="4"/>
      <c r="V110" s="4"/>
      <c r="W110" s="4"/>
    </row>
    <row r="111" spans="1:23" ht="24.75" customHeight="1">
      <c r="A111" s="35" t="s">
        <v>176</v>
      </c>
      <c r="B111" s="36" t="s">
        <v>114</v>
      </c>
      <c r="C111" s="59" t="s">
        <v>41</v>
      </c>
      <c r="D111" s="55">
        <v>5290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/>
      <c r="L111" s="38">
        <v>0</v>
      </c>
      <c r="M111" s="38">
        <v>0</v>
      </c>
      <c r="N111" s="38">
        <v>3.49</v>
      </c>
      <c r="O111" s="38">
        <v>0</v>
      </c>
      <c r="P111" s="38">
        <v>5.81</v>
      </c>
      <c r="Q111" s="39">
        <v>0.8454545454545456</v>
      </c>
      <c r="R111" s="40" t="str">
        <f t="shared" si="11"/>
        <v>SI</v>
      </c>
      <c r="S111" s="40" t="str">
        <f t="shared" si="10"/>
        <v>Sin Riesgo</v>
      </c>
      <c r="T111" s="4"/>
      <c r="U111" s="4"/>
      <c r="V111" s="4"/>
      <c r="W111" s="4"/>
    </row>
    <row r="112" spans="1:23" ht="24.75" customHeight="1">
      <c r="A112" s="35" t="s">
        <v>176</v>
      </c>
      <c r="B112" s="36" t="s">
        <v>114</v>
      </c>
      <c r="C112" s="59" t="s">
        <v>42</v>
      </c>
      <c r="D112" s="55">
        <v>477999</v>
      </c>
      <c r="E112" s="38">
        <v>0.86</v>
      </c>
      <c r="F112" s="38">
        <v>0</v>
      </c>
      <c r="G112" s="38">
        <v>0.12</v>
      </c>
      <c r="H112" s="38">
        <v>0</v>
      </c>
      <c r="I112" s="38">
        <v>0.06</v>
      </c>
      <c r="J112" s="38">
        <v>0</v>
      </c>
      <c r="K112" s="38"/>
      <c r="L112" s="38">
        <v>0</v>
      </c>
      <c r="M112" s="38">
        <v>0.68</v>
      </c>
      <c r="N112" s="38">
        <v>0.82</v>
      </c>
      <c r="O112" s="38">
        <v>0.05</v>
      </c>
      <c r="P112" s="38">
        <v>2.51</v>
      </c>
      <c r="Q112" s="39">
        <v>0.4636363636363636</v>
      </c>
      <c r="R112" s="40" t="str">
        <f t="shared" si="11"/>
        <v>SI</v>
      </c>
      <c r="S112" s="40" t="str">
        <f t="shared" si="10"/>
        <v>Sin Riesgo</v>
      </c>
      <c r="T112" s="4"/>
      <c r="U112" s="4"/>
      <c r="V112" s="4"/>
      <c r="W112" s="4"/>
    </row>
    <row r="113" spans="1:23" ht="24.75" customHeight="1">
      <c r="A113" s="35" t="s">
        <v>176</v>
      </c>
      <c r="B113" s="36" t="s">
        <v>114</v>
      </c>
      <c r="C113" s="59" t="s">
        <v>43</v>
      </c>
      <c r="D113" s="55">
        <v>17118</v>
      </c>
      <c r="E113" s="38">
        <v>6.88</v>
      </c>
      <c r="F113" s="38">
        <v>0</v>
      </c>
      <c r="G113" s="38">
        <v>0.36</v>
      </c>
      <c r="H113" s="38">
        <v>0</v>
      </c>
      <c r="I113" s="38">
        <v>0</v>
      </c>
      <c r="J113" s="38">
        <v>0</v>
      </c>
      <c r="K113" s="38"/>
      <c r="L113" s="38">
        <v>0</v>
      </c>
      <c r="M113" s="38">
        <v>0</v>
      </c>
      <c r="N113" s="38">
        <v>0</v>
      </c>
      <c r="O113" s="38">
        <v>0</v>
      </c>
      <c r="P113" s="38">
        <v>2.49</v>
      </c>
      <c r="Q113" s="39">
        <v>0.8845454545454546</v>
      </c>
      <c r="R113" s="40" t="str">
        <f t="shared" si="11"/>
        <v>SI</v>
      </c>
      <c r="S113" s="40" t="str">
        <f t="shared" si="10"/>
        <v>Sin Riesgo</v>
      </c>
      <c r="T113" s="4"/>
      <c r="U113" s="4"/>
      <c r="V113" s="4"/>
      <c r="W113" s="4"/>
    </row>
    <row r="114" spans="1:23" ht="24.75" customHeight="1">
      <c r="A114" s="35" t="s">
        <v>176</v>
      </c>
      <c r="B114" s="36" t="s">
        <v>114</v>
      </c>
      <c r="C114" s="59" t="s">
        <v>44</v>
      </c>
      <c r="D114" s="55">
        <v>10099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/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9">
        <v>0</v>
      </c>
      <c r="R114" s="40" t="str">
        <f t="shared" si="11"/>
        <v>SI</v>
      </c>
      <c r="S114" s="40" t="str">
        <f t="shared" si="10"/>
        <v>Sin Riesgo</v>
      </c>
      <c r="T114" s="4"/>
      <c r="U114" s="4"/>
      <c r="V114" s="4"/>
      <c r="W114" s="4"/>
    </row>
    <row r="115" spans="1:23" ht="24.75" customHeight="1">
      <c r="A115" s="35" t="s">
        <v>176</v>
      </c>
      <c r="B115" s="36" t="s">
        <v>114</v>
      </c>
      <c r="C115" s="59" t="s">
        <v>45</v>
      </c>
      <c r="D115" s="55">
        <v>1579</v>
      </c>
      <c r="E115" s="38">
        <v>0.15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/>
      <c r="L115" s="38">
        <v>0</v>
      </c>
      <c r="M115" s="38">
        <v>4.26</v>
      </c>
      <c r="N115" s="38">
        <v>1.94</v>
      </c>
      <c r="O115" s="38">
        <v>0</v>
      </c>
      <c r="P115" s="38">
        <v>0</v>
      </c>
      <c r="Q115" s="39">
        <v>0.5772727272727273</v>
      </c>
      <c r="R115" s="40" t="str">
        <f t="shared" si="11"/>
        <v>SI</v>
      </c>
      <c r="S115" s="40" t="str">
        <f t="shared" si="10"/>
        <v>Sin Riesgo</v>
      </c>
      <c r="T115" s="4"/>
      <c r="U115" s="4"/>
      <c r="V115" s="4"/>
      <c r="W115" s="4"/>
    </row>
    <row r="116" spans="1:23" ht="24.75" customHeight="1">
      <c r="A116" s="35" t="s">
        <v>176</v>
      </c>
      <c r="B116" s="36" t="s">
        <v>114</v>
      </c>
      <c r="C116" s="59" t="s">
        <v>46</v>
      </c>
      <c r="D116" s="55">
        <v>177</v>
      </c>
      <c r="E116" s="38">
        <v>0</v>
      </c>
      <c r="F116" s="38">
        <v>0</v>
      </c>
      <c r="G116" s="38">
        <v>0</v>
      </c>
      <c r="H116" s="38">
        <v>0</v>
      </c>
      <c r="I116" s="38">
        <v>6.02</v>
      </c>
      <c r="J116" s="38">
        <v>0</v>
      </c>
      <c r="K116" s="38"/>
      <c r="L116" s="38"/>
      <c r="M116" s="38">
        <v>0.87</v>
      </c>
      <c r="N116" s="38">
        <v>0</v>
      </c>
      <c r="O116" s="38">
        <v>0</v>
      </c>
      <c r="P116" s="38">
        <v>15.5</v>
      </c>
      <c r="Q116" s="39">
        <v>2.239</v>
      </c>
      <c r="R116" s="40" t="str">
        <f t="shared" si="11"/>
        <v>SI</v>
      </c>
      <c r="S116" s="40" t="str">
        <f t="shared" si="10"/>
        <v>Sin Riesgo</v>
      </c>
      <c r="T116" s="4"/>
      <c r="U116" s="4"/>
      <c r="V116" s="4"/>
      <c r="W116" s="4"/>
    </row>
    <row r="117" spans="1:23" ht="24.75" customHeight="1">
      <c r="A117" s="35" t="s">
        <v>181</v>
      </c>
      <c r="B117" s="36" t="s">
        <v>115</v>
      </c>
      <c r="C117" s="59" t="s">
        <v>22</v>
      </c>
      <c r="D117" s="37">
        <v>760</v>
      </c>
      <c r="E117" s="38">
        <v>0</v>
      </c>
      <c r="F117" s="38">
        <v>0</v>
      </c>
      <c r="G117" s="38">
        <v>0</v>
      </c>
      <c r="H117" s="38">
        <v>8.85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56.1</v>
      </c>
      <c r="Q117" s="39">
        <v>5.57</v>
      </c>
      <c r="R117" s="40" t="str">
        <f t="shared" si="11"/>
        <v>NO</v>
      </c>
      <c r="S117" s="40" t="str">
        <f t="shared" si="10"/>
        <v>Bajo</v>
      </c>
      <c r="T117" s="4"/>
      <c r="U117" s="4"/>
      <c r="V117" s="4"/>
      <c r="W117" s="4"/>
    </row>
    <row r="118" spans="1:23" ht="24.75" customHeight="1">
      <c r="A118" s="35" t="s">
        <v>184</v>
      </c>
      <c r="B118" s="36" t="s">
        <v>116</v>
      </c>
      <c r="C118" s="59" t="s">
        <v>269</v>
      </c>
      <c r="D118" s="37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40" t="s">
        <v>313</v>
      </c>
      <c r="S118" s="40" t="s">
        <v>313</v>
      </c>
      <c r="T118" s="4"/>
      <c r="U118" s="4"/>
      <c r="V118" s="4"/>
      <c r="W118" s="4"/>
    </row>
    <row r="119" spans="1:23" ht="24.75" customHeight="1">
      <c r="A119" s="35" t="s">
        <v>184</v>
      </c>
      <c r="B119" s="36" t="s">
        <v>117</v>
      </c>
      <c r="C119" s="59" t="s">
        <v>204</v>
      </c>
      <c r="D119" s="37">
        <v>1448</v>
      </c>
      <c r="E119" s="38">
        <v>0</v>
      </c>
      <c r="F119" s="38">
        <v>6.45</v>
      </c>
      <c r="G119" s="38">
        <v>1.18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9">
        <v>0.63</v>
      </c>
      <c r="R119" s="40" t="str">
        <f t="shared" si="11"/>
        <v>SI</v>
      </c>
      <c r="S119" s="40" t="str">
        <f t="shared" si="10"/>
        <v>Sin Riesgo</v>
      </c>
      <c r="T119" s="4"/>
      <c r="U119" s="4"/>
      <c r="V119" s="4"/>
      <c r="W119" s="4"/>
    </row>
    <row r="120" spans="1:23" ht="35.25" customHeight="1">
      <c r="A120" s="35" t="s">
        <v>179</v>
      </c>
      <c r="B120" s="46" t="s">
        <v>118</v>
      </c>
      <c r="C120" s="59" t="s">
        <v>270</v>
      </c>
      <c r="D120" s="37">
        <v>894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8">
        <v>26.54</v>
      </c>
      <c r="M120" s="38">
        <v>0</v>
      </c>
      <c r="N120" s="38">
        <v>0</v>
      </c>
      <c r="O120" s="38">
        <v>0</v>
      </c>
      <c r="P120" s="38">
        <v>0</v>
      </c>
      <c r="Q120" s="39">
        <v>2.41</v>
      </c>
      <c r="R120" s="40" t="str">
        <f t="shared" si="11"/>
        <v>SI</v>
      </c>
      <c r="S120" s="40" t="str">
        <f t="shared" si="10"/>
        <v>Sin Riesgo</v>
      </c>
      <c r="T120" s="4"/>
      <c r="U120" s="4"/>
      <c r="V120" s="4"/>
      <c r="W120" s="4"/>
    </row>
    <row r="121" spans="1:23" ht="35.25" customHeight="1">
      <c r="A121" s="35" t="s">
        <v>179</v>
      </c>
      <c r="B121" s="46" t="s">
        <v>118</v>
      </c>
      <c r="C121" s="59" t="s">
        <v>271</v>
      </c>
      <c r="D121" s="37">
        <v>174</v>
      </c>
      <c r="E121" s="38">
        <v>0</v>
      </c>
      <c r="F121" s="38">
        <v>0</v>
      </c>
      <c r="G121" s="38">
        <v>48.66</v>
      </c>
      <c r="H121" s="38">
        <v>8.84</v>
      </c>
      <c r="I121" s="38">
        <v>0</v>
      </c>
      <c r="J121" s="38">
        <v>0</v>
      </c>
      <c r="K121" s="38">
        <v>0</v>
      </c>
      <c r="L121" s="38">
        <v>6.45</v>
      </c>
      <c r="M121" s="38">
        <v>0</v>
      </c>
      <c r="N121" s="38">
        <v>0</v>
      </c>
      <c r="O121" s="38">
        <v>0</v>
      </c>
      <c r="P121" s="38">
        <v>0</v>
      </c>
      <c r="Q121" s="39">
        <v>4.21</v>
      </c>
      <c r="R121" s="40" t="str">
        <f t="shared" si="11"/>
        <v>SI</v>
      </c>
      <c r="S121" s="40" t="str">
        <f t="shared" si="10"/>
        <v>Sin Riesgo</v>
      </c>
      <c r="T121" s="4"/>
      <c r="U121" s="4"/>
      <c r="V121" s="4"/>
      <c r="W121" s="4"/>
    </row>
    <row r="122" spans="1:23" ht="24.75" customHeight="1">
      <c r="A122" s="35" t="s">
        <v>185</v>
      </c>
      <c r="B122" s="36" t="s">
        <v>119</v>
      </c>
      <c r="C122" s="59" t="s">
        <v>272</v>
      </c>
      <c r="D122" s="37">
        <v>3089</v>
      </c>
      <c r="E122" s="38">
        <v>8.84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9">
        <v>0.78</v>
      </c>
      <c r="R122" s="40" t="str">
        <f t="shared" si="11"/>
        <v>SI</v>
      </c>
      <c r="S122" s="40" t="str">
        <f t="shared" si="10"/>
        <v>Sin Riesgo</v>
      </c>
      <c r="T122" s="4"/>
      <c r="U122" s="4"/>
      <c r="V122" s="4"/>
      <c r="W122" s="4"/>
    </row>
    <row r="123" spans="1:23" ht="24.75" customHeight="1">
      <c r="A123" s="35" t="s">
        <v>184</v>
      </c>
      <c r="B123" s="36" t="s">
        <v>120</v>
      </c>
      <c r="C123" s="59" t="s">
        <v>273</v>
      </c>
      <c r="D123" s="37">
        <v>3451</v>
      </c>
      <c r="E123" s="38">
        <v>0</v>
      </c>
      <c r="F123" s="38">
        <v>6.45</v>
      </c>
      <c r="G123" s="38">
        <v>1.18</v>
      </c>
      <c r="H123" s="38">
        <v>16.86</v>
      </c>
      <c r="I123" s="38">
        <v>0</v>
      </c>
      <c r="J123" s="38">
        <v>4.11</v>
      </c>
      <c r="K123" s="38">
        <v>6.45</v>
      </c>
      <c r="L123" s="38">
        <v>1.17</v>
      </c>
      <c r="M123" s="38">
        <v>0</v>
      </c>
      <c r="N123" s="38">
        <v>0</v>
      </c>
      <c r="O123" s="38">
        <v>0</v>
      </c>
      <c r="P123" s="38">
        <v>6.45</v>
      </c>
      <c r="Q123" s="39">
        <v>3.55</v>
      </c>
      <c r="R123" s="40" t="str">
        <f t="shared" si="11"/>
        <v>SI</v>
      </c>
      <c r="S123" s="40" t="str">
        <f t="shared" si="10"/>
        <v>Sin Riesgo</v>
      </c>
      <c r="T123" s="4"/>
      <c r="U123" s="4"/>
      <c r="V123" s="4"/>
      <c r="W123" s="4"/>
    </row>
    <row r="124" spans="1:23" ht="24.75" customHeight="1">
      <c r="A124" s="35" t="s">
        <v>180</v>
      </c>
      <c r="B124" s="36" t="s">
        <v>121</v>
      </c>
      <c r="C124" s="59" t="s">
        <v>274</v>
      </c>
      <c r="D124" s="37">
        <v>110</v>
      </c>
      <c r="E124" s="38">
        <v>0</v>
      </c>
      <c r="F124" s="38">
        <v>0</v>
      </c>
      <c r="G124" s="38">
        <v>8.85</v>
      </c>
      <c r="H124" s="38">
        <v>0</v>
      </c>
      <c r="I124" s="38">
        <v>0</v>
      </c>
      <c r="J124" s="38">
        <v>0</v>
      </c>
      <c r="K124" s="38">
        <v>1.18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9">
        <v>0.89</v>
      </c>
      <c r="R124" s="40" t="str">
        <f t="shared" si="11"/>
        <v>SI</v>
      </c>
      <c r="S124" s="40" t="str">
        <f t="shared" si="10"/>
        <v>Sin Riesgo</v>
      </c>
      <c r="T124" s="4"/>
      <c r="U124" s="4"/>
      <c r="V124" s="4"/>
      <c r="W124" s="4"/>
    </row>
    <row r="125" spans="1:23" ht="24.75" customHeight="1">
      <c r="A125" s="35" t="s">
        <v>179</v>
      </c>
      <c r="B125" s="36" t="s">
        <v>122</v>
      </c>
      <c r="C125" s="59" t="s">
        <v>23</v>
      </c>
      <c r="D125" s="37">
        <v>3986</v>
      </c>
      <c r="E125" s="38">
        <v>0</v>
      </c>
      <c r="F125" s="38">
        <v>0</v>
      </c>
      <c r="G125" s="38">
        <v>6.45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0.64</v>
      </c>
      <c r="Q125" s="39">
        <v>0.59</v>
      </c>
      <c r="R125" s="40" t="str">
        <f t="shared" si="11"/>
        <v>SI</v>
      </c>
      <c r="S125" s="40" t="str">
        <f t="shared" si="10"/>
        <v>Sin Riesgo</v>
      </c>
      <c r="T125" s="4"/>
      <c r="U125" s="4"/>
      <c r="V125" s="4"/>
      <c r="W125" s="4"/>
    </row>
    <row r="126" spans="1:23" ht="24.75" customHeight="1">
      <c r="A126" s="35" t="s">
        <v>180</v>
      </c>
      <c r="B126" s="36" t="s">
        <v>123</v>
      </c>
      <c r="C126" s="59" t="s">
        <v>275</v>
      </c>
      <c r="D126" s="37">
        <v>568</v>
      </c>
      <c r="E126" s="38">
        <v>0</v>
      </c>
      <c r="F126" s="38">
        <v>0</v>
      </c>
      <c r="G126" s="38">
        <v>0</v>
      </c>
      <c r="H126" s="38">
        <v>6.45</v>
      </c>
      <c r="I126" s="38">
        <v>6.45</v>
      </c>
      <c r="J126" s="38">
        <v>8.85</v>
      </c>
      <c r="K126" s="38">
        <v>0</v>
      </c>
      <c r="L126" s="38">
        <v>0</v>
      </c>
      <c r="M126" s="38">
        <v>0</v>
      </c>
      <c r="N126" s="38">
        <v>0</v>
      </c>
      <c r="O126" s="38">
        <v>6.45</v>
      </c>
      <c r="P126" s="38">
        <v>6.45</v>
      </c>
      <c r="Q126" s="39">
        <v>3.06</v>
      </c>
      <c r="R126" s="40" t="str">
        <f t="shared" si="11"/>
        <v>SI</v>
      </c>
      <c r="S126" s="40" t="str">
        <f t="shared" si="10"/>
        <v>Sin Riesgo</v>
      </c>
      <c r="T126" s="4"/>
      <c r="U126" s="4"/>
      <c r="V126" s="4"/>
      <c r="W126" s="4"/>
    </row>
    <row r="127" spans="1:23" ht="30.75" customHeight="1">
      <c r="A127" s="35" t="s">
        <v>181</v>
      </c>
      <c r="B127" s="36" t="s">
        <v>124</v>
      </c>
      <c r="C127" s="59" t="s">
        <v>276</v>
      </c>
      <c r="D127" s="37">
        <v>1534</v>
      </c>
      <c r="E127" s="38">
        <v>0</v>
      </c>
      <c r="F127" s="38">
        <v>0</v>
      </c>
      <c r="G127" s="38">
        <v>0</v>
      </c>
      <c r="H127" s="38">
        <v>6.45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6.45</v>
      </c>
      <c r="P127" s="38">
        <v>0</v>
      </c>
      <c r="Q127" s="39">
        <v>1.08</v>
      </c>
      <c r="R127" s="40" t="str">
        <f t="shared" si="11"/>
        <v>SI</v>
      </c>
      <c r="S127" s="40" t="str">
        <f t="shared" si="10"/>
        <v>Sin Riesgo</v>
      </c>
      <c r="T127" s="4"/>
      <c r="U127" s="4"/>
      <c r="V127" s="4"/>
      <c r="W127" s="4"/>
    </row>
    <row r="128" spans="1:23" ht="24.75" customHeight="1">
      <c r="A128" s="48" t="s">
        <v>186</v>
      </c>
      <c r="B128" s="36" t="s">
        <v>125</v>
      </c>
      <c r="C128" s="59" t="s">
        <v>277</v>
      </c>
      <c r="D128" s="37">
        <v>10741</v>
      </c>
      <c r="E128" s="38">
        <v>3.87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9">
        <v>0.33</v>
      </c>
      <c r="R128" s="40" t="str">
        <f t="shared" si="11"/>
        <v>SI</v>
      </c>
      <c r="S128" s="40" t="str">
        <f t="shared" si="10"/>
        <v>Sin Riesgo</v>
      </c>
      <c r="T128" s="4"/>
      <c r="U128" s="4"/>
      <c r="V128" s="4"/>
      <c r="W128" s="4"/>
    </row>
    <row r="129" spans="1:23" ht="24.75" customHeight="1">
      <c r="A129" s="48" t="s">
        <v>186</v>
      </c>
      <c r="B129" s="36" t="s">
        <v>126</v>
      </c>
      <c r="C129" s="59" t="s">
        <v>278</v>
      </c>
      <c r="D129" s="37">
        <v>2136</v>
      </c>
      <c r="E129" s="38">
        <v>6.45</v>
      </c>
      <c r="F129" s="38">
        <v>0</v>
      </c>
      <c r="G129" s="38">
        <v>0</v>
      </c>
      <c r="H129" s="38">
        <v>1.18</v>
      </c>
      <c r="I129" s="38">
        <v>6.45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9">
        <v>1.17</v>
      </c>
      <c r="R129" s="40" t="str">
        <f t="shared" si="11"/>
        <v>SI</v>
      </c>
      <c r="S129" s="40" t="str">
        <f t="shared" si="10"/>
        <v>Sin Riesgo</v>
      </c>
      <c r="T129" s="4"/>
      <c r="U129" s="4"/>
      <c r="V129" s="4"/>
      <c r="W129" s="4"/>
    </row>
    <row r="130" spans="1:23" ht="24.75" customHeight="1">
      <c r="A130" s="35" t="s">
        <v>186</v>
      </c>
      <c r="B130" s="46" t="s">
        <v>127</v>
      </c>
      <c r="C130" s="60" t="s">
        <v>202</v>
      </c>
      <c r="D130" s="45">
        <v>1398</v>
      </c>
      <c r="E130" s="38">
        <v>0</v>
      </c>
      <c r="F130" s="38">
        <v>0</v>
      </c>
      <c r="G130" s="38">
        <v>8.84</v>
      </c>
      <c r="H130" s="38">
        <v>2.36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9.03</v>
      </c>
      <c r="O130" s="38">
        <v>0</v>
      </c>
      <c r="P130" s="38">
        <v>0</v>
      </c>
      <c r="Q130" s="39">
        <v>1.68</v>
      </c>
      <c r="R130" s="40" t="str">
        <f t="shared" si="11"/>
        <v>SI</v>
      </c>
      <c r="S130" s="40" t="str">
        <f t="shared" si="10"/>
        <v>Sin Riesgo</v>
      </c>
      <c r="T130" s="4"/>
      <c r="U130" s="4"/>
      <c r="V130" s="4"/>
      <c r="W130" s="4"/>
    </row>
    <row r="131" spans="1:23" ht="24.75" customHeight="1">
      <c r="A131" s="35" t="s">
        <v>182</v>
      </c>
      <c r="B131" s="46" t="s">
        <v>128</v>
      </c>
      <c r="C131" s="59" t="s">
        <v>279</v>
      </c>
      <c r="D131" s="24">
        <v>3305</v>
      </c>
      <c r="E131" s="38">
        <v>0.64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6.45</v>
      </c>
      <c r="L131" s="38">
        <v>0</v>
      </c>
      <c r="M131" s="38">
        <v>0</v>
      </c>
      <c r="N131" s="38">
        <v>0</v>
      </c>
      <c r="O131" s="38">
        <v>0.64</v>
      </c>
      <c r="P131" s="38">
        <v>0</v>
      </c>
      <c r="Q131" s="39">
        <v>0.64</v>
      </c>
      <c r="R131" s="40" t="str">
        <f t="shared" si="11"/>
        <v>SI</v>
      </c>
      <c r="S131" s="40" t="str">
        <f t="shared" si="10"/>
        <v>Sin Riesgo</v>
      </c>
      <c r="T131" s="4"/>
      <c r="U131" s="4"/>
      <c r="V131" s="4"/>
      <c r="W131" s="4"/>
    </row>
    <row r="132" spans="1:23" ht="24.75" customHeight="1">
      <c r="A132" s="35" t="s">
        <v>179</v>
      </c>
      <c r="B132" s="36" t="s">
        <v>189</v>
      </c>
      <c r="C132" s="59" t="s">
        <v>24</v>
      </c>
      <c r="D132" s="37">
        <v>3638</v>
      </c>
      <c r="E132" s="38">
        <v>14.74</v>
      </c>
      <c r="F132" s="38">
        <v>0</v>
      </c>
      <c r="G132" s="38">
        <v>0</v>
      </c>
      <c r="H132" s="38">
        <v>0</v>
      </c>
      <c r="I132" s="38">
        <v>0</v>
      </c>
      <c r="J132" s="38">
        <v>17.2</v>
      </c>
      <c r="K132" s="38">
        <v>0</v>
      </c>
      <c r="L132" s="38">
        <v>0</v>
      </c>
      <c r="M132" s="38">
        <v>0</v>
      </c>
      <c r="N132" s="38">
        <v>0</v>
      </c>
      <c r="O132" s="38">
        <v>0.58</v>
      </c>
      <c r="P132" s="38">
        <v>0</v>
      </c>
      <c r="Q132" s="39">
        <v>2.71</v>
      </c>
      <c r="R132" s="40" t="str">
        <f t="shared" si="11"/>
        <v>SI</v>
      </c>
      <c r="S132" s="40" t="str">
        <f aca="true" t="shared" si="12" ref="S132:S184">IF(Q132&lt;=5,"Sin Riesgo",IF(Q132&lt;=14,"Bajo",IF(Q132&lt;=35,"Medio",IF(Q132&lt;=80,"Alto","Inviable Sanitariamente"))))</f>
        <v>Sin Riesgo</v>
      </c>
      <c r="T132" s="4"/>
      <c r="U132" s="4"/>
      <c r="V132" s="4"/>
      <c r="W132" s="4"/>
    </row>
    <row r="133" spans="1:23" ht="24.75" customHeight="1">
      <c r="A133" s="35" t="s">
        <v>179</v>
      </c>
      <c r="B133" s="36" t="s">
        <v>189</v>
      </c>
      <c r="C133" s="59" t="s">
        <v>280</v>
      </c>
      <c r="D133" s="37">
        <v>328</v>
      </c>
      <c r="E133" s="38">
        <v>0</v>
      </c>
      <c r="F133" s="38">
        <v>0</v>
      </c>
      <c r="G133" s="38">
        <v>32.44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0.88</v>
      </c>
      <c r="N133" s="38">
        <v>0</v>
      </c>
      <c r="O133" s="38">
        <v>8.84</v>
      </c>
      <c r="P133" s="38">
        <v>0</v>
      </c>
      <c r="Q133" s="39">
        <v>3.51</v>
      </c>
      <c r="R133" s="40" t="str">
        <f t="shared" si="11"/>
        <v>SI</v>
      </c>
      <c r="S133" s="40" t="str">
        <f t="shared" si="12"/>
        <v>Sin Riesgo</v>
      </c>
      <c r="T133" s="4"/>
      <c r="U133" s="4"/>
      <c r="V133" s="4"/>
      <c r="W133" s="4"/>
    </row>
    <row r="134" spans="1:23" ht="24.75" customHeight="1">
      <c r="A134" s="35" t="s">
        <v>179</v>
      </c>
      <c r="B134" s="36" t="s">
        <v>129</v>
      </c>
      <c r="C134" s="59" t="s">
        <v>281</v>
      </c>
      <c r="D134" s="37">
        <v>24549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9">
        <v>0</v>
      </c>
      <c r="R134" s="40" t="str">
        <f t="shared" si="11"/>
        <v>SI</v>
      </c>
      <c r="S134" s="40" t="str">
        <f t="shared" si="12"/>
        <v>Sin Riesgo</v>
      </c>
      <c r="T134" s="4"/>
      <c r="U134" s="4"/>
      <c r="V134" s="4"/>
      <c r="W134" s="4"/>
    </row>
    <row r="135" spans="1:23" ht="33.75" customHeight="1">
      <c r="A135" s="35" t="s">
        <v>180</v>
      </c>
      <c r="B135" s="36" t="s">
        <v>130</v>
      </c>
      <c r="C135" s="59" t="s">
        <v>282</v>
      </c>
      <c r="D135" s="37">
        <v>1166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8.85</v>
      </c>
      <c r="O135" s="38">
        <v>0</v>
      </c>
      <c r="P135" s="38">
        <v>0</v>
      </c>
      <c r="Q135" s="39">
        <v>0.74</v>
      </c>
      <c r="R135" s="40" t="str">
        <f t="shared" si="11"/>
        <v>SI</v>
      </c>
      <c r="S135" s="40" t="str">
        <f t="shared" si="12"/>
        <v>Sin Riesgo</v>
      </c>
      <c r="T135" s="4"/>
      <c r="U135" s="4"/>
      <c r="V135" s="4"/>
      <c r="W135" s="4"/>
    </row>
    <row r="136" spans="1:23" ht="24.75" customHeight="1">
      <c r="A136" s="35" t="s">
        <v>176</v>
      </c>
      <c r="B136" s="36" t="s">
        <v>131</v>
      </c>
      <c r="C136" s="59" t="s">
        <v>9</v>
      </c>
      <c r="D136" s="37">
        <v>23905</v>
      </c>
      <c r="E136" s="38">
        <v>3.53</v>
      </c>
      <c r="F136" s="38">
        <v>8.82</v>
      </c>
      <c r="G136" s="38">
        <v>0</v>
      </c>
      <c r="H136" s="38">
        <v>0</v>
      </c>
      <c r="I136" s="38">
        <v>4.36</v>
      </c>
      <c r="J136" s="38">
        <v>0</v>
      </c>
      <c r="K136" s="38">
        <v>6.82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9">
        <v>2.13</v>
      </c>
      <c r="R136" s="40" t="str">
        <f t="shared" si="11"/>
        <v>SI</v>
      </c>
      <c r="S136" s="40" t="str">
        <f t="shared" si="12"/>
        <v>Sin Riesgo</v>
      </c>
      <c r="T136" s="4"/>
      <c r="U136" s="4"/>
      <c r="V136" s="4"/>
      <c r="W136" s="4"/>
    </row>
    <row r="137" spans="1:23" ht="24.75" customHeight="1">
      <c r="A137" s="35" t="s">
        <v>181</v>
      </c>
      <c r="B137" s="36" t="s">
        <v>132</v>
      </c>
      <c r="C137" s="59" t="s">
        <v>283</v>
      </c>
      <c r="D137" s="37">
        <v>1793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9">
        <v>0</v>
      </c>
      <c r="R137" s="40" t="str">
        <f t="shared" si="11"/>
        <v>SI</v>
      </c>
      <c r="S137" s="40" t="str">
        <f t="shared" si="12"/>
        <v>Sin Riesgo</v>
      </c>
      <c r="T137" s="4"/>
      <c r="U137" s="4"/>
      <c r="V137" s="4"/>
      <c r="W137" s="4"/>
    </row>
    <row r="138" spans="1:23" ht="24.75" customHeight="1">
      <c r="A138" s="35" t="s">
        <v>181</v>
      </c>
      <c r="B138" s="36" t="s">
        <v>132</v>
      </c>
      <c r="C138" s="59" t="s">
        <v>17</v>
      </c>
      <c r="D138" s="37">
        <v>155</v>
      </c>
      <c r="E138" s="38">
        <v>24.14</v>
      </c>
      <c r="F138" s="38">
        <v>6.45</v>
      </c>
      <c r="G138" s="38">
        <v>6.45</v>
      </c>
      <c r="H138" s="38">
        <v>9.03</v>
      </c>
      <c r="I138" s="38">
        <v>7.65</v>
      </c>
      <c r="J138" s="38">
        <v>6.45</v>
      </c>
      <c r="K138" s="38">
        <v>0</v>
      </c>
      <c r="L138" s="38">
        <v>6.45</v>
      </c>
      <c r="M138" s="38">
        <v>0</v>
      </c>
      <c r="N138" s="38">
        <v>0</v>
      </c>
      <c r="O138" s="38">
        <v>6.45</v>
      </c>
      <c r="P138" s="38">
        <v>6.45</v>
      </c>
      <c r="Q138" s="39">
        <v>6.63</v>
      </c>
      <c r="R138" s="40" t="str">
        <f t="shared" si="11"/>
        <v>NO</v>
      </c>
      <c r="S138" s="40" t="str">
        <f t="shared" si="12"/>
        <v>Bajo</v>
      </c>
      <c r="T138" s="4"/>
      <c r="U138" s="4"/>
      <c r="V138" s="4"/>
      <c r="W138" s="4"/>
    </row>
    <row r="139" spans="1:23" ht="24.75" customHeight="1">
      <c r="A139" s="35" t="s">
        <v>183</v>
      </c>
      <c r="B139" s="36" t="s">
        <v>133</v>
      </c>
      <c r="C139" s="59" t="s">
        <v>284</v>
      </c>
      <c r="D139" s="37">
        <v>1081</v>
      </c>
      <c r="E139" s="38">
        <v>0</v>
      </c>
      <c r="F139" s="38">
        <v>0</v>
      </c>
      <c r="G139" s="38">
        <v>0</v>
      </c>
      <c r="H139" s="38">
        <v>0</v>
      </c>
      <c r="I139" s="38">
        <v>6.45</v>
      </c>
      <c r="J139" s="38">
        <v>0</v>
      </c>
      <c r="K139" s="38">
        <v>17.69</v>
      </c>
      <c r="L139" s="38">
        <v>0</v>
      </c>
      <c r="M139" s="38">
        <v>0</v>
      </c>
      <c r="N139" s="38">
        <v>9.68</v>
      </c>
      <c r="O139" s="38">
        <v>17.69</v>
      </c>
      <c r="P139" s="38">
        <v>0</v>
      </c>
      <c r="Q139" s="39">
        <v>4.14</v>
      </c>
      <c r="R139" s="40" t="str">
        <f t="shared" si="11"/>
        <v>SI</v>
      </c>
      <c r="S139" s="40" t="str">
        <f t="shared" si="12"/>
        <v>Sin Riesgo</v>
      </c>
      <c r="T139" s="4"/>
      <c r="U139" s="4"/>
      <c r="V139" s="4"/>
      <c r="W139" s="4"/>
    </row>
    <row r="140" spans="1:23" ht="24.75" customHeight="1">
      <c r="A140" s="35" t="s">
        <v>179</v>
      </c>
      <c r="B140" s="36" t="s">
        <v>134</v>
      </c>
      <c r="C140" s="59" t="s">
        <v>285</v>
      </c>
      <c r="D140" s="37">
        <v>2670</v>
      </c>
      <c r="E140" s="38">
        <v>0</v>
      </c>
      <c r="F140" s="38">
        <v>6.45</v>
      </c>
      <c r="G140" s="38">
        <v>0</v>
      </c>
      <c r="H140" s="38">
        <v>1.18</v>
      </c>
      <c r="I140" s="38">
        <v>7.98</v>
      </c>
      <c r="J140" s="38">
        <v>1.52</v>
      </c>
      <c r="K140" s="38">
        <v>2.05</v>
      </c>
      <c r="L140" s="38">
        <v>0</v>
      </c>
      <c r="M140" s="38">
        <v>1.17</v>
      </c>
      <c r="N140" s="38">
        <v>0</v>
      </c>
      <c r="O140" s="38">
        <v>3.53</v>
      </c>
      <c r="P140" s="38">
        <v>8.84</v>
      </c>
      <c r="Q140" s="39">
        <v>2.72</v>
      </c>
      <c r="R140" s="40" t="str">
        <f t="shared" si="11"/>
        <v>SI</v>
      </c>
      <c r="S140" s="40" t="str">
        <f t="shared" si="12"/>
        <v>Sin Riesgo</v>
      </c>
      <c r="T140" s="4"/>
      <c r="U140" s="4"/>
      <c r="V140" s="4"/>
      <c r="W140" s="4"/>
    </row>
    <row r="141" spans="1:23" ht="24.75" customHeight="1">
      <c r="A141" s="35" t="s">
        <v>179</v>
      </c>
      <c r="B141" s="36" t="s">
        <v>135</v>
      </c>
      <c r="C141" s="59" t="s">
        <v>286</v>
      </c>
      <c r="D141" s="37">
        <v>914</v>
      </c>
      <c r="E141" s="38">
        <v>0</v>
      </c>
      <c r="F141" s="38">
        <v>0</v>
      </c>
      <c r="G141" s="38">
        <v>38.89</v>
      </c>
      <c r="H141" s="38">
        <v>0</v>
      </c>
      <c r="I141" s="38">
        <v>0</v>
      </c>
      <c r="J141" s="38">
        <v>0</v>
      </c>
      <c r="K141" s="38">
        <v>6.45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9">
        <v>3.77</v>
      </c>
      <c r="R141" s="40" t="str">
        <f t="shared" si="11"/>
        <v>SI</v>
      </c>
      <c r="S141" s="40" t="str">
        <f t="shared" si="12"/>
        <v>Sin Riesgo</v>
      </c>
      <c r="T141" s="4"/>
      <c r="U141" s="4"/>
      <c r="V141" s="4"/>
      <c r="W141" s="4"/>
    </row>
    <row r="142" spans="1:23" ht="24.75" customHeight="1">
      <c r="A142" s="35" t="s">
        <v>180</v>
      </c>
      <c r="B142" s="36" t="s">
        <v>136</v>
      </c>
      <c r="C142" s="59" t="s">
        <v>287</v>
      </c>
      <c r="D142" s="37">
        <v>2185</v>
      </c>
      <c r="E142" s="38">
        <v>0</v>
      </c>
      <c r="F142" s="38">
        <v>0</v>
      </c>
      <c r="G142" s="38">
        <v>8.85</v>
      </c>
      <c r="H142" s="38">
        <v>0</v>
      </c>
      <c r="I142" s="38">
        <v>0</v>
      </c>
      <c r="J142" s="38">
        <v>0</v>
      </c>
      <c r="K142" s="38">
        <v>0</v>
      </c>
      <c r="L142" s="38">
        <v>8.85</v>
      </c>
      <c r="M142" s="38">
        <v>0</v>
      </c>
      <c r="N142" s="38">
        <v>0</v>
      </c>
      <c r="O142" s="38">
        <v>0</v>
      </c>
      <c r="P142" s="38">
        <v>0</v>
      </c>
      <c r="Q142" s="39">
        <v>1.47</v>
      </c>
      <c r="R142" s="40" t="str">
        <f t="shared" si="11"/>
        <v>SI</v>
      </c>
      <c r="S142" s="40" t="str">
        <f t="shared" si="12"/>
        <v>Sin Riesgo</v>
      </c>
      <c r="T142" s="4"/>
      <c r="U142" s="4"/>
      <c r="V142" s="4"/>
      <c r="W142" s="4"/>
    </row>
    <row r="143" spans="1:23" ht="24.75" customHeight="1">
      <c r="A143" s="35" t="s">
        <v>183</v>
      </c>
      <c r="B143" s="36" t="s">
        <v>137</v>
      </c>
      <c r="C143" s="60" t="s">
        <v>205</v>
      </c>
      <c r="D143" s="45">
        <v>882</v>
      </c>
      <c r="E143" s="38">
        <v>0.88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8.85</v>
      </c>
      <c r="O143" s="38">
        <v>0</v>
      </c>
      <c r="P143" s="38">
        <v>0</v>
      </c>
      <c r="Q143" s="39">
        <v>0.81</v>
      </c>
      <c r="R143" s="40" t="str">
        <f aca="true" t="shared" si="13" ref="R143:R184">IF(Q143&lt;=5,"SI","NO")</f>
        <v>SI</v>
      </c>
      <c r="S143" s="40" t="str">
        <f t="shared" si="12"/>
        <v>Sin Riesgo</v>
      </c>
      <c r="T143" s="4"/>
      <c r="U143" s="4"/>
      <c r="V143" s="4"/>
      <c r="W143" s="4"/>
    </row>
    <row r="144" spans="1:23" ht="24.75" customHeight="1">
      <c r="A144" s="35" t="s">
        <v>184</v>
      </c>
      <c r="B144" s="36" t="s">
        <v>138</v>
      </c>
      <c r="C144" s="59" t="s">
        <v>288</v>
      </c>
      <c r="D144" s="37">
        <v>1398</v>
      </c>
      <c r="E144" s="38">
        <v>0</v>
      </c>
      <c r="F144" s="38">
        <v>0</v>
      </c>
      <c r="G144" s="38">
        <v>23.61</v>
      </c>
      <c r="H144" s="38">
        <v>15.3</v>
      </c>
      <c r="I144" s="38">
        <v>26.54</v>
      </c>
      <c r="J144" s="38">
        <v>9.68</v>
      </c>
      <c r="K144" s="38">
        <v>30.59</v>
      </c>
      <c r="L144" s="38">
        <v>9.68</v>
      </c>
      <c r="M144" s="38"/>
      <c r="N144" s="38"/>
      <c r="O144" s="38"/>
      <c r="P144" s="38"/>
      <c r="Q144" s="39">
        <v>13.69</v>
      </c>
      <c r="R144" s="40" t="str">
        <f t="shared" si="13"/>
        <v>NO</v>
      </c>
      <c r="S144" s="40" t="str">
        <f t="shared" si="12"/>
        <v>Bajo</v>
      </c>
      <c r="T144" s="4"/>
      <c r="U144" s="4"/>
      <c r="V144" s="4"/>
      <c r="W144" s="4"/>
    </row>
    <row r="145" spans="1:23" ht="24.75" customHeight="1">
      <c r="A145" s="35" t="s">
        <v>184</v>
      </c>
      <c r="B145" s="36" t="s">
        <v>138</v>
      </c>
      <c r="C145" s="59" t="s">
        <v>202</v>
      </c>
      <c r="D145" s="55">
        <v>1398</v>
      </c>
      <c r="E145" s="38"/>
      <c r="F145" s="38"/>
      <c r="G145" s="38"/>
      <c r="H145" s="38"/>
      <c r="I145" s="38"/>
      <c r="J145" s="38"/>
      <c r="K145" s="38"/>
      <c r="L145" s="38"/>
      <c r="M145" s="38">
        <v>6.45</v>
      </c>
      <c r="N145" s="38">
        <v>17.2</v>
      </c>
      <c r="O145" s="38">
        <v>8.85</v>
      </c>
      <c r="P145" s="38">
        <v>6.45</v>
      </c>
      <c r="Q145" s="39">
        <v>9.74</v>
      </c>
      <c r="R145" s="40" t="str">
        <f t="shared" si="13"/>
        <v>NO</v>
      </c>
      <c r="S145" s="40" t="str">
        <f t="shared" si="12"/>
        <v>Bajo</v>
      </c>
      <c r="T145" s="4"/>
      <c r="U145" s="4"/>
      <c r="V145" s="4"/>
      <c r="W145" s="4"/>
    </row>
    <row r="146" spans="1:23" ht="36" customHeight="1">
      <c r="A146" s="35" t="s">
        <v>179</v>
      </c>
      <c r="B146" s="36" t="s">
        <v>139</v>
      </c>
      <c r="C146" s="59" t="s">
        <v>289</v>
      </c>
      <c r="D146" s="37">
        <v>1121</v>
      </c>
      <c r="E146" s="38">
        <v>8.84</v>
      </c>
      <c r="F146" s="38">
        <v>0</v>
      </c>
      <c r="G146" s="38">
        <v>0</v>
      </c>
      <c r="H146" s="38">
        <v>0</v>
      </c>
      <c r="I146" s="38">
        <v>0</v>
      </c>
      <c r="J146" s="38">
        <v>23.59</v>
      </c>
      <c r="K146" s="38">
        <v>0</v>
      </c>
      <c r="L146" s="38">
        <v>0</v>
      </c>
      <c r="M146" s="38">
        <v>8.84</v>
      </c>
      <c r="N146" s="38">
        <v>0</v>
      </c>
      <c r="O146" s="38">
        <v>23.59</v>
      </c>
      <c r="P146" s="38">
        <v>0</v>
      </c>
      <c r="Q146" s="50">
        <v>5.4</v>
      </c>
      <c r="R146" s="40" t="str">
        <f t="shared" si="13"/>
        <v>NO</v>
      </c>
      <c r="S146" s="40" t="str">
        <f t="shared" si="12"/>
        <v>Bajo</v>
      </c>
      <c r="T146" s="4"/>
      <c r="U146" s="4"/>
      <c r="V146" s="4"/>
      <c r="W146" s="4"/>
    </row>
    <row r="147" spans="1:23" ht="38.25" customHeight="1">
      <c r="A147" s="35" t="s">
        <v>179</v>
      </c>
      <c r="B147" s="36" t="s">
        <v>139</v>
      </c>
      <c r="C147" s="59" t="s">
        <v>290</v>
      </c>
      <c r="D147" s="37">
        <v>1379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9">
        <v>0</v>
      </c>
      <c r="R147" s="40" t="str">
        <f t="shared" si="13"/>
        <v>SI</v>
      </c>
      <c r="S147" s="40" t="str">
        <f t="shared" si="12"/>
        <v>Sin Riesgo</v>
      </c>
      <c r="T147" s="4"/>
      <c r="U147" s="4"/>
      <c r="V147" s="4"/>
      <c r="W147" s="4"/>
    </row>
    <row r="148" spans="1:23" ht="24.75" customHeight="1">
      <c r="A148" s="35" t="s">
        <v>183</v>
      </c>
      <c r="B148" s="36" t="s">
        <v>140</v>
      </c>
      <c r="C148" s="60" t="s">
        <v>291</v>
      </c>
      <c r="D148" s="45">
        <v>4234</v>
      </c>
      <c r="E148" s="38">
        <v>0</v>
      </c>
      <c r="F148" s="38">
        <v>0</v>
      </c>
      <c r="G148" s="38">
        <v>0</v>
      </c>
      <c r="H148" s="38">
        <v>0.64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9">
        <v>0.05</v>
      </c>
      <c r="R148" s="40" t="str">
        <f t="shared" si="13"/>
        <v>SI</v>
      </c>
      <c r="S148" s="40" t="str">
        <f t="shared" si="12"/>
        <v>Sin Riesgo</v>
      </c>
      <c r="T148" s="4"/>
      <c r="U148" s="4"/>
      <c r="V148" s="4"/>
      <c r="W148" s="4"/>
    </row>
    <row r="149" spans="1:23" ht="24.75" customHeight="1">
      <c r="A149" s="35" t="s">
        <v>184</v>
      </c>
      <c r="B149" s="36" t="s">
        <v>141</v>
      </c>
      <c r="C149" s="59" t="s">
        <v>273</v>
      </c>
      <c r="D149" s="37">
        <v>2861</v>
      </c>
      <c r="E149" s="38">
        <v>0</v>
      </c>
      <c r="F149" s="38">
        <v>0</v>
      </c>
      <c r="G149" s="38">
        <v>1.18</v>
      </c>
      <c r="H149" s="38">
        <v>0</v>
      </c>
      <c r="I149" s="38">
        <v>6.45</v>
      </c>
      <c r="J149" s="38">
        <v>1.17</v>
      </c>
      <c r="K149" s="38">
        <v>0</v>
      </c>
      <c r="L149" s="38">
        <v>1.17</v>
      </c>
      <c r="M149" s="38">
        <v>0</v>
      </c>
      <c r="N149" s="38">
        <v>6.45</v>
      </c>
      <c r="O149" s="38">
        <v>0</v>
      </c>
      <c r="P149" s="38">
        <v>0</v>
      </c>
      <c r="Q149" s="39">
        <v>1.36</v>
      </c>
      <c r="R149" s="40" t="str">
        <f t="shared" si="13"/>
        <v>SI</v>
      </c>
      <c r="S149" s="40" t="str">
        <f t="shared" si="12"/>
        <v>Sin Riesgo</v>
      </c>
      <c r="T149" s="4"/>
      <c r="U149" s="4"/>
      <c r="V149" s="4"/>
      <c r="W149" s="4"/>
    </row>
    <row r="150" spans="1:23" ht="24.75" customHeight="1">
      <c r="A150" s="35" t="s">
        <v>179</v>
      </c>
      <c r="B150" s="36" t="s">
        <v>142</v>
      </c>
      <c r="C150" s="59" t="s">
        <v>292</v>
      </c>
      <c r="D150" s="37">
        <v>3046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9">
        <v>0</v>
      </c>
      <c r="R150" s="40" t="str">
        <f t="shared" si="13"/>
        <v>SI</v>
      </c>
      <c r="S150" s="40" t="str">
        <f t="shared" si="12"/>
        <v>Sin Riesgo</v>
      </c>
      <c r="T150" s="4"/>
      <c r="U150" s="4"/>
      <c r="V150" s="4"/>
      <c r="W150" s="4"/>
    </row>
    <row r="151" spans="1:23" ht="24.75" customHeight="1">
      <c r="A151" s="35" t="s">
        <v>182</v>
      </c>
      <c r="B151" s="36" t="s">
        <v>143</v>
      </c>
      <c r="C151" s="59" t="s">
        <v>293</v>
      </c>
      <c r="D151" s="37">
        <v>1634</v>
      </c>
      <c r="E151" s="38">
        <v>0</v>
      </c>
      <c r="F151" s="38">
        <v>0</v>
      </c>
      <c r="G151" s="38">
        <v>6.45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8.84</v>
      </c>
      <c r="P151" s="38">
        <v>0</v>
      </c>
      <c r="Q151" s="39">
        <v>1.27</v>
      </c>
      <c r="R151" s="40" t="str">
        <f t="shared" si="13"/>
        <v>SI</v>
      </c>
      <c r="S151" s="40" t="str">
        <f t="shared" si="12"/>
        <v>Sin Riesgo</v>
      </c>
      <c r="T151" s="4"/>
      <c r="U151" s="4"/>
      <c r="V151" s="4"/>
      <c r="W151" s="4"/>
    </row>
    <row r="152" spans="1:23" ht="24.75" customHeight="1">
      <c r="A152" s="35" t="s">
        <v>179</v>
      </c>
      <c r="B152" s="36" t="s">
        <v>144</v>
      </c>
      <c r="C152" s="59" t="s">
        <v>15</v>
      </c>
      <c r="D152" s="37">
        <v>1934</v>
      </c>
      <c r="E152" s="38">
        <v>0</v>
      </c>
      <c r="F152" s="38">
        <v>0</v>
      </c>
      <c r="G152" s="38">
        <v>6.45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9">
        <v>0.53</v>
      </c>
      <c r="R152" s="40" t="str">
        <f t="shared" si="13"/>
        <v>SI</v>
      </c>
      <c r="S152" s="40" t="str">
        <f t="shared" si="12"/>
        <v>Sin Riesgo</v>
      </c>
      <c r="T152" s="4"/>
      <c r="U152" s="4"/>
      <c r="V152" s="4"/>
      <c r="W152" s="4"/>
    </row>
    <row r="153" spans="1:23" ht="24.75" customHeight="1">
      <c r="A153" s="35" t="s">
        <v>181</v>
      </c>
      <c r="B153" s="36" t="s">
        <v>145</v>
      </c>
      <c r="C153" s="59" t="s">
        <v>247</v>
      </c>
      <c r="D153" s="37">
        <v>4593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0.64</v>
      </c>
      <c r="Q153" s="39">
        <v>0.05</v>
      </c>
      <c r="R153" s="40" t="str">
        <f t="shared" si="13"/>
        <v>SI</v>
      </c>
      <c r="S153" s="40" t="str">
        <f t="shared" si="12"/>
        <v>Sin Riesgo</v>
      </c>
      <c r="T153" s="4"/>
      <c r="U153" s="4"/>
      <c r="V153" s="4"/>
      <c r="W153" s="4"/>
    </row>
    <row r="154" spans="1:23" ht="24.75" customHeight="1">
      <c r="A154" s="35" t="s">
        <v>183</v>
      </c>
      <c r="B154" s="36" t="s">
        <v>146</v>
      </c>
      <c r="C154" s="60" t="s">
        <v>205</v>
      </c>
      <c r="D154" s="45">
        <v>6023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0.71</v>
      </c>
      <c r="K154" s="38">
        <v>0</v>
      </c>
      <c r="L154" s="38">
        <v>0.7</v>
      </c>
      <c r="M154" s="38">
        <v>0.7</v>
      </c>
      <c r="N154" s="38">
        <v>0</v>
      </c>
      <c r="O154" s="38">
        <v>0.7</v>
      </c>
      <c r="P154" s="38">
        <v>0</v>
      </c>
      <c r="Q154" s="39">
        <v>0.24</v>
      </c>
      <c r="R154" s="40" t="str">
        <f t="shared" si="13"/>
        <v>SI</v>
      </c>
      <c r="S154" s="40" t="str">
        <f t="shared" si="12"/>
        <v>Sin Riesgo</v>
      </c>
      <c r="T154" s="4"/>
      <c r="U154" s="4"/>
      <c r="V154" s="4"/>
      <c r="W154" s="4"/>
    </row>
    <row r="155" spans="1:23" ht="24.75" customHeight="1">
      <c r="A155" s="35" t="s">
        <v>180</v>
      </c>
      <c r="B155" s="36" t="s">
        <v>147</v>
      </c>
      <c r="C155" s="59" t="s">
        <v>287</v>
      </c>
      <c r="D155" s="37">
        <v>6587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9">
        <v>0</v>
      </c>
      <c r="R155" s="40" t="str">
        <f t="shared" si="13"/>
        <v>SI</v>
      </c>
      <c r="S155" s="40" t="str">
        <f t="shared" si="12"/>
        <v>Sin Riesgo</v>
      </c>
      <c r="T155" s="4"/>
      <c r="U155" s="4"/>
      <c r="V155" s="4"/>
      <c r="W155" s="4"/>
    </row>
    <row r="156" spans="1:23" ht="34.5" customHeight="1">
      <c r="A156" s="35" t="s">
        <v>182</v>
      </c>
      <c r="B156" s="36" t="s">
        <v>148</v>
      </c>
      <c r="C156" s="59" t="s">
        <v>294</v>
      </c>
      <c r="D156" s="37">
        <v>996</v>
      </c>
      <c r="E156" s="38">
        <v>0</v>
      </c>
      <c r="F156" s="38">
        <v>0</v>
      </c>
      <c r="G156" s="38">
        <v>0</v>
      </c>
      <c r="H156" s="38">
        <v>6.45</v>
      </c>
      <c r="I156" s="38">
        <v>6.45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9">
        <v>1.07</v>
      </c>
      <c r="R156" s="40" t="str">
        <f t="shared" si="13"/>
        <v>SI</v>
      </c>
      <c r="S156" s="40" t="str">
        <f t="shared" si="12"/>
        <v>Sin Riesgo</v>
      </c>
      <c r="T156" s="4"/>
      <c r="U156" s="4"/>
      <c r="V156" s="4"/>
      <c r="W156" s="4"/>
    </row>
    <row r="157" spans="1:23" ht="24.75" customHeight="1">
      <c r="A157" s="35" t="s">
        <v>182</v>
      </c>
      <c r="B157" s="36" t="s">
        <v>149</v>
      </c>
      <c r="C157" s="59" t="s">
        <v>295</v>
      </c>
      <c r="D157" s="37">
        <v>6920</v>
      </c>
      <c r="E157" s="38">
        <v>0</v>
      </c>
      <c r="F157" s="38">
        <v>0</v>
      </c>
      <c r="G157" s="38">
        <v>4.92</v>
      </c>
      <c r="H157" s="38">
        <v>5.3</v>
      </c>
      <c r="I157" s="38">
        <v>5.71</v>
      </c>
      <c r="J157" s="38">
        <v>0.71</v>
      </c>
      <c r="K157" s="38">
        <v>0</v>
      </c>
      <c r="L157" s="38">
        <v>0.7</v>
      </c>
      <c r="M157" s="38">
        <v>0</v>
      </c>
      <c r="N157" s="38">
        <v>0</v>
      </c>
      <c r="O157" s="38">
        <v>0.7</v>
      </c>
      <c r="P157" s="38">
        <v>14.48</v>
      </c>
      <c r="Q157" s="50">
        <v>2.66</v>
      </c>
      <c r="R157" s="40" t="str">
        <f t="shared" si="13"/>
        <v>SI</v>
      </c>
      <c r="S157" s="40" t="str">
        <f t="shared" si="12"/>
        <v>Sin Riesgo</v>
      </c>
      <c r="T157" s="4"/>
      <c r="U157" s="4"/>
      <c r="V157" s="4"/>
      <c r="W157" s="4"/>
    </row>
    <row r="158" spans="1:23" ht="24.75" customHeight="1">
      <c r="A158" s="35" t="s">
        <v>179</v>
      </c>
      <c r="B158" s="44" t="s">
        <v>150</v>
      </c>
      <c r="C158" s="59" t="s">
        <v>296</v>
      </c>
      <c r="D158" s="37">
        <v>4979</v>
      </c>
      <c r="E158" s="38">
        <v>15.29</v>
      </c>
      <c r="F158" s="38">
        <v>15.29</v>
      </c>
      <c r="G158" s="38">
        <v>0</v>
      </c>
      <c r="H158" s="38">
        <v>0</v>
      </c>
      <c r="I158" s="38">
        <v>5.91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9">
        <v>1.81</v>
      </c>
      <c r="R158" s="40" t="str">
        <f t="shared" si="13"/>
        <v>SI</v>
      </c>
      <c r="S158" s="40" t="str">
        <f t="shared" si="12"/>
        <v>Sin Riesgo</v>
      </c>
      <c r="T158" s="4"/>
      <c r="U158" s="4"/>
      <c r="V158" s="4"/>
      <c r="W158" s="4"/>
    </row>
    <row r="159" spans="1:23" ht="24.75" customHeight="1">
      <c r="A159" s="35" t="s">
        <v>180</v>
      </c>
      <c r="B159" s="36" t="s">
        <v>151</v>
      </c>
      <c r="C159" s="59" t="s">
        <v>297</v>
      </c>
      <c r="D159" s="37">
        <v>2259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9">
        <v>0</v>
      </c>
      <c r="R159" s="40" t="str">
        <f t="shared" si="13"/>
        <v>SI</v>
      </c>
      <c r="S159" s="40" t="str">
        <f t="shared" si="12"/>
        <v>Sin Riesgo</v>
      </c>
      <c r="T159" s="4"/>
      <c r="U159" s="4"/>
      <c r="V159" s="4"/>
      <c r="W159" s="4"/>
    </row>
    <row r="160" spans="1:23" ht="33.75" customHeight="1">
      <c r="A160" s="35" t="s">
        <v>181</v>
      </c>
      <c r="B160" s="36" t="s">
        <v>152</v>
      </c>
      <c r="C160" s="59" t="s">
        <v>298</v>
      </c>
      <c r="D160" s="37">
        <v>2245</v>
      </c>
      <c r="E160" s="38">
        <v>0</v>
      </c>
      <c r="F160" s="38">
        <v>0</v>
      </c>
      <c r="G160" s="38">
        <v>6.45</v>
      </c>
      <c r="H160" s="38">
        <v>0</v>
      </c>
      <c r="I160" s="38">
        <v>1.18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9">
        <v>0.64</v>
      </c>
      <c r="R160" s="40" t="str">
        <f t="shared" si="13"/>
        <v>SI</v>
      </c>
      <c r="S160" s="40" t="str">
        <f t="shared" si="12"/>
        <v>Sin Riesgo</v>
      </c>
      <c r="T160" s="4"/>
      <c r="U160" s="4"/>
      <c r="V160" s="4"/>
      <c r="W160" s="4"/>
    </row>
    <row r="161" spans="1:23" ht="24.75" customHeight="1">
      <c r="A161" s="35" t="s">
        <v>185</v>
      </c>
      <c r="B161" s="51" t="s">
        <v>153</v>
      </c>
      <c r="C161" s="59" t="s">
        <v>272</v>
      </c>
      <c r="D161" s="37">
        <v>5041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9">
        <v>0</v>
      </c>
      <c r="R161" s="40" t="str">
        <f t="shared" si="13"/>
        <v>SI</v>
      </c>
      <c r="S161" s="40" t="str">
        <f t="shared" si="12"/>
        <v>Sin Riesgo</v>
      </c>
      <c r="T161" s="4"/>
      <c r="U161" s="4"/>
      <c r="V161" s="4"/>
      <c r="W161" s="4"/>
    </row>
    <row r="162" spans="1:23" ht="24.75" customHeight="1">
      <c r="A162" s="48" t="s">
        <v>185</v>
      </c>
      <c r="B162" s="92" t="s">
        <v>153</v>
      </c>
      <c r="C162" s="59" t="s">
        <v>331</v>
      </c>
      <c r="D162" s="55">
        <v>180</v>
      </c>
      <c r="E162" s="38">
        <v>90.32</v>
      </c>
      <c r="F162" s="38"/>
      <c r="G162" s="38">
        <v>70.96</v>
      </c>
      <c r="H162" s="38">
        <v>70.96</v>
      </c>
      <c r="I162" s="38">
        <v>72.18</v>
      </c>
      <c r="J162" s="38">
        <v>97.34</v>
      </c>
      <c r="K162" s="38">
        <v>90.32</v>
      </c>
      <c r="L162" s="38">
        <v>70.96</v>
      </c>
      <c r="M162" s="38">
        <v>90.32</v>
      </c>
      <c r="N162" s="38">
        <v>90.32</v>
      </c>
      <c r="O162" s="38">
        <v>90.32</v>
      </c>
      <c r="P162" s="38">
        <v>70.96</v>
      </c>
      <c r="Q162" s="39">
        <v>82.26</v>
      </c>
      <c r="R162" s="40" t="str">
        <f t="shared" si="13"/>
        <v>NO</v>
      </c>
      <c r="S162" s="40" t="str">
        <f t="shared" si="12"/>
        <v>Inviable Sanitariamente</v>
      </c>
      <c r="T162" s="4"/>
      <c r="U162" s="4"/>
      <c r="V162" s="4"/>
      <c r="W162" s="4"/>
    </row>
    <row r="163" spans="1:23" ht="24.75" customHeight="1">
      <c r="A163" s="48" t="s">
        <v>185</v>
      </c>
      <c r="B163" s="92" t="s">
        <v>153</v>
      </c>
      <c r="C163" s="59" t="s">
        <v>330</v>
      </c>
      <c r="D163" s="55">
        <v>80</v>
      </c>
      <c r="E163" s="38">
        <v>70.96</v>
      </c>
      <c r="F163" s="38">
        <v>97.34</v>
      </c>
      <c r="G163" s="38">
        <v>70.96</v>
      </c>
      <c r="H163" s="38">
        <v>70.96</v>
      </c>
      <c r="I163" s="38">
        <v>82.84</v>
      </c>
      <c r="J163" s="38">
        <v>98.06</v>
      </c>
      <c r="K163" s="38">
        <v>70.96</v>
      </c>
      <c r="L163" s="38">
        <v>70.96</v>
      </c>
      <c r="M163" s="38">
        <v>90.32</v>
      </c>
      <c r="N163" s="38">
        <v>98.06</v>
      </c>
      <c r="O163" s="38">
        <v>90.32</v>
      </c>
      <c r="P163" s="38">
        <v>70.96</v>
      </c>
      <c r="Q163" s="39">
        <v>81.89</v>
      </c>
      <c r="R163" s="40" t="str">
        <f t="shared" si="13"/>
        <v>NO</v>
      </c>
      <c r="S163" s="40" t="str">
        <f t="shared" si="12"/>
        <v>Inviable Sanitariamente</v>
      </c>
      <c r="T163" s="4"/>
      <c r="U163" s="4"/>
      <c r="V163" s="4"/>
      <c r="W163" s="4"/>
    </row>
    <row r="164" spans="1:23" ht="24.75" customHeight="1">
      <c r="A164" s="48" t="s">
        <v>185</v>
      </c>
      <c r="B164" s="92" t="s">
        <v>153</v>
      </c>
      <c r="C164" s="59" t="s">
        <v>329</v>
      </c>
      <c r="D164" s="55">
        <v>90</v>
      </c>
      <c r="E164" s="38">
        <v>98.06</v>
      </c>
      <c r="F164" s="38">
        <v>80.64</v>
      </c>
      <c r="G164" s="38">
        <v>70.96</v>
      </c>
      <c r="H164" s="38">
        <v>97.34</v>
      </c>
      <c r="I164" s="38">
        <v>89.94</v>
      </c>
      <c r="J164" s="38">
        <v>98.06</v>
      </c>
      <c r="K164" s="38">
        <v>90.32</v>
      </c>
      <c r="L164" s="38">
        <v>98.06</v>
      </c>
      <c r="M164" s="38">
        <v>98.06</v>
      </c>
      <c r="N164" s="38">
        <v>98.06</v>
      </c>
      <c r="O164" s="38">
        <v>70.96</v>
      </c>
      <c r="P164" s="38">
        <v>70.96</v>
      </c>
      <c r="Q164" s="39">
        <v>87.85</v>
      </c>
      <c r="R164" s="40" t="str">
        <f t="shared" si="13"/>
        <v>NO</v>
      </c>
      <c r="S164" s="40" t="str">
        <f t="shared" si="12"/>
        <v>Inviable Sanitariamente</v>
      </c>
      <c r="T164" s="4"/>
      <c r="U164" s="4"/>
      <c r="V164" s="4"/>
      <c r="W164" s="4"/>
    </row>
    <row r="165" spans="1:23" ht="24.75" customHeight="1">
      <c r="A165" s="35" t="s">
        <v>181</v>
      </c>
      <c r="B165" s="36" t="s">
        <v>154</v>
      </c>
      <c r="C165" s="59" t="s">
        <v>34</v>
      </c>
      <c r="D165" s="37">
        <v>1047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9">
        <v>0</v>
      </c>
      <c r="R165" s="40" t="str">
        <f t="shared" si="13"/>
        <v>SI</v>
      </c>
      <c r="S165" s="40" t="str">
        <f t="shared" si="12"/>
        <v>Sin Riesgo</v>
      </c>
      <c r="T165" s="4"/>
      <c r="U165" s="4"/>
      <c r="V165" s="4"/>
      <c r="W165" s="4"/>
    </row>
    <row r="166" spans="1:23" ht="24.75" customHeight="1">
      <c r="A166" s="35" t="s">
        <v>181</v>
      </c>
      <c r="B166" s="36" t="s">
        <v>155</v>
      </c>
      <c r="C166" s="60" t="s">
        <v>205</v>
      </c>
      <c r="D166" s="45">
        <v>1318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6.45</v>
      </c>
      <c r="O166" s="38">
        <v>0</v>
      </c>
      <c r="P166" s="38">
        <v>0</v>
      </c>
      <c r="Q166" s="39">
        <v>0.54</v>
      </c>
      <c r="R166" s="40" t="str">
        <f t="shared" si="13"/>
        <v>SI</v>
      </c>
      <c r="S166" s="40" t="str">
        <f t="shared" si="12"/>
        <v>Sin Riesgo</v>
      </c>
      <c r="T166" s="4"/>
      <c r="U166" s="4"/>
      <c r="V166" s="4"/>
      <c r="W166" s="4"/>
    </row>
    <row r="167" spans="1:23" ht="34.5" customHeight="1">
      <c r="A167" s="35" t="s">
        <v>181</v>
      </c>
      <c r="B167" s="36" t="s">
        <v>155</v>
      </c>
      <c r="C167" s="60" t="s">
        <v>299</v>
      </c>
      <c r="D167" s="45">
        <v>121</v>
      </c>
      <c r="E167" s="38">
        <v>8.85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9">
        <v>0.74</v>
      </c>
      <c r="R167" s="40" t="str">
        <f t="shared" si="13"/>
        <v>SI</v>
      </c>
      <c r="S167" s="40" t="str">
        <f t="shared" si="12"/>
        <v>Sin Riesgo</v>
      </c>
      <c r="T167" s="4"/>
      <c r="U167" s="4"/>
      <c r="V167" s="4"/>
      <c r="W167" s="4"/>
    </row>
    <row r="168" spans="1:23" ht="24.75" customHeight="1">
      <c r="A168" s="35" t="s">
        <v>183</v>
      </c>
      <c r="B168" s="36" t="s">
        <v>156</v>
      </c>
      <c r="C168" s="59" t="s">
        <v>300</v>
      </c>
      <c r="D168" s="37">
        <v>665</v>
      </c>
      <c r="E168" s="38">
        <v>0</v>
      </c>
      <c r="F168" s="38">
        <v>32.45</v>
      </c>
      <c r="G168" s="38">
        <v>8.85</v>
      </c>
      <c r="H168" s="38">
        <v>13.27</v>
      </c>
      <c r="I168" s="38">
        <v>97.58</v>
      </c>
      <c r="J168" s="38">
        <v>81.21</v>
      </c>
      <c r="K168" s="38">
        <v>0</v>
      </c>
      <c r="L168" s="38">
        <v>17.69</v>
      </c>
      <c r="M168" s="38">
        <v>64.95</v>
      </c>
      <c r="N168" s="38">
        <v>50.38</v>
      </c>
      <c r="O168" s="38">
        <v>91.13</v>
      </c>
      <c r="P168" s="38">
        <v>15.3</v>
      </c>
      <c r="Q168" s="39">
        <v>38.94</v>
      </c>
      <c r="R168" s="40" t="str">
        <f t="shared" si="13"/>
        <v>NO</v>
      </c>
      <c r="S168" s="40" t="str">
        <f t="shared" si="12"/>
        <v>Alto</v>
      </c>
      <c r="T168" s="4"/>
      <c r="U168" s="4"/>
      <c r="V168" s="4"/>
      <c r="W168" s="4"/>
    </row>
    <row r="169" spans="1:23" ht="24.75" customHeight="1">
      <c r="A169" s="35" t="s">
        <v>184</v>
      </c>
      <c r="B169" s="36" t="s">
        <v>157</v>
      </c>
      <c r="C169" s="59" t="s">
        <v>204</v>
      </c>
      <c r="D169" s="37">
        <v>10162</v>
      </c>
      <c r="E169" s="38">
        <v>0</v>
      </c>
      <c r="F169" s="38">
        <v>0</v>
      </c>
      <c r="G169" s="38">
        <v>5.2</v>
      </c>
      <c r="H169" s="38">
        <v>0</v>
      </c>
      <c r="I169" s="38">
        <v>0</v>
      </c>
      <c r="J169" s="38">
        <v>3.87</v>
      </c>
      <c r="K169" s="38">
        <v>0</v>
      </c>
      <c r="L169" s="38">
        <v>5.3</v>
      </c>
      <c r="M169" s="38">
        <v>0</v>
      </c>
      <c r="N169" s="38">
        <v>7.74</v>
      </c>
      <c r="O169" s="38">
        <v>0</v>
      </c>
      <c r="P169" s="38">
        <v>0</v>
      </c>
      <c r="Q169" s="39">
        <v>1.87</v>
      </c>
      <c r="R169" s="40" t="str">
        <f t="shared" si="13"/>
        <v>SI</v>
      </c>
      <c r="S169" s="40" t="str">
        <f t="shared" si="12"/>
        <v>Sin Riesgo</v>
      </c>
      <c r="T169" s="4"/>
      <c r="U169" s="4"/>
      <c r="V169" s="4"/>
      <c r="W169" s="4"/>
    </row>
    <row r="170" spans="1:23" ht="35.25" customHeight="1">
      <c r="A170" s="35" t="s">
        <v>180</v>
      </c>
      <c r="B170" s="36" t="s">
        <v>158</v>
      </c>
      <c r="C170" s="59" t="s">
        <v>301</v>
      </c>
      <c r="D170" s="37">
        <v>738</v>
      </c>
      <c r="E170" s="38">
        <v>0</v>
      </c>
      <c r="F170" s="38">
        <v>0</v>
      </c>
      <c r="G170" s="38">
        <v>5.92</v>
      </c>
      <c r="H170" s="38">
        <v>8.85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8.85</v>
      </c>
      <c r="Q170" s="39">
        <v>2.02</v>
      </c>
      <c r="R170" s="40" t="str">
        <f t="shared" si="13"/>
        <v>SI</v>
      </c>
      <c r="S170" s="40" t="str">
        <f t="shared" si="12"/>
        <v>Sin Riesgo</v>
      </c>
      <c r="T170" s="4"/>
      <c r="U170" s="4"/>
      <c r="V170" s="4"/>
      <c r="W170" s="4"/>
    </row>
    <row r="171" spans="1:23" ht="36.75" customHeight="1">
      <c r="A171" s="35" t="s">
        <v>180</v>
      </c>
      <c r="B171" s="36" t="s">
        <v>158</v>
      </c>
      <c r="C171" s="59" t="s">
        <v>302</v>
      </c>
      <c r="D171" s="37">
        <v>87</v>
      </c>
      <c r="E171" s="38">
        <v>6.45</v>
      </c>
      <c r="F171" s="38">
        <v>6.45</v>
      </c>
      <c r="G171" s="38">
        <v>5.92</v>
      </c>
      <c r="H171" s="38">
        <v>6.45</v>
      </c>
      <c r="I171" s="38">
        <v>6.45</v>
      </c>
      <c r="J171" s="38">
        <v>0</v>
      </c>
      <c r="K171" s="38">
        <v>0</v>
      </c>
      <c r="L171" s="38">
        <v>0</v>
      </c>
      <c r="M171" s="38">
        <v>9.68</v>
      </c>
      <c r="N171" s="38">
        <v>9.03</v>
      </c>
      <c r="O171" s="38">
        <v>6.45</v>
      </c>
      <c r="P171" s="38">
        <v>0</v>
      </c>
      <c r="Q171" s="39">
        <v>4.6</v>
      </c>
      <c r="R171" s="40" t="str">
        <f t="shared" si="13"/>
        <v>SI</v>
      </c>
      <c r="S171" s="40" t="str">
        <f t="shared" si="12"/>
        <v>Sin Riesgo</v>
      </c>
      <c r="T171" s="4"/>
      <c r="U171" s="4"/>
      <c r="V171" s="4"/>
      <c r="W171" s="4"/>
    </row>
    <row r="172" spans="1:23" ht="24.75" customHeight="1">
      <c r="A172" s="35" t="s">
        <v>181</v>
      </c>
      <c r="B172" s="36" t="s">
        <v>159</v>
      </c>
      <c r="C172" s="59" t="s">
        <v>303</v>
      </c>
      <c r="D172" s="37">
        <v>5046</v>
      </c>
      <c r="E172" s="38">
        <v>0</v>
      </c>
      <c r="F172" s="38">
        <v>0</v>
      </c>
      <c r="G172" s="38">
        <v>0</v>
      </c>
      <c r="H172" s="38">
        <v>0</v>
      </c>
      <c r="I172" s="38">
        <v>1.18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9">
        <v>0.1</v>
      </c>
      <c r="R172" s="40" t="str">
        <f t="shared" si="13"/>
        <v>SI</v>
      </c>
      <c r="S172" s="40" t="str">
        <f t="shared" si="12"/>
        <v>Sin Riesgo</v>
      </c>
      <c r="T172" s="4"/>
      <c r="U172" s="4"/>
      <c r="V172" s="4"/>
      <c r="W172" s="4"/>
    </row>
    <row r="173" spans="1:23" ht="32.25" customHeight="1">
      <c r="A173" s="35" t="s">
        <v>183</v>
      </c>
      <c r="B173" s="36" t="s">
        <v>160</v>
      </c>
      <c r="C173" s="59" t="s">
        <v>304</v>
      </c>
      <c r="D173" s="37">
        <v>1224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6.45</v>
      </c>
      <c r="P173" s="38">
        <v>0</v>
      </c>
      <c r="Q173" s="39">
        <v>0.54</v>
      </c>
      <c r="R173" s="40" t="str">
        <f t="shared" si="13"/>
        <v>SI</v>
      </c>
      <c r="S173" s="40" t="str">
        <f t="shared" si="12"/>
        <v>Sin Riesgo</v>
      </c>
      <c r="T173" s="4"/>
      <c r="U173" s="4"/>
      <c r="V173" s="4"/>
      <c r="W173" s="4"/>
    </row>
    <row r="174" spans="1:23" ht="34.5" customHeight="1">
      <c r="A174" s="35" t="s">
        <v>181</v>
      </c>
      <c r="B174" s="46" t="s">
        <v>161</v>
      </c>
      <c r="C174" s="62" t="s">
        <v>305</v>
      </c>
      <c r="D174" s="37">
        <v>1251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9">
        <v>0</v>
      </c>
      <c r="R174" s="40" t="str">
        <f t="shared" si="13"/>
        <v>SI</v>
      </c>
      <c r="S174" s="40" t="str">
        <f t="shared" si="12"/>
        <v>Sin Riesgo</v>
      </c>
      <c r="T174" s="4"/>
      <c r="U174" s="4"/>
      <c r="V174" s="4"/>
      <c r="W174" s="4"/>
    </row>
    <row r="175" spans="1:23" ht="24.75" customHeight="1">
      <c r="A175" s="35" t="s">
        <v>182</v>
      </c>
      <c r="B175" s="36" t="s">
        <v>162</v>
      </c>
      <c r="C175" s="59" t="s">
        <v>306</v>
      </c>
      <c r="D175" s="37">
        <v>2586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7.1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9">
        <v>0.6</v>
      </c>
      <c r="R175" s="40" t="str">
        <f t="shared" si="13"/>
        <v>SI</v>
      </c>
      <c r="S175" s="40" t="str">
        <f t="shared" si="12"/>
        <v>Sin Riesgo</v>
      </c>
      <c r="T175" s="4"/>
      <c r="U175" s="4"/>
      <c r="V175" s="4"/>
      <c r="W175" s="4"/>
    </row>
    <row r="176" spans="1:23" s="6" customFormat="1" ht="24.75" customHeight="1">
      <c r="A176" s="52" t="s">
        <v>181</v>
      </c>
      <c r="B176" s="46" t="s">
        <v>163</v>
      </c>
      <c r="C176" s="60" t="s">
        <v>307</v>
      </c>
      <c r="D176" s="45">
        <v>1807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9">
        <v>0</v>
      </c>
      <c r="R176" s="40" t="str">
        <f t="shared" si="13"/>
        <v>SI</v>
      </c>
      <c r="S176" s="40" t="str">
        <f t="shared" si="12"/>
        <v>Sin Riesgo</v>
      </c>
      <c r="T176" s="4"/>
      <c r="U176" s="4"/>
      <c r="V176" s="4"/>
      <c r="W176" s="4"/>
    </row>
    <row r="177" spans="1:23" ht="24.75" customHeight="1">
      <c r="A177" s="35" t="s">
        <v>184</v>
      </c>
      <c r="B177" s="36" t="s">
        <v>164</v>
      </c>
      <c r="C177" s="59" t="s">
        <v>308</v>
      </c>
      <c r="D177" s="37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40" t="s">
        <v>313</v>
      </c>
      <c r="S177" s="40" t="s">
        <v>313</v>
      </c>
      <c r="T177" s="4"/>
      <c r="U177" s="4"/>
      <c r="V177" s="4"/>
      <c r="W177" s="4"/>
    </row>
    <row r="178" spans="1:23" ht="24.75" customHeight="1">
      <c r="A178" s="35" t="s">
        <v>182</v>
      </c>
      <c r="B178" s="36" t="s">
        <v>165</v>
      </c>
      <c r="C178" s="60" t="s">
        <v>309</v>
      </c>
      <c r="D178" s="45">
        <v>1146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23.59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9">
        <v>2.14</v>
      </c>
      <c r="R178" s="40" t="str">
        <f t="shared" si="13"/>
        <v>SI</v>
      </c>
      <c r="S178" s="40" t="str">
        <f t="shared" si="12"/>
        <v>Sin Riesgo</v>
      </c>
      <c r="T178" s="4"/>
      <c r="U178" s="4"/>
      <c r="V178" s="4"/>
      <c r="W178" s="4"/>
    </row>
    <row r="179" spans="1:23" ht="24.75" customHeight="1">
      <c r="A179" s="35" t="s">
        <v>183</v>
      </c>
      <c r="B179" s="46" t="s">
        <v>166</v>
      </c>
      <c r="C179" s="59" t="s">
        <v>310</v>
      </c>
      <c r="D179" s="37">
        <v>8332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0.7</v>
      </c>
      <c r="K179" s="38">
        <v>0</v>
      </c>
      <c r="L179" s="38">
        <v>0</v>
      </c>
      <c r="M179" s="38">
        <v>0</v>
      </c>
      <c r="N179" s="38">
        <v>3.87</v>
      </c>
      <c r="O179" s="38">
        <v>0</v>
      </c>
      <c r="P179" s="38">
        <v>0</v>
      </c>
      <c r="Q179" s="39">
        <v>0.38</v>
      </c>
      <c r="R179" s="40" t="str">
        <f t="shared" si="13"/>
        <v>SI</v>
      </c>
      <c r="S179" s="40" t="str">
        <f t="shared" si="12"/>
        <v>Sin Riesgo</v>
      </c>
      <c r="T179" s="13"/>
      <c r="U179" s="4"/>
      <c r="V179" s="4"/>
      <c r="W179" s="4"/>
    </row>
    <row r="180" spans="1:23" ht="36" customHeight="1">
      <c r="A180" s="35" t="s">
        <v>183</v>
      </c>
      <c r="B180" s="46" t="s">
        <v>166</v>
      </c>
      <c r="C180" s="59" t="s">
        <v>311</v>
      </c>
      <c r="D180" s="37">
        <v>173</v>
      </c>
      <c r="E180" s="38">
        <v>0</v>
      </c>
      <c r="F180" s="38">
        <v>0</v>
      </c>
      <c r="G180" s="38">
        <v>0</v>
      </c>
      <c r="H180" s="38">
        <v>9.03</v>
      </c>
      <c r="I180" s="38">
        <v>0.64</v>
      </c>
      <c r="J180" s="38">
        <v>1.18</v>
      </c>
      <c r="K180" s="38">
        <v>0</v>
      </c>
      <c r="L180" s="38">
        <v>0</v>
      </c>
      <c r="M180" s="38">
        <v>8.85</v>
      </c>
      <c r="N180" s="38">
        <v>0</v>
      </c>
      <c r="O180" s="38">
        <v>0</v>
      </c>
      <c r="P180" s="38">
        <v>0</v>
      </c>
      <c r="Q180" s="39">
        <v>1.64</v>
      </c>
      <c r="R180" s="40" t="str">
        <f t="shared" si="13"/>
        <v>SI</v>
      </c>
      <c r="S180" s="40" t="str">
        <f t="shared" si="12"/>
        <v>Sin Riesgo</v>
      </c>
      <c r="T180" s="13"/>
      <c r="U180" s="4"/>
      <c r="V180" s="4"/>
      <c r="W180" s="4"/>
    </row>
    <row r="181" spans="1:23" ht="24.75" customHeight="1">
      <c r="A181" s="35" t="s">
        <v>182</v>
      </c>
      <c r="B181" s="36" t="s">
        <v>167</v>
      </c>
      <c r="C181" s="59" t="s">
        <v>312</v>
      </c>
      <c r="D181" s="37">
        <v>1971</v>
      </c>
      <c r="E181" s="38">
        <v>0</v>
      </c>
      <c r="F181" s="38">
        <v>0</v>
      </c>
      <c r="G181" s="38">
        <v>0</v>
      </c>
      <c r="H181" s="38">
        <v>8.84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0.88</v>
      </c>
      <c r="P181" s="38">
        <v>0</v>
      </c>
      <c r="Q181" s="39">
        <v>0.81</v>
      </c>
      <c r="R181" s="40" t="str">
        <f t="shared" si="13"/>
        <v>SI</v>
      </c>
      <c r="S181" s="40" t="str">
        <f t="shared" si="12"/>
        <v>Sin Riesgo</v>
      </c>
      <c r="T181" s="4"/>
      <c r="U181" s="4"/>
      <c r="V181" s="4"/>
      <c r="W181" s="4"/>
    </row>
    <row r="182" spans="1:23" ht="34.5" customHeight="1">
      <c r="A182" s="48" t="s">
        <v>186</v>
      </c>
      <c r="B182" s="36" t="s">
        <v>168</v>
      </c>
      <c r="C182" s="59" t="s">
        <v>193</v>
      </c>
      <c r="D182" s="37">
        <v>2389</v>
      </c>
      <c r="E182" s="38">
        <v>0</v>
      </c>
      <c r="F182" s="38">
        <v>0</v>
      </c>
      <c r="G182" s="38">
        <v>8.84</v>
      </c>
      <c r="H182" s="38">
        <v>0</v>
      </c>
      <c r="I182" s="38">
        <v>0</v>
      </c>
      <c r="J182" s="38">
        <v>1.77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9">
        <v>0.85</v>
      </c>
      <c r="R182" s="40" t="str">
        <f t="shared" si="13"/>
        <v>SI</v>
      </c>
      <c r="S182" s="40" t="str">
        <f t="shared" si="12"/>
        <v>Sin Riesgo</v>
      </c>
      <c r="T182" s="4"/>
      <c r="U182" s="4"/>
      <c r="V182" s="4"/>
      <c r="W182" s="4"/>
    </row>
    <row r="183" spans="1:23" ht="24.75" customHeight="1">
      <c r="A183" s="35" t="s">
        <v>185</v>
      </c>
      <c r="B183" s="41" t="s">
        <v>177</v>
      </c>
      <c r="C183" s="59" t="s">
        <v>33</v>
      </c>
      <c r="D183" s="55">
        <v>623</v>
      </c>
      <c r="E183" s="38">
        <v>88.54</v>
      </c>
      <c r="F183" s="38">
        <v>97.34</v>
      </c>
      <c r="G183" s="38">
        <v>97.34</v>
      </c>
      <c r="H183" s="38">
        <v>100</v>
      </c>
      <c r="I183" s="38">
        <v>77.61</v>
      </c>
      <c r="J183" s="38">
        <v>84.15</v>
      </c>
      <c r="K183" s="38">
        <v>80.25</v>
      </c>
      <c r="L183" s="38">
        <v>84.15</v>
      </c>
      <c r="M183" s="38">
        <v>97.58</v>
      </c>
      <c r="N183" s="38">
        <v>70.96</v>
      </c>
      <c r="O183" s="38">
        <v>98.22</v>
      </c>
      <c r="P183" s="38">
        <v>88.54</v>
      </c>
      <c r="Q183" s="39">
        <v>88.58</v>
      </c>
      <c r="R183" s="40" t="str">
        <f t="shared" si="13"/>
        <v>NO</v>
      </c>
      <c r="S183" s="40" t="str">
        <f t="shared" si="12"/>
        <v>Inviable Sanitariamente</v>
      </c>
      <c r="T183" s="4"/>
      <c r="U183" s="4"/>
      <c r="V183" s="4"/>
      <c r="W183" s="4"/>
    </row>
    <row r="184" spans="1:23" ht="24.75" customHeight="1">
      <c r="A184" s="35" t="s">
        <v>185</v>
      </c>
      <c r="B184" s="41" t="s">
        <v>177</v>
      </c>
      <c r="C184" s="59" t="s">
        <v>32</v>
      </c>
      <c r="D184" s="55">
        <v>2823</v>
      </c>
      <c r="E184" s="38">
        <v>0</v>
      </c>
      <c r="F184" s="38">
        <v>0</v>
      </c>
      <c r="G184" s="38">
        <v>0</v>
      </c>
      <c r="H184" s="38">
        <v>0</v>
      </c>
      <c r="I184" s="38">
        <v>8.84</v>
      </c>
      <c r="J184" s="38">
        <v>0</v>
      </c>
      <c r="K184" s="38">
        <v>0</v>
      </c>
      <c r="L184" s="38">
        <v>0</v>
      </c>
      <c r="M184" s="38">
        <v>12.9</v>
      </c>
      <c r="N184" s="38">
        <v>19.35</v>
      </c>
      <c r="O184" s="38">
        <v>0</v>
      </c>
      <c r="P184" s="38">
        <v>8.84</v>
      </c>
      <c r="Q184" s="39">
        <v>4.11</v>
      </c>
      <c r="R184" s="40" t="str">
        <f t="shared" si="13"/>
        <v>SI</v>
      </c>
      <c r="S184" s="40" t="str">
        <f t="shared" si="12"/>
        <v>Sin Riesgo</v>
      </c>
      <c r="T184" s="4"/>
      <c r="U184" s="4"/>
      <c r="V184" s="4"/>
      <c r="W184" s="4"/>
    </row>
    <row r="185" spans="2:6" ht="12.75">
      <c r="B185" s="10"/>
      <c r="C185" s="10"/>
      <c r="D185" s="10"/>
      <c r="E185" s="10"/>
      <c r="F185" s="10"/>
    </row>
    <row r="186" spans="1:19" ht="15.75">
      <c r="A186" s="53" t="s">
        <v>320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2:17" ht="12.75">
      <c r="B187" s="21"/>
      <c r="C187" s="12"/>
      <c r="D187" s="12"/>
      <c r="E187" s="11"/>
      <c r="F187" s="11"/>
      <c r="J187" s="14"/>
      <c r="K187" s="14"/>
      <c r="L187" s="14"/>
      <c r="M187" s="14"/>
      <c r="N187" s="14"/>
      <c r="O187" s="14"/>
      <c r="P187" s="14"/>
      <c r="Q187" s="7" t="s">
        <v>10</v>
      </c>
    </row>
    <row r="188" spans="2:6" ht="14.25">
      <c r="B188" s="81"/>
      <c r="C188" s="81"/>
      <c r="D188" s="81"/>
      <c r="E188" s="81"/>
      <c r="F188" s="81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5.75">
      <c r="B194" s="10"/>
      <c r="C194" s="10"/>
      <c r="D194" s="70"/>
      <c r="E194" s="80"/>
      <c r="F194" s="80"/>
      <c r="G194" s="80"/>
      <c r="H194" s="80"/>
      <c r="I194" s="80"/>
      <c r="J194" s="80"/>
      <c r="K194" s="80"/>
      <c r="L194" s="80"/>
      <c r="M194" s="80"/>
      <c r="N194" s="10"/>
      <c r="O194" s="10"/>
      <c r="P194" s="10"/>
    </row>
    <row r="195" spans="2:16" ht="15">
      <c r="B195" s="10"/>
      <c r="C195" s="10"/>
      <c r="D195" s="76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</sheetData>
  <sheetProtection/>
  <mergeCells count="34">
    <mergeCell ref="AI1:AI5"/>
    <mergeCell ref="Z1:Z5"/>
    <mergeCell ref="AA1:AA5"/>
    <mergeCell ref="AB1:AB5"/>
    <mergeCell ref="AC1:AC5"/>
    <mergeCell ref="AD1:AD5"/>
    <mergeCell ref="AE1:AE5"/>
    <mergeCell ref="Y1:Y5"/>
    <mergeCell ref="AF1:AF5"/>
    <mergeCell ref="V1:V5"/>
    <mergeCell ref="U1:U5"/>
    <mergeCell ref="W1:W5"/>
    <mergeCell ref="AH1:AH5"/>
    <mergeCell ref="X1:X5"/>
    <mergeCell ref="D195:N195"/>
    <mergeCell ref="D8:D9"/>
    <mergeCell ref="D194:M194"/>
    <mergeCell ref="B188:F188"/>
    <mergeCell ref="E8:P8"/>
    <mergeCell ref="AG1:AG5"/>
    <mergeCell ref="D5:E6"/>
    <mergeCell ref="F5:H6"/>
    <mergeCell ref="I5:K6"/>
    <mergeCell ref="Q8:Q9"/>
    <mergeCell ref="C3:S3"/>
    <mergeCell ref="A8:A9"/>
    <mergeCell ref="B8:B9"/>
    <mergeCell ref="C8:C9"/>
    <mergeCell ref="C5:C6"/>
    <mergeCell ref="L5:N6"/>
    <mergeCell ref="S8:S9"/>
    <mergeCell ref="R8:R9"/>
    <mergeCell ref="O5:Q6"/>
    <mergeCell ref="R5:S6"/>
  </mergeCells>
  <conditionalFormatting sqref="E117:N117 P117:Q117 E118:P118 E177:P177 E178:Q184 E10:Q11 E119:Q176 E16:Q116">
    <cfRule type="containsBlanks" priority="201" dxfId="2" stopIfTrue="1">
      <formula>LEN(TRIM(E10))=0</formula>
    </cfRule>
    <cfRule type="cellIs" priority="202" dxfId="1" operator="between" stopIfTrue="1">
      <formula>80.1</formula>
      <formula>100</formula>
    </cfRule>
    <cfRule type="cellIs" priority="203" dxfId="0" operator="between" stopIfTrue="1">
      <formula>35.1</formula>
      <formula>80</formula>
    </cfRule>
    <cfRule type="cellIs" priority="204" dxfId="11" operator="between" stopIfTrue="1">
      <formula>14.1</formula>
      <formula>35</formula>
    </cfRule>
    <cfRule type="cellIs" priority="205" dxfId="21" operator="between" stopIfTrue="1">
      <formula>5.1</formula>
      <formula>14</formula>
    </cfRule>
    <cfRule type="cellIs" priority="206" dxfId="10" operator="between" stopIfTrue="1">
      <formula>0</formula>
      <formula>5</formula>
    </cfRule>
    <cfRule type="containsBlanks" priority="207" dxfId="2" stopIfTrue="1">
      <formula>LEN(TRIM(E10))=0</formula>
    </cfRule>
  </conditionalFormatting>
  <conditionalFormatting sqref="O117">
    <cfRule type="containsBlanks" priority="59" dxfId="2" stopIfTrue="1">
      <formula>LEN(TRIM(O117))=0</formula>
    </cfRule>
    <cfRule type="cellIs" priority="60" dxfId="1" operator="between" stopIfTrue="1">
      <formula>80.1</formula>
      <formula>100</formula>
    </cfRule>
    <cfRule type="cellIs" priority="61" dxfId="0" operator="between" stopIfTrue="1">
      <formula>35.1</formula>
      <formula>80</formula>
    </cfRule>
    <cfRule type="cellIs" priority="62" dxfId="11" operator="between" stopIfTrue="1">
      <formula>14.1</formula>
      <formula>35</formula>
    </cfRule>
    <cfRule type="cellIs" priority="63" dxfId="21" operator="between" stopIfTrue="1">
      <formula>5.1</formula>
      <formula>14</formula>
    </cfRule>
    <cfRule type="cellIs" priority="64" dxfId="10" operator="between" stopIfTrue="1">
      <formula>0</formula>
      <formula>5</formula>
    </cfRule>
    <cfRule type="containsBlanks" priority="65" dxfId="2" stopIfTrue="1">
      <formula>LEN(TRIM(O117))=0</formula>
    </cfRule>
  </conditionalFormatting>
  <conditionalFormatting sqref="S10:S184">
    <cfRule type="cellIs" priority="55" dxfId="14" operator="equal" stopIfTrue="1">
      <formula>"INVIABLE SANITARIAMENTE"</formula>
    </cfRule>
  </conditionalFormatting>
  <conditionalFormatting sqref="S10:S184">
    <cfRule type="containsText" priority="50" dxfId="1" operator="containsText" stopIfTrue="1" text="INVIABLE SANITARIAMENTE">
      <formula>NOT(ISERROR(SEARCH("INVIABLE SANITARIAMENTE",S10)))</formula>
    </cfRule>
    <cfRule type="containsText" priority="51" dxfId="0" operator="containsText" stopIfTrue="1" text="ALTO">
      <formula>NOT(ISERROR(SEARCH("ALTO",S10)))</formula>
    </cfRule>
    <cfRule type="containsText" priority="52" dxfId="11" operator="containsText" stopIfTrue="1" text="MEDIO">
      <formula>NOT(ISERROR(SEARCH("MEDIO",S10)))</formula>
    </cfRule>
    <cfRule type="containsText" priority="53" dxfId="21" operator="containsText" stopIfTrue="1" text="BAJO">
      <formula>NOT(ISERROR(SEARCH("BAJO",S10)))</formula>
    </cfRule>
    <cfRule type="containsText" priority="54" dxfId="22" operator="containsText" stopIfTrue="1" text="SIN RIESGO">
      <formula>NOT(ISERROR(SEARCH("SIN RIESGO",S10)))</formula>
    </cfRule>
  </conditionalFormatting>
  <conditionalFormatting sqref="S10:S184">
    <cfRule type="containsText" priority="49" dxfId="10" operator="containsText" stopIfTrue="1" text="SIN RIESGO">
      <formula>NOT(ISERROR(SEARCH("SIN RIESGO",S10)))</formula>
    </cfRule>
  </conditionalFormatting>
  <conditionalFormatting sqref="R10:R184">
    <cfRule type="cellIs" priority="47" dxfId="9" operator="equal" stopIfTrue="1">
      <formula>"NO"</formula>
    </cfRule>
  </conditionalFormatting>
  <conditionalFormatting sqref="Q118">
    <cfRule type="containsBlanks" priority="24" dxfId="2" stopIfTrue="1">
      <formula>LEN(TRIM(Q118))=0</formula>
    </cfRule>
    <cfRule type="cellIs" priority="25" dxfId="1" operator="between" stopIfTrue="1">
      <formula>80.1</formula>
      <formula>100</formula>
    </cfRule>
    <cfRule type="cellIs" priority="26" dxfId="0" operator="between" stopIfTrue="1">
      <formula>35.1</formula>
      <formula>80</formula>
    </cfRule>
    <cfRule type="cellIs" priority="27" dxfId="11" operator="between" stopIfTrue="1">
      <formula>14.1</formula>
      <formula>35</formula>
    </cfRule>
    <cfRule type="cellIs" priority="28" dxfId="21" operator="between" stopIfTrue="1">
      <formula>5.1</formula>
      <formula>14</formula>
    </cfRule>
    <cfRule type="cellIs" priority="29" dxfId="10" operator="between" stopIfTrue="1">
      <formula>0</formula>
      <formula>5</formula>
    </cfRule>
    <cfRule type="containsBlanks" priority="30" dxfId="2" stopIfTrue="1">
      <formula>LEN(TRIM(Q118))=0</formula>
    </cfRule>
  </conditionalFormatting>
  <conditionalFormatting sqref="Q177">
    <cfRule type="containsBlanks" priority="8" dxfId="2" stopIfTrue="1">
      <formula>LEN(TRIM(Q177))=0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11" operator="between" stopIfTrue="1">
      <formula>14.1</formula>
      <formula>35</formula>
    </cfRule>
    <cfRule type="cellIs" priority="12" dxfId="21" operator="between" stopIfTrue="1">
      <formula>5.1</formula>
      <formula>14</formula>
    </cfRule>
    <cfRule type="cellIs" priority="13" dxfId="10" operator="between" stopIfTrue="1">
      <formula>0</formula>
      <formula>5</formula>
    </cfRule>
    <cfRule type="containsBlanks" priority="14" dxfId="2" stopIfTrue="1">
      <formula>LEN(TRIM(Q177))=0</formula>
    </cfRule>
  </conditionalFormatting>
  <conditionalFormatting sqref="E12:Q15">
    <cfRule type="containsBlanks" priority="1" dxfId="2" stopIfTrue="1">
      <formula>LEN(TRIM(E12))=0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11" operator="between" stopIfTrue="1">
      <formula>14.1</formula>
      <formula>35</formula>
    </cfRule>
    <cfRule type="cellIs" priority="5" dxfId="21" operator="between" stopIfTrue="1">
      <formula>5.1</formula>
      <formula>14</formula>
    </cfRule>
    <cfRule type="cellIs" priority="6" dxfId="10" operator="between" stopIfTrue="1">
      <formula>0</formula>
      <formula>5</formula>
    </cfRule>
    <cfRule type="containsBlanks" priority="7" dxfId="2" stopIfTrue="1">
      <formula>LEN(TRIM(E12))=0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2019-04-11T18:48:10Z</dcterms:modified>
  <cp:category/>
  <cp:version/>
  <cp:contentType/>
  <cp:contentStatus/>
</cp:coreProperties>
</file>