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80" yWindow="60" windowWidth="11790" windowHeight="10035"/>
  </bookViews>
  <sheets>
    <sheet name="2013" sheetId="1" r:id="rId1"/>
  </sheets>
  <externalReferences>
    <externalReference r:id="rId2"/>
    <externalReference r:id="rId3"/>
  </externalReferences>
  <definedNames>
    <definedName name="_xlnm.Print_Titles" localSheetId="0">'2013'!$1:$9</definedName>
  </definedNames>
  <calcPr calcId="145621"/>
</workbook>
</file>

<file path=xl/calcChain.xml><?xml version="1.0" encoding="utf-8"?>
<calcChain xmlns="http://schemas.openxmlformats.org/spreadsheetml/2006/main">
  <c r="S178" i="1" l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Z12" i="1" s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Z11" i="1" s="1"/>
  <c r="R39" i="1"/>
  <c r="S38" i="1"/>
  <c r="R38" i="1"/>
  <c r="S37" i="1"/>
  <c r="R37" i="1"/>
  <c r="S36" i="1"/>
  <c r="R36" i="1"/>
  <c r="S35" i="1"/>
  <c r="R35" i="1"/>
  <c r="S34" i="1"/>
  <c r="R34" i="1"/>
  <c r="S33" i="1"/>
  <c r="AD8" i="1" s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Z10" i="1" s="1"/>
  <c r="R17" i="1"/>
  <c r="S16" i="1"/>
  <c r="R16" i="1"/>
  <c r="S15" i="1"/>
  <c r="AF13" i="1" s="1"/>
  <c r="R15" i="1"/>
  <c r="V14" i="1"/>
  <c r="S14" i="1"/>
  <c r="R14" i="1"/>
  <c r="Z13" i="1"/>
  <c r="V13" i="1"/>
  <c r="S13" i="1"/>
  <c r="R13" i="1"/>
  <c r="AF12" i="1"/>
  <c r="AD12" i="1"/>
  <c r="AB12" i="1"/>
  <c r="X12" i="1"/>
  <c r="V12" i="1"/>
  <c r="S12" i="1"/>
  <c r="Z9" i="1" s="1"/>
  <c r="R12" i="1"/>
  <c r="AF11" i="1"/>
  <c r="AD11" i="1"/>
  <c r="AB11" i="1"/>
  <c r="X11" i="1"/>
  <c r="V11" i="1"/>
  <c r="S11" i="1"/>
  <c r="R11" i="1"/>
  <c r="AF10" i="1"/>
  <c r="AD10" i="1"/>
  <c r="AB10" i="1"/>
  <c r="X10" i="1"/>
  <c r="V10" i="1"/>
  <c r="S10" i="1"/>
  <c r="AF14" i="1" s="1"/>
  <c r="R10" i="1"/>
  <c r="AF9" i="1"/>
  <c r="AD9" i="1"/>
  <c r="AB9" i="1"/>
  <c r="X9" i="1"/>
  <c r="V9" i="1"/>
  <c r="AF8" i="1"/>
  <c r="AB8" i="1"/>
  <c r="Z8" i="1"/>
  <c r="X8" i="1"/>
  <c r="V8" i="1"/>
  <c r="AF7" i="1"/>
  <c r="AD7" i="1"/>
  <c r="AB7" i="1"/>
  <c r="Z7" i="1"/>
  <c r="X7" i="1"/>
  <c r="V7" i="1"/>
  <c r="AF6" i="1"/>
  <c r="AD6" i="1"/>
  <c r="AB6" i="1"/>
  <c r="Z6" i="1"/>
  <c r="X6" i="1"/>
  <c r="V6" i="1"/>
  <c r="AB13" i="1" l="1"/>
  <c r="AC13" i="1" s="1"/>
  <c r="AA6" i="1"/>
  <c r="AA8" i="1"/>
  <c r="AD13" i="1"/>
  <c r="AE13" i="1" s="1"/>
  <c r="X13" i="1"/>
  <c r="Y13" i="1" s="1"/>
  <c r="Z14" i="1"/>
  <c r="AA14" i="1" s="1"/>
  <c r="AF15" i="1"/>
  <c r="AB14" i="1"/>
  <c r="AD14" i="1"/>
  <c r="AE14" i="1" s="1"/>
  <c r="X14" i="1"/>
  <c r="X15" i="1" s="1"/>
  <c r="AE10" i="1"/>
  <c r="AE8" i="1"/>
  <c r="AA9" i="1"/>
  <c r="AA10" i="1"/>
  <c r="AA11" i="1"/>
  <c r="AA12" i="1"/>
  <c r="AA13" i="1"/>
  <c r="AE9" i="1"/>
  <c r="AE6" i="1"/>
  <c r="AA7" i="1"/>
  <c r="AC7" i="1"/>
  <c r="Y8" i="1"/>
  <c r="AG8" i="1"/>
  <c r="AC9" i="1"/>
  <c r="AC10" i="1"/>
  <c r="AC11" i="1"/>
  <c r="AC12" i="1"/>
  <c r="AE7" i="1"/>
  <c r="AE12" i="1"/>
  <c r="AE11" i="1"/>
  <c r="Y7" i="1"/>
  <c r="AG7" i="1"/>
  <c r="AC8" i="1"/>
  <c r="Y9" i="1"/>
  <c r="AG9" i="1"/>
  <c r="Y10" i="1"/>
  <c r="AG10" i="1"/>
  <c r="Y11" i="1"/>
  <c r="AG11" i="1"/>
  <c r="Y12" i="1"/>
  <c r="AG12" i="1"/>
  <c r="AG13" i="1"/>
  <c r="AG14" i="1"/>
  <c r="AH7" i="1"/>
  <c r="AI7" i="1" s="1"/>
  <c r="AH9" i="1"/>
  <c r="AI9" i="1" s="1"/>
  <c r="AH11" i="1"/>
  <c r="AI11" i="1" s="1"/>
  <c r="V15" i="1"/>
  <c r="AH10" i="1"/>
  <c r="AI10" i="1" s="1"/>
  <c r="AH12" i="1"/>
  <c r="AI12" i="1" s="1"/>
  <c r="Y6" i="1"/>
  <c r="AC6" i="1"/>
  <c r="AG6" i="1"/>
  <c r="AH6" i="1"/>
  <c r="AI6" i="1" s="1"/>
  <c r="AH8" i="1"/>
  <c r="AI8" i="1" s="1"/>
  <c r="AB15" i="1" l="1"/>
  <c r="AH13" i="1"/>
  <c r="AI13" i="1" s="1"/>
  <c r="Z15" i="1"/>
  <c r="AA15" i="1" s="1"/>
  <c r="AH14" i="1"/>
  <c r="AI14" i="1" s="1"/>
  <c r="AC14" i="1"/>
  <c r="AD15" i="1"/>
  <c r="AE15" i="1" s="1"/>
  <c r="Y14" i="1"/>
  <c r="W15" i="1"/>
  <c r="W12" i="1"/>
  <c r="W7" i="1"/>
  <c r="W6" i="1"/>
  <c r="AC15" i="1"/>
  <c r="W11" i="1"/>
  <c r="AG15" i="1"/>
  <c r="W14" i="1"/>
  <c r="W10" i="1"/>
  <c r="Y15" i="1"/>
  <c r="W13" i="1"/>
  <c r="W9" i="1"/>
  <c r="W8" i="1"/>
  <c r="AH15" i="1" l="1"/>
  <c r="AI15" i="1" s="1"/>
</calcChain>
</file>

<file path=xl/sharedStrings.xml><?xml version="1.0" encoding="utf-8"?>
<sst xmlns="http://schemas.openxmlformats.org/spreadsheetml/2006/main" count="565" uniqueCount="321">
  <si>
    <t>SECRETARIA SECCIONAL DE SALUD Y PROTECCION SOCIAL DE ANTIOQUIA</t>
  </si>
  <si>
    <t>Regional</t>
  </si>
  <si>
    <t>Numero Sistemas</t>
  </si>
  <si>
    <t>%</t>
  </si>
  <si>
    <t>Sin Riesgo</t>
  </si>
  <si>
    <t>Riesgo Bajo</t>
  </si>
  <si>
    <t>Riesgo Medio</t>
  </si>
  <si>
    <t>Riesgo Alto</t>
  </si>
  <si>
    <t>Inviable Sanitariamente</t>
  </si>
  <si>
    <t>Sin Dato</t>
  </si>
  <si>
    <t>DIRECCION DE FACTORES DE RIESGO</t>
  </si>
  <si>
    <t>Valle de Aburra</t>
  </si>
  <si>
    <t>Uraba</t>
  </si>
  <si>
    <t>REGIONAL</t>
  </si>
  <si>
    <t>MUNICIPIO</t>
  </si>
  <si>
    <t>NUMERO DE SUSCRIPTORES RESIDENCIALES</t>
  </si>
  <si>
    <t>% IRCA PROMEDIO ENERO - DIC /2015</t>
  </si>
  <si>
    <t>AGUA APTA PARA EL CONSUMO HUMANO</t>
  </si>
  <si>
    <t>NIVEL DE RIESGO</t>
  </si>
  <si>
    <t>Norte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</si>
  <si>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</si>
  <si>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</si>
  <si>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</si>
  <si>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</si>
  <si>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</si>
  <si>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</si>
  <si>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</si>
  <si>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</si>
  <si>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</si>
  <si>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</si>
  <si>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</si>
  <si>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</si>
  <si>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Occidente</t>
  </si>
  <si>
    <t>Oriente</t>
  </si>
  <si>
    <t>Abejorral</t>
  </si>
  <si>
    <t>Empresas Publicas de Abejorral- Sistema Angostura</t>
  </si>
  <si>
    <t>Suroeste</t>
  </si>
  <si>
    <t>Empresas Publicas de Abejorral-Sistema San Antonio</t>
  </si>
  <si>
    <t>Bajo Cauca</t>
  </si>
  <si>
    <t>Unidad de Servicios Publicos Domiciliarios Aguas de Abriaquí</t>
  </si>
  <si>
    <t>Magdalena Medio</t>
  </si>
  <si>
    <t>Unidad de SPD de Alejandria</t>
  </si>
  <si>
    <t xml:space="preserve">Nordeste </t>
  </si>
  <si>
    <t>Empresas Publicas de Amagá  SA E.S.P.</t>
  </si>
  <si>
    <t>Nordeste</t>
  </si>
  <si>
    <t>Amalfi</t>
  </si>
  <si>
    <t xml:space="preserve">A.A.S.S.A. (Q.Guayabito) </t>
  </si>
  <si>
    <t>Total</t>
  </si>
  <si>
    <t>A.A.S. S.A. (Q. San Ignacio)</t>
  </si>
  <si>
    <t>Andes</t>
  </si>
  <si>
    <t>Ingenieria total ESP</t>
  </si>
  <si>
    <t>Oficina de SPD Municipio de Angelopolis</t>
  </si>
  <si>
    <t>Empresas de Servicios Publicos de Angostura S.A. ESP</t>
  </si>
  <si>
    <t>Anori</t>
  </si>
  <si>
    <t>Acueductos y Alcantarillados Sostenibles S.A.</t>
  </si>
  <si>
    <t>Anza</t>
  </si>
  <si>
    <t>Aguas Uraba S.A ESP</t>
  </si>
  <si>
    <t>ESP de Argelia de Maria  ESPAM S.A.</t>
  </si>
  <si>
    <t xml:space="preserve">Acueducto la independencia </t>
  </si>
  <si>
    <t>Acueducto San Tropel</t>
  </si>
  <si>
    <t>Armenia</t>
  </si>
  <si>
    <t>Acueductos y Alcantarillados Sostenibles S.A. ESP</t>
  </si>
  <si>
    <t>Barbosa</t>
  </si>
  <si>
    <t>EE. PP Medellín</t>
  </si>
  <si>
    <t>Bello</t>
  </si>
  <si>
    <t>Belmira</t>
  </si>
  <si>
    <t>Empresas Publicas de Belmira E.S.P.</t>
  </si>
  <si>
    <t>Betania</t>
  </si>
  <si>
    <t>Empresas Publicas Municipales de Betania</t>
  </si>
  <si>
    <t>Betulia</t>
  </si>
  <si>
    <t>Empresas Públicas de Betulia S.A.</t>
  </si>
  <si>
    <t>Briceño</t>
  </si>
  <si>
    <t>Empresa Publica de Briceño S.A. E.S.P.</t>
  </si>
  <si>
    <t>ESP Domiciliarios S.A E.S.P. de Buritica</t>
  </si>
  <si>
    <t>Batallón Militar Rifles</t>
  </si>
  <si>
    <t>Aguascol SA</t>
  </si>
  <si>
    <t>Caicedo</t>
  </si>
  <si>
    <t>Unidad de SPD de Caicedo</t>
  </si>
  <si>
    <t>Caldas</t>
  </si>
  <si>
    <t>Asociacion de suscriptores del acueducto la Rapida "ASDAR"</t>
  </si>
  <si>
    <t>Asociacion Acueducto Mandalay</t>
  </si>
  <si>
    <t>Campamento</t>
  </si>
  <si>
    <t>Unidad de Servicios Publicos Domiciliarios  de Campamento</t>
  </si>
  <si>
    <t>Cañasgordas</t>
  </si>
  <si>
    <t>Caracoli</t>
  </si>
  <si>
    <t>Empresas de Servicios Publicos Domiciliarios de Caracoli SA ESP</t>
  </si>
  <si>
    <t>Caramanta</t>
  </si>
  <si>
    <t xml:space="preserve">Empresas de Servicios Publicos de Caramanta </t>
  </si>
  <si>
    <t>Carepa</t>
  </si>
  <si>
    <t>Aguas de Urabá S.A  E.S.P.</t>
  </si>
  <si>
    <t xml:space="preserve">Unidad Administrativa Especial de SPD </t>
  </si>
  <si>
    <t>Empresa Aguascol SA - Rio Man</t>
  </si>
  <si>
    <t>Empresa Aguascol SA - Pozo 7</t>
  </si>
  <si>
    <t>Empresa Aguascol SA - Pozo 9</t>
  </si>
  <si>
    <t>Empresa Aguascol SA - Pozo 10</t>
  </si>
  <si>
    <t>Empresa Aguascol SA - Pozo Camello</t>
  </si>
  <si>
    <t>Aguas de Uraba S.A. E.S.P.</t>
  </si>
  <si>
    <t>Empresas de Servicios Publicos Domiciliarios SA ESP - Algarrobo - El Carney</t>
  </si>
  <si>
    <t>Empresas de Servicios Publicos Domiciliarios SA ESP - Buenos Aires</t>
  </si>
  <si>
    <t>Empresas de Servicios Publicos Domiciliarios SA ESP - Cavellina - Manpuestos</t>
  </si>
  <si>
    <t>Empresas de Servicios Publicos Domiciliarios SA ESP - Cristalina - El Brasil</t>
  </si>
  <si>
    <t>Empresas de Servicios Publicos Domiciliarios SA ESP - San German</t>
  </si>
  <si>
    <t>Empresas de Servicios Publicos Domiciliarios SA ESP - Villa Nelly</t>
  </si>
  <si>
    <t>Empresas de Servicios Publicos Domiciliarios SA ESP - Zarzal</t>
  </si>
  <si>
    <t>Asociación Acolinda</t>
  </si>
  <si>
    <t xml:space="preserve">Ingeniería Total S.A.  E.S.P. </t>
  </si>
  <si>
    <t>Ac. Multiveredal Bolívar Arriba</t>
  </si>
  <si>
    <t>Empresa de Servicios Públicos de Cocorna de Cocorna</t>
  </si>
  <si>
    <t>Concepción</t>
  </si>
  <si>
    <t>Concordia</t>
  </si>
  <si>
    <t>Empresas Públicas Municipales de Concordia</t>
  </si>
  <si>
    <t>Copacabana</t>
  </si>
  <si>
    <t>EE. PP Medellín SA ESP</t>
  </si>
  <si>
    <t>Dabeiba</t>
  </si>
  <si>
    <t>Empresas Publicas de Dabeiba S.A.S. E.S.P. Cabecera Municipal</t>
  </si>
  <si>
    <t>Empresas Publicas de Dabeiba S.A.S. E.S.P. Barrio Bernardo Guerra</t>
  </si>
  <si>
    <t>Don Matias</t>
  </si>
  <si>
    <t>Secretaria de Servicios Publicos de Don Matias</t>
  </si>
  <si>
    <t>Ebejico</t>
  </si>
  <si>
    <t>Empresa de Servicios Públicos de Ebejico</t>
  </si>
  <si>
    <t xml:space="preserve"> Empresas Publicas de el Bagre SA ESP</t>
  </si>
  <si>
    <t>Acueductos Mineros S.A</t>
  </si>
  <si>
    <t xml:space="preserve"> La Cimarrona ESP SA</t>
  </si>
  <si>
    <t>El Santuario</t>
  </si>
  <si>
    <t>Empresas Públicas del Municipio del Santuario E.S.P.</t>
  </si>
  <si>
    <t>Unidad de SPD</t>
  </si>
  <si>
    <t>Envigado</t>
  </si>
  <si>
    <t>Fredonia</t>
  </si>
  <si>
    <t>Operadores de servicios S.A  E.S.P.</t>
  </si>
  <si>
    <t>Frontino</t>
  </si>
  <si>
    <t>Empresa de Servicios Públicos de Frontino</t>
  </si>
  <si>
    <t>Empresa de Servicios Publicos de Frontino-MANGURUMA</t>
  </si>
  <si>
    <t>Giraldo</t>
  </si>
  <si>
    <t>Empresa de Servicios Publicos Domiciliarios de Giraldo</t>
  </si>
  <si>
    <t>Girardota</t>
  </si>
  <si>
    <t>Municipio</t>
  </si>
  <si>
    <t>Granada</t>
  </si>
  <si>
    <t xml:space="preserve">Empresa de Servicios Públicos de Granada E.S.P. </t>
  </si>
  <si>
    <t>Guadalupe</t>
  </si>
  <si>
    <t>Empresa de Servicios Publicos de Guadalupe E.S.P.</t>
  </si>
  <si>
    <t>Guarne</t>
  </si>
  <si>
    <t>ESPD De Guarne ESP</t>
  </si>
  <si>
    <t>Empresa de SPD de Guatape E.S.P.</t>
  </si>
  <si>
    <t>Heliconia</t>
  </si>
  <si>
    <t>Aguas de Heliconia S.A E.S.P.</t>
  </si>
  <si>
    <t>Empresas Públicas de Hispania S.A. E.S.P.</t>
  </si>
  <si>
    <t>Itagui</t>
  </si>
  <si>
    <t>Ituango</t>
  </si>
  <si>
    <t>Empresa de Servicios Públicos Domiciliarios S.A.E.S.P-SERVITUANGO</t>
  </si>
  <si>
    <t>Empresas Publicas de Jerico</t>
  </si>
  <si>
    <t>La Ceja</t>
  </si>
  <si>
    <t>E. P. de La Ceja E.S.P. Fátima</t>
  </si>
  <si>
    <t xml:space="preserve">E. P. de La Ceja E.S.P. Palo Santo </t>
  </si>
  <si>
    <t>E. P. de La Ceja E.S.P. La Milagrosa</t>
  </si>
  <si>
    <t>La Estrella</t>
  </si>
  <si>
    <t>Acueducto Calle vieja</t>
  </si>
  <si>
    <t>Empresas Públicas de La Pintada</t>
  </si>
  <si>
    <t>Empresa de Servicios Publicos la Union ESP SA</t>
  </si>
  <si>
    <t>Empresa de SPD SA ESP</t>
  </si>
  <si>
    <t>Maceo</t>
  </si>
  <si>
    <t>Aguas de Maceo S.A.S  E.S.P.</t>
  </si>
  <si>
    <t>Marinilla</t>
  </si>
  <si>
    <t>ESP de San Jose de Marinilla  ESP</t>
  </si>
  <si>
    <t>Corporación de Servicios Publicos de Belén Corbelén</t>
  </si>
  <si>
    <t>Medellin</t>
  </si>
  <si>
    <t>Montebello</t>
  </si>
  <si>
    <t>Oficina de Servicios Públicos de Montebello</t>
  </si>
  <si>
    <t>Mutata</t>
  </si>
  <si>
    <t>Aguas de Urabá S.A E.S.P - Cabecera</t>
  </si>
  <si>
    <t>Nariño</t>
  </si>
  <si>
    <t>Unidad de Servicios Publicos de Nariño - Santa Clara</t>
  </si>
  <si>
    <t>Aguascol SA ESP</t>
  </si>
  <si>
    <t>Necocli</t>
  </si>
  <si>
    <t>Sistemas Públicos S.A. E.S.P.</t>
  </si>
  <si>
    <t>Olaya</t>
  </si>
  <si>
    <t>Regional de Occidente SA ESP</t>
  </si>
  <si>
    <t>Peñol</t>
  </si>
  <si>
    <t>Aguas y Aseo del Peñol  E.S.P.</t>
  </si>
  <si>
    <t>Unidad de SPD  de Peque</t>
  </si>
  <si>
    <t>Empresa Pueblorriqueña de acueducto, alcantarillado y aseo SA ESP</t>
  </si>
  <si>
    <t>Aguas del Puerto</t>
  </si>
  <si>
    <t>Puerto Nare</t>
  </si>
  <si>
    <t>Empresas Publicas de Puerto Nare ESP</t>
  </si>
  <si>
    <t>Puerto Triunfo</t>
  </si>
  <si>
    <t>Remedios</t>
  </si>
  <si>
    <t xml:space="preserve">Empresa de Alumbrado Publico de Sabaneta SA ESP - EAPSA. </t>
  </si>
  <si>
    <t>Aguas del Oriente Antioqueño S.A. E.S.P.</t>
  </si>
  <si>
    <t>Agua Plan</t>
  </si>
  <si>
    <t>Rionegro</t>
  </si>
  <si>
    <t xml:space="preserve">Aguas de Rionegro S.A.  E.S.P </t>
  </si>
  <si>
    <t>Empresa de SPD  Sabanalarga SA</t>
  </si>
  <si>
    <t>Sabaneta</t>
  </si>
  <si>
    <t>Salgar</t>
  </si>
  <si>
    <t>Asociacion Usuarios La Habana</t>
  </si>
  <si>
    <t>ESP de San Andres de Cuerquia S.A. E.S.P.  "EMPUSAC"</t>
  </si>
  <si>
    <t>San Carlos</t>
  </si>
  <si>
    <t>USP Aguas y Aseo del Tabor</t>
  </si>
  <si>
    <t>San Francisco</t>
  </si>
  <si>
    <t>Unidad de SPD de San Francisco</t>
  </si>
  <si>
    <t>San Jeronimo</t>
  </si>
  <si>
    <t>Municipio San Juan de Uraba</t>
  </si>
  <si>
    <t>San Luis</t>
  </si>
  <si>
    <t>Empresa Sanluisana de Servicios Publicos S.A. E.S.P.(Quebrada la Cristalina)</t>
  </si>
  <si>
    <t>Empresa Sanluisana de Servicios Publicos S.A. E.S.P.(Quebrada la Risaralda)</t>
  </si>
  <si>
    <t>Sistemas Publicos SA ESP</t>
  </si>
  <si>
    <t>San Rafael</t>
  </si>
  <si>
    <t>San Roque</t>
  </si>
  <si>
    <t>Empresa de SPD  E.S.P.</t>
  </si>
  <si>
    <t>San Vicente</t>
  </si>
  <si>
    <t>Secretaria de Servicios Públicos</t>
  </si>
  <si>
    <t>Santa Barbara</t>
  </si>
  <si>
    <t>Santo Domingo</t>
  </si>
  <si>
    <t>Empresa de SPD de acueducto, alcantarillado y aseo SA ESP</t>
  </si>
  <si>
    <t>Segovia</t>
  </si>
  <si>
    <t>Ingeniería Total ESP</t>
  </si>
  <si>
    <t>Aguas del Paramo SA</t>
  </si>
  <si>
    <t>Coordinacion de Servicios Publicos Domiciliarios Municipio Tamesis</t>
  </si>
  <si>
    <t>Tarso</t>
  </si>
  <si>
    <t>Titiribi</t>
  </si>
  <si>
    <t xml:space="preserve">Acueducto Comunitario Los Isazas </t>
  </si>
  <si>
    <t xml:space="preserve">Municipio de Toledo. </t>
  </si>
  <si>
    <t>Turbo</t>
  </si>
  <si>
    <t>Aguas de Uraba SA ESP</t>
  </si>
  <si>
    <t>ESP de Uramita S.A.S. E.S.P. Sistema el Oso</t>
  </si>
  <si>
    <t>ESP de Uramita S.A.S.E.S.P.Quebrada El Churimo</t>
  </si>
  <si>
    <t>Urrao</t>
  </si>
  <si>
    <t>Empresas Publicas de Urrao  E.S.P.</t>
  </si>
  <si>
    <t>Valdivia</t>
  </si>
  <si>
    <t>Empresas Públicas Municipales  S.A.  E.S.P. EPM de Valdivia</t>
  </si>
  <si>
    <t>Vegachi</t>
  </si>
  <si>
    <t>Empresas Publicas de Vegachi - Antioquia</t>
  </si>
  <si>
    <t>Venecia</t>
  </si>
  <si>
    <t>Municipio de Vigia del Fuerte</t>
  </si>
  <si>
    <t>Servicios Publicos de Yali</t>
  </si>
  <si>
    <t xml:space="preserve">Aguas del Norte Antioqueño SA ESP                                       </t>
  </si>
  <si>
    <t>Junta de Acción Comunal Acueducto la Inmaculada No. 1</t>
  </si>
  <si>
    <t>Empresa de Servicios Publicos de Yolombo SA ESP- ESPY</t>
  </si>
  <si>
    <t xml:space="preserve">Empresas de Servicios Publicos Domiciliarios de Acueducto, alcantarillado y aseo de Yondo ESP. </t>
  </si>
  <si>
    <t>Zaragoza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</si>
  <si>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</si>
  <si>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 xml:space="preserve"> </t>
  </si>
  <si>
    <t>Oficina de Servicios Publicos</t>
  </si>
  <si>
    <t>Acueducto el Roble</t>
  </si>
  <si>
    <t>Acueducto cueva del amor</t>
  </si>
  <si>
    <t>Acueducto San Vicente</t>
  </si>
  <si>
    <t>Unidad de SPD de Cañasgordas</t>
  </si>
  <si>
    <t>Empresas de Servicios Publicos Domiciliarios SA ESP - San Gertrudis</t>
  </si>
  <si>
    <t>Municipio de Concepcion</t>
  </si>
  <si>
    <t>SD</t>
  </si>
  <si>
    <t>Unidad de Servicios Publicos de Nariño - Carcamo</t>
  </si>
  <si>
    <t>Unidad de Servicios Publicos de Nariño -Burbujas</t>
  </si>
  <si>
    <t>Unidad de Servicios Publicos de Nariño - Cabuya</t>
  </si>
  <si>
    <t>Aguas del Nordeste S.A. E.S.P.</t>
  </si>
  <si>
    <t>Ingeniería Total S.A.  E.S.P.</t>
  </si>
  <si>
    <t>Empresas Publicass de San Rafael S.A. E.S.P</t>
  </si>
  <si>
    <t xml:space="preserve">Conhydra  S.A.  E.S.P. </t>
  </si>
  <si>
    <t>Oficina de SPD</t>
  </si>
  <si>
    <t>Acueducto Comunitario El Algibe</t>
  </si>
  <si>
    <t>Junta de Accion Comunal Barrio San Jose</t>
  </si>
  <si>
    <t>Municipio de Zaragoza</t>
  </si>
  <si>
    <t>Abriaquí</t>
  </si>
  <si>
    <t xml:space="preserve">Alejandría </t>
  </si>
  <si>
    <t>Amagá</t>
  </si>
  <si>
    <t xml:space="preserve">Angelopolis </t>
  </si>
  <si>
    <t xml:space="preserve">Angostura  </t>
  </si>
  <si>
    <t>Apartadó</t>
  </si>
  <si>
    <t xml:space="preserve">Arboletes       </t>
  </si>
  <si>
    <t xml:space="preserve">Argelia </t>
  </si>
  <si>
    <t xml:space="preserve">Buriticá </t>
  </si>
  <si>
    <t xml:space="preserve">Cáceres         </t>
  </si>
  <si>
    <t>Carolina</t>
  </si>
  <si>
    <t xml:space="preserve">Caucasia        </t>
  </si>
  <si>
    <t>Chigorodó</t>
  </si>
  <si>
    <t xml:space="preserve">Cisneros </t>
  </si>
  <si>
    <t>Ciudad Bolívar</t>
  </si>
  <si>
    <t>Cocorná</t>
  </si>
  <si>
    <t xml:space="preserve">El Bagre        </t>
  </si>
  <si>
    <t>El Carmen De Viboral</t>
  </si>
  <si>
    <t xml:space="preserve">Entrerrios </t>
  </si>
  <si>
    <t xml:space="preserve">Gomez Plata </t>
  </si>
  <si>
    <t>Guatapé</t>
  </si>
  <si>
    <t xml:space="preserve">Hispania </t>
  </si>
  <si>
    <t>Jardín</t>
  </si>
  <si>
    <t>Jericó</t>
  </si>
  <si>
    <t xml:space="preserve">La Pintada </t>
  </si>
  <si>
    <t>La Union</t>
  </si>
  <si>
    <t xml:space="preserve">Liborina </t>
  </si>
  <si>
    <t>Murindó</t>
  </si>
  <si>
    <t xml:space="preserve">Nechi            </t>
  </si>
  <si>
    <t xml:space="preserve">Peque </t>
  </si>
  <si>
    <t>Pueblorrico</t>
  </si>
  <si>
    <t xml:space="preserve">Puerto Berrio   </t>
  </si>
  <si>
    <t>Retiro</t>
  </si>
  <si>
    <t xml:space="preserve">Sabanalarga </t>
  </si>
  <si>
    <t>San Andres De Cuerquia</t>
  </si>
  <si>
    <t>San Jose De La Montaña</t>
  </si>
  <si>
    <t>San Juan De Uraba</t>
  </si>
  <si>
    <t>San Pedro De Los Milagros</t>
  </si>
  <si>
    <t>San Pedro De Uraba</t>
  </si>
  <si>
    <t>Santa Rosa De Osos</t>
  </si>
  <si>
    <t>Santa Fe De Antioquia</t>
  </si>
  <si>
    <t>Sonson</t>
  </si>
  <si>
    <t>Sopetrán</t>
  </si>
  <si>
    <t xml:space="preserve">Támesis </t>
  </si>
  <si>
    <t xml:space="preserve">Taraza           </t>
  </si>
  <si>
    <t xml:space="preserve">Toledo </t>
  </si>
  <si>
    <t xml:space="preserve">Uramita </t>
  </si>
  <si>
    <t>Valparaíso</t>
  </si>
  <si>
    <t xml:space="preserve">Vigia Del Fuerte </t>
  </si>
  <si>
    <t>Yalí</t>
  </si>
  <si>
    <t xml:space="preserve">Yarumal        </t>
  </si>
  <si>
    <t>Yolombó</t>
  </si>
  <si>
    <t xml:space="preserve">Yondó 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</si>
  <si>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</si>
  <si>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</si>
  <si>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</si>
  <si>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 100 %:
</t>
    </r>
    <r>
      <rPr>
        <b/>
        <sz val="12"/>
        <rFont val="Verdana"/>
        <family val="2"/>
      </rPr>
      <t xml:space="preserve"> Inviable Sanitariamente</t>
    </r>
  </si>
  <si>
    <t>Convenciones:</t>
  </si>
  <si>
    <t>PERSONA PRESTADORA DEL SERVICIO</t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</si>
  <si>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        Riesgo Medio</t>
    </r>
  </si>
  <si>
    <t>CONSOLIDADO  INDICE DE RIESGO DE CALIDAD DEL AGUA PARA CONSUMO HUMANO - IRCA MENSUAL ACUEDUCTOS URBANOS-  ANTIOQUIA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</si>
</sst>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-2]\ * #,##0.00_ ;_ [$€-2]\ * \-#,##0.00_ ;_ [$€-2]\ * \-??_ 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ndale Mono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ill="0" applyBorder="0" applyAlignment="0" applyProtection="0"/>
  </cellStyleXfs>
  <cellXfs count="7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2" fontId="0" fillId="0" borderId="0" xfId="0" applyNumberFormat="1"/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/>
    <xf numFmtId="0" fontId="0" fillId="0" borderId="0" xfId="0" applyFill="1"/>
    <xf numFmtId="0" fontId="0" fillId="0" borderId="4" xfId="0" applyBorder="1"/>
    <xf numFmtId="0" fontId="0" fillId="0" borderId="5" xfId="0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9" xfId="0" applyBorder="1" applyAlignment="1"/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0" fillId="9" borderId="10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2" fontId="0" fillId="9" borderId="10" xfId="0" applyNumberFormat="1" applyFont="1" applyFill="1" applyBorder="1" applyAlignment="1">
      <alignment horizontal="center"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5"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s-CO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urbanos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2013</a:t>
            </a:r>
          </a:p>
        </c:rich>
      </c:tx>
      <c:layout>
        <c:manualLayout>
          <c:xMode val="edge"/>
          <c:yMode val="edge"/>
          <c:x val="0.13417027759513767"/>
          <c:y val="4.35547727586683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93443768246902E-2"/>
          <c:y val="0.15239307086614176"/>
          <c:w val="0.81179506407852864"/>
          <c:h val="0.62542261417322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'2013'!$V$6:$V$14</c:f>
              <c:numCache>
                <c:formatCode>General</c:formatCode>
                <c:ptCount val="9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22</c:v>
                </c:pt>
                <c:pt idx="4">
                  <c:v>30</c:v>
                </c:pt>
                <c:pt idx="5">
                  <c:v>12</c:v>
                </c:pt>
                <c:pt idx="6">
                  <c:v>6</c:v>
                </c:pt>
                <c:pt idx="7">
                  <c:v>19</c:v>
                </c:pt>
                <c:pt idx="8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08256"/>
        <c:axId val="99272960"/>
      </c:barChart>
      <c:barChart>
        <c:barDir val="col"/>
        <c:grouping val="clustered"/>
        <c:varyColors val="0"/>
        <c:ser>
          <c:idx val="1"/>
          <c:order val="1"/>
          <c:tx>
            <c:strRef>
              <c:f>'[2]2017'!$W$1:$W$5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'2013'!$W$6:$W$14</c:f>
              <c:numCache>
                <c:formatCode>0.0</c:formatCode>
                <c:ptCount val="9"/>
                <c:pt idx="0">
                  <c:v>7.1005917159763312</c:v>
                </c:pt>
                <c:pt idx="1">
                  <c:v>7.1005917159763312</c:v>
                </c:pt>
                <c:pt idx="2">
                  <c:v>11.834319526627219</c:v>
                </c:pt>
                <c:pt idx="3">
                  <c:v>13.017751479289942</c:v>
                </c:pt>
                <c:pt idx="4">
                  <c:v>17.751479289940828</c:v>
                </c:pt>
                <c:pt idx="5">
                  <c:v>7.1005917159763312</c:v>
                </c:pt>
                <c:pt idx="6">
                  <c:v>3.5502958579881656</c:v>
                </c:pt>
                <c:pt idx="7">
                  <c:v>11.242603550295858</c:v>
                </c:pt>
                <c:pt idx="8">
                  <c:v>21.301775147928996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51264"/>
        <c:axId val="99273536"/>
      </c:barChart>
      <c:catAx>
        <c:axId val="1174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CO"/>
          </a:p>
        </c:txPr>
        <c:crossAx val="99272960"/>
        <c:crossesAt val="0"/>
        <c:auto val="1"/>
        <c:lblAlgn val="ctr"/>
        <c:lblOffset val="100"/>
        <c:noMultiLvlLbl val="0"/>
      </c:catAx>
      <c:valAx>
        <c:axId val="99272960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O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7408256"/>
        <c:crosses val="autoZero"/>
        <c:crossBetween val="between"/>
        <c:majorUnit val="5"/>
        <c:minorUnit val="1"/>
      </c:valAx>
      <c:catAx>
        <c:axId val="1366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9273536"/>
        <c:crosses val="autoZero"/>
        <c:auto val="1"/>
        <c:lblAlgn val="ctr"/>
        <c:lblOffset val="100"/>
        <c:noMultiLvlLbl val="0"/>
      </c:catAx>
      <c:valAx>
        <c:axId val="99273536"/>
        <c:scaling>
          <c:orientation val="minMax"/>
          <c:max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O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CO"/>
          </a:p>
        </c:txPr>
        <c:crossAx val="136651264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3537530880855317"/>
          <c:y val="0.93176141350667196"/>
          <c:w val="0.49274838809163535"/>
          <c:h val="6.0106089323648804E-2"/>
        </c:manualLayout>
      </c:layout>
      <c:overlay val="0"/>
      <c:txPr>
        <a:bodyPr/>
        <a:lstStyle/>
        <a:p>
          <a:pPr>
            <a:defRPr sz="14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/>
              <a:t>Gráfico 2</a:t>
            </a:r>
            <a:r>
              <a:rPr lang="es-CO" sz="1400"/>
              <a:t>. Porcentaje de acueductos Urbanos por  nivel de riesgo sanitario .  Antioquia  -  Colombia  2013</a:t>
            </a:r>
          </a:p>
        </c:rich>
      </c:tx>
      <c:layout>
        <c:manualLayout>
          <c:xMode val="edge"/>
          <c:yMode val="edge"/>
          <c:x val="0.1268860258065769"/>
          <c:y val="4.7078897044169968E-2"/>
        </c:manualLayout>
      </c:layout>
      <c:overlay val="0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7344077734963981"/>
          <c:y val="0.18122541193732464"/>
          <c:w val="0.7187971184453007"/>
          <c:h val="0.6603112091136834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'2013'!$V$1:$V$5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31148936170212765"/>
                  <c:y val="2.117522498676393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59574468085109E-2"/>
                  <c:y val="-7.7641594695812769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553191489361701E-2"/>
                  <c:y val="2.117522498676548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659574468085088E-2"/>
                  <c:y val="2.117522498676548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659574468085109E-2"/>
                  <c:y val="4.235044997353097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5957446808510653E-2"/>
                  <c:y val="4.235044997353097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('2013'!$X$1:$X$5,'2013'!$Z$1:$Z$5,'2013'!$AB$1:$AB$5,'2013'!$AD$1:$AD$5,'2013'!$AF$1:$AF$5,'2013'!$AH$1:$AH$5)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('2013'!$X$15,'2013'!$Z$15,'2013'!$AB$15,'2013'!$AD$15,'2013'!$AF$15,'2013'!$AH$15)</c:f>
              <c:numCache>
                <c:formatCode>General</c:formatCode>
                <c:ptCount val="6"/>
                <c:pt idx="0">
                  <c:v>115</c:v>
                </c:pt>
                <c:pt idx="1">
                  <c:v>29</c:v>
                </c:pt>
                <c:pt idx="2">
                  <c:v>2</c:v>
                </c:pt>
                <c:pt idx="3">
                  <c:v>8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6"/>
        <c:axId val="164896768"/>
        <c:axId val="99274688"/>
      </c:barChart>
      <c:barChart>
        <c:barDir val="bar"/>
        <c:grouping val="stacked"/>
        <c:varyColors val="0"/>
        <c:ser>
          <c:idx val="0"/>
          <c:order val="0"/>
          <c:tx>
            <c:strRef>
              <c:f>'2013'!$W$1:$W$5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1752249867654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021276595744681E-3"/>
                  <c:y val="2.1175224986766262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062489529234379E-3"/>
                  <c:y val="2.1175224986765486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042553191489361E-3"/>
                  <c:y val="2.1175224986765486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06382978723404E-3"/>
                  <c:y val="4.2350449973530971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('[2]2017'!$X$1:$X$5,'[2]2017'!$Z$1:$Z$5,'[2]2017'!$AB$1:$AB$5,'[2]2017'!$AD$1:$AD$5)</c:f>
              <c:strCache>
                <c:ptCount val="20"/>
                <c:pt idx="0">
                  <c:v>Sin Riesgo</c:v>
                </c:pt>
                <c:pt idx="5">
                  <c:v>Riesgo Bajo</c:v>
                </c:pt>
                <c:pt idx="10">
                  <c:v>Riesgo Medio</c:v>
                </c:pt>
                <c:pt idx="15">
                  <c:v>Riesgo Alto</c:v>
                </c:pt>
              </c:strCache>
            </c:strRef>
          </c:cat>
          <c:val>
            <c:numRef>
              <c:f>('2013'!$Y$15,'2013'!$AA$15,'2013'!$AC$15,'2013'!$AE$15,'2013'!$AG$15,'2013'!$AI$15)</c:f>
              <c:numCache>
                <c:formatCode>0.0</c:formatCode>
                <c:ptCount val="6"/>
                <c:pt idx="0">
                  <c:v>68.047337278106511</c:v>
                </c:pt>
                <c:pt idx="1">
                  <c:v>17.159763313609467</c:v>
                </c:pt>
                <c:pt idx="2">
                  <c:v>1.1834319526627219</c:v>
                </c:pt>
                <c:pt idx="3">
                  <c:v>4.7337278106508878</c:v>
                </c:pt>
                <c:pt idx="4">
                  <c:v>8.8757396449704142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6"/>
        <c:axId val="164900352"/>
        <c:axId val="99275264"/>
      </c:barChart>
      <c:catAx>
        <c:axId val="16489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274688"/>
        <c:crosses val="autoZero"/>
        <c:auto val="1"/>
        <c:lblAlgn val="ctr"/>
        <c:lblOffset val="100"/>
        <c:noMultiLvlLbl val="0"/>
      </c:catAx>
      <c:valAx>
        <c:axId val="99274688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crossAx val="164896768"/>
        <c:crosses val="max"/>
        <c:crossBetween val="between"/>
        <c:majorUnit val="20"/>
      </c:valAx>
      <c:catAx>
        <c:axId val="164900352"/>
        <c:scaling>
          <c:orientation val="minMax"/>
        </c:scaling>
        <c:delete val="1"/>
        <c:axPos val="l"/>
        <c:majorTickMark val="out"/>
        <c:minorTickMark val="none"/>
        <c:tickLblPos val="nextTo"/>
        <c:crossAx val="99275264"/>
        <c:crosses val="autoZero"/>
        <c:auto val="1"/>
        <c:lblAlgn val="ctr"/>
        <c:lblOffset val="100"/>
        <c:noMultiLvlLbl val="0"/>
      </c:catAx>
      <c:valAx>
        <c:axId val="99275264"/>
        <c:scaling>
          <c:orientation val="minMax"/>
          <c:max val="100"/>
          <c:min val="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64900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758730836820492"/>
          <c:y val="0.91639262378147801"/>
          <c:w val="0.28497529054244292"/>
          <c:h val="4.5856198508304358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568324</xdr:colOff>
      <xdr:row>0</xdr:row>
      <xdr:rowOff>123825</xdr:rowOff>
    </xdr:from>
    <xdr:to>
      <xdr:col>1</xdr:col>
      <xdr:colOff>1555749</xdr:colOff>
      <xdr:row>6</xdr:row>
      <xdr:rowOff>219075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324" y="123825"/>
          <a:ext cx="270192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638175</xdr:colOff>
      <xdr:row>15</xdr:row>
      <xdr:rowOff>28575</xdr:rowOff>
    </xdr:from>
    <xdr:to>
      <xdr:col>30</xdr:col>
      <xdr:colOff>400050</xdr:colOff>
      <xdr:row>34</xdr:row>
      <xdr:rowOff>28575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457200</xdr:colOff>
      <xdr:row>15</xdr:row>
      <xdr:rowOff>28575</xdr:rowOff>
    </xdr:from>
    <xdr:to>
      <xdr:col>41</xdr:col>
      <xdr:colOff>381000</xdr:colOff>
      <xdr:row>34</xdr:row>
      <xdr:rowOff>28575</xdr:rowOff>
    </xdr:to>
    <xdr:graphicFrame macro="">
      <xdr:nvGraphicFramePr>
        <xdr:cNvPr id="4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tabaresm/Mis%20documentos/CONSOLIDADO-IRCA-%20ACUEDUCTOS%20RURALES%20ANTIOQUIA-%202015-%202%20(23-08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 xml:space="preserve">Nordeste </v>
          </cell>
        </row>
        <row r="12">
          <cell r="A12" t="str">
            <v>Oriente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1">
          <cell r="V1" t="str">
            <v>Numero Sistemas</v>
          </cell>
          <cell r="W1" t="str">
            <v>%</v>
          </cell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1"/>
  <sheetViews>
    <sheetView tabSelected="1" zoomScale="60" zoomScaleNormal="60" zoomScalePageLayoutView="40" workbookViewId="0">
      <pane xSplit="2" topLeftCell="C1" activePane="topRight" state="frozen"/>
      <selection pane="topRight" activeCell="A10" sqref="A10"/>
    </sheetView>
  </sheetViews>
  <sheetFormatPr baseColWidth="10" defaultRowHeight="12.75" x14ac:dyDescent="0.2"/>
  <cols>
    <col min="1" max="1" width="25.7109375" customWidth="1"/>
    <col min="2" max="2" width="38" style="28" customWidth="1"/>
    <col min="3" max="3" width="60.140625" style="29" customWidth="1"/>
    <col min="4" max="4" width="18.28515625" style="33" customWidth="1"/>
    <col min="5" max="16" width="8.7109375" customWidth="1"/>
    <col min="17" max="17" width="18.85546875" style="22" customWidth="1"/>
    <col min="18" max="18" width="18.5703125" customWidth="1"/>
    <col min="19" max="19" width="28" customWidth="1"/>
    <col min="20" max="20" width="9.85546875" customWidth="1"/>
    <col min="21" max="21" width="22.85546875" customWidth="1"/>
    <col min="22" max="35" width="9.7109375" customWidth="1"/>
  </cols>
  <sheetData>
    <row r="1" spans="1:35" ht="18" customHeight="1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U1" s="65" t="s">
        <v>1</v>
      </c>
      <c r="V1" s="64" t="s">
        <v>2</v>
      </c>
      <c r="W1" s="65" t="s">
        <v>3</v>
      </c>
      <c r="X1" s="64" t="s">
        <v>4</v>
      </c>
      <c r="Y1" s="65" t="s">
        <v>3</v>
      </c>
      <c r="Z1" s="64" t="s">
        <v>5</v>
      </c>
      <c r="AA1" s="65" t="s">
        <v>3</v>
      </c>
      <c r="AB1" s="64" t="s">
        <v>6</v>
      </c>
      <c r="AC1" s="65" t="s">
        <v>3</v>
      </c>
      <c r="AD1" s="64" t="s">
        <v>7</v>
      </c>
      <c r="AE1" s="65" t="s">
        <v>3</v>
      </c>
      <c r="AF1" s="64" t="s">
        <v>8</v>
      </c>
      <c r="AG1" s="65" t="s">
        <v>3</v>
      </c>
      <c r="AH1" s="64" t="s">
        <v>9</v>
      </c>
      <c r="AI1" s="65" t="s">
        <v>3</v>
      </c>
    </row>
    <row r="2" spans="1:35" ht="18" x14ac:dyDescent="0.25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U2" s="65"/>
      <c r="V2" s="64"/>
      <c r="W2" s="65"/>
      <c r="X2" s="64"/>
      <c r="Y2" s="65"/>
      <c r="Z2" s="64"/>
      <c r="AA2" s="65"/>
      <c r="AB2" s="64"/>
      <c r="AC2" s="65"/>
      <c r="AD2" s="64"/>
      <c r="AE2" s="65"/>
      <c r="AF2" s="64"/>
      <c r="AG2" s="65"/>
      <c r="AH2" s="64"/>
      <c r="AI2" s="65"/>
    </row>
    <row r="3" spans="1:35" ht="15" customHeight="1" x14ac:dyDescent="0.2">
      <c r="B3" s="74" t="s">
        <v>320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U3" s="65"/>
      <c r="V3" s="64"/>
      <c r="W3" s="65"/>
      <c r="X3" s="64"/>
      <c r="Y3" s="65"/>
      <c r="Z3" s="64"/>
      <c r="AA3" s="65"/>
      <c r="AB3" s="64"/>
      <c r="AC3" s="65"/>
      <c r="AD3" s="64"/>
      <c r="AE3" s="65"/>
      <c r="AF3" s="64"/>
      <c r="AG3" s="65"/>
      <c r="AH3" s="64"/>
      <c r="AI3" s="65"/>
    </row>
    <row r="4" spans="1:35" ht="15" customHeight="1" x14ac:dyDescent="0.2">
      <c r="B4" s="1"/>
      <c r="C4" s="2"/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U4" s="65"/>
      <c r="V4" s="64"/>
      <c r="W4" s="65"/>
      <c r="X4" s="64"/>
      <c r="Y4" s="65"/>
      <c r="Z4" s="64"/>
      <c r="AA4" s="65"/>
      <c r="AB4" s="64"/>
      <c r="AC4" s="65"/>
      <c r="AD4" s="64"/>
      <c r="AE4" s="65"/>
      <c r="AF4" s="64"/>
      <c r="AG4" s="65"/>
      <c r="AH4" s="64"/>
      <c r="AI4" s="65"/>
    </row>
    <row r="5" spans="1:35" ht="12.75" customHeight="1" x14ac:dyDescent="0.2">
      <c r="B5" s="35"/>
      <c r="C5" s="48" t="s">
        <v>317</v>
      </c>
      <c r="D5" s="67" t="s">
        <v>9</v>
      </c>
      <c r="E5" s="67"/>
      <c r="F5" s="68" t="s">
        <v>313</v>
      </c>
      <c r="G5" s="68"/>
      <c r="H5" s="68"/>
      <c r="I5" s="69" t="s">
        <v>314</v>
      </c>
      <c r="J5" s="69"/>
      <c r="K5" s="69"/>
      <c r="L5" s="70" t="s">
        <v>319</v>
      </c>
      <c r="M5" s="70"/>
      <c r="N5" s="70"/>
      <c r="O5" s="71" t="s">
        <v>315</v>
      </c>
      <c r="P5" s="71"/>
      <c r="Q5" s="71"/>
      <c r="R5" s="72" t="s">
        <v>316</v>
      </c>
      <c r="S5" s="72"/>
      <c r="U5" s="65"/>
      <c r="V5" s="64"/>
      <c r="W5" s="65"/>
      <c r="X5" s="64"/>
      <c r="Y5" s="65"/>
      <c r="Z5" s="64"/>
      <c r="AA5" s="65"/>
      <c r="AB5" s="64"/>
      <c r="AC5" s="65"/>
      <c r="AD5" s="64"/>
      <c r="AE5" s="65"/>
      <c r="AF5" s="64"/>
      <c r="AG5" s="65"/>
      <c r="AH5" s="64"/>
      <c r="AI5" s="65"/>
    </row>
    <row r="6" spans="1:35" ht="24.95" customHeight="1" x14ac:dyDescent="0.2">
      <c r="B6" s="35"/>
      <c r="C6" s="48"/>
      <c r="D6" s="67"/>
      <c r="E6" s="67"/>
      <c r="F6" s="68"/>
      <c r="G6" s="68"/>
      <c r="H6" s="68"/>
      <c r="I6" s="69"/>
      <c r="J6" s="69"/>
      <c r="K6" s="69"/>
      <c r="L6" s="70"/>
      <c r="M6" s="70"/>
      <c r="N6" s="70"/>
      <c r="O6" s="71"/>
      <c r="P6" s="71"/>
      <c r="Q6" s="71"/>
      <c r="R6" s="72"/>
      <c r="S6" s="72"/>
      <c r="U6" s="4" t="s">
        <v>11</v>
      </c>
      <c r="V6" s="5">
        <f>COUNTIF('2013'!A:A, "Valle de Aburra")-COUNTIFS('2013'!A:A,"Valle de Aburra",'2013'!C:C,"")</f>
        <v>12</v>
      </c>
      <c r="W6" s="6">
        <f>(V6/$V$15)*100</f>
        <v>7.1005917159763312</v>
      </c>
      <c r="X6" s="5">
        <f>COUNTIFS('2013'!A:A,"Valle de Aburra",'2013'!S:S,"Sin Riesgo")</f>
        <v>12</v>
      </c>
      <c r="Y6" s="6">
        <f>(X6/V6)*100</f>
        <v>100</v>
      </c>
      <c r="Z6" s="5">
        <f>COUNTIFS('2013'!A:A,"Valle de Aburra",'2013'!S:S,"Bajo")</f>
        <v>0</v>
      </c>
      <c r="AA6" s="6">
        <f>(Z6/V6)*100</f>
        <v>0</v>
      </c>
      <c r="AB6" s="5">
        <f>COUNTIFS('2013'!A:A,"Valle de Aburra",'2013'!S:S,"Medio")</f>
        <v>0</v>
      </c>
      <c r="AC6" s="6">
        <f>(AB6/V6)*100</f>
        <v>0</v>
      </c>
      <c r="AD6" s="5">
        <f>COUNTIFS('2013'!A:A,"Valle de Aburra",'2013'!S:S,"Alto")</f>
        <v>0</v>
      </c>
      <c r="AE6" s="6">
        <f>(AD6/V6)*100</f>
        <v>0</v>
      </c>
      <c r="AF6" s="5">
        <f>COUNTIFS('2013'!A:A,"Valle de Aburra",'2013'!S:S,"Inviable Sanitariamente")</f>
        <v>0</v>
      </c>
      <c r="AG6" s="6">
        <f>(AF6/V6)*100</f>
        <v>0</v>
      </c>
      <c r="AH6" s="7">
        <f>V6-(X6+Z6+AB6+AD6+AF6)</f>
        <v>0</v>
      </c>
      <c r="AI6" s="6">
        <f>(AH6/V6)*100</f>
        <v>0</v>
      </c>
    </row>
    <row r="7" spans="1:35" ht="24.95" customHeight="1" x14ac:dyDescent="0.2">
      <c r="B7" s="36"/>
      <c r="C7" s="36"/>
      <c r="D7" s="37"/>
      <c r="E7" s="37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U7" s="8" t="s">
        <v>12</v>
      </c>
      <c r="V7" s="5">
        <f>COUNTIF('2013'!A:A, "Uraba")-COUNTIFS('2013'!A:A,"Uraba",'2013'!C:C,"")</f>
        <v>12</v>
      </c>
      <c r="W7" s="6">
        <f t="shared" ref="W7:W15" si="0">(V7/$V$15)*100</f>
        <v>7.1005917159763312</v>
      </c>
      <c r="X7" s="5">
        <f>COUNTIFS('2013'!A:A,"Uraba",'2013'!S:S,"Sin Riesgo")</f>
        <v>6</v>
      </c>
      <c r="Y7" s="6">
        <f t="shared" ref="Y7:Y15" si="1">(X7/V7)*100</f>
        <v>50</v>
      </c>
      <c r="Z7" s="5">
        <f>COUNTIFS('2013'!A:A,"Uraba",'2013'!S:S,"Bajo")</f>
        <v>1</v>
      </c>
      <c r="AA7" s="6">
        <f t="shared" ref="AA7:AA15" si="2">(Z7/V7)*100</f>
        <v>8.3333333333333321</v>
      </c>
      <c r="AB7" s="5">
        <f>COUNTIFS('2013'!A:A,"Uraba",'2013'!S:S,"Medio")</f>
        <v>0</v>
      </c>
      <c r="AC7" s="6">
        <f t="shared" ref="AC7:AC15" si="3">(AB7/V7)*100</f>
        <v>0</v>
      </c>
      <c r="AD7" s="5">
        <f>COUNTIFS('2013'!A:A,"Uraba",'2013'!S:S,"Alto")</f>
        <v>1</v>
      </c>
      <c r="AE7" s="6">
        <f t="shared" ref="AE7:AE15" si="4">(AD7/V7)*100</f>
        <v>8.3333333333333321</v>
      </c>
      <c r="AF7" s="5">
        <f>COUNTIFS('2013'!A:A,"Uraba",'2013'!S:S,"Inviable Sanitariamente")</f>
        <v>4</v>
      </c>
      <c r="AG7" s="6">
        <f t="shared" ref="AG7:AG15" si="5">(AF7/V7)*100</f>
        <v>33.333333333333329</v>
      </c>
      <c r="AH7" s="7">
        <f t="shared" ref="AH7:AH15" si="6">V7-(X7+Z7+AB7+AD7+AF7)</f>
        <v>0</v>
      </c>
      <c r="AI7" s="6">
        <f t="shared" ref="AI7:AI15" si="7">(AH7/V7)*100</f>
        <v>0</v>
      </c>
    </row>
    <row r="8" spans="1:35" ht="24.95" customHeight="1" x14ac:dyDescent="0.2">
      <c r="A8" s="56" t="s">
        <v>13</v>
      </c>
      <c r="B8" s="57" t="s">
        <v>14</v>
      </c>
      <c r="C8" s="52" t="s">
        <v>318</v>
      </c>
      <c r="D8" s="59" t="s">
        <v>15</v>
      </c>
      <c r="E8" s="61">
        <v>2013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54" t="s">
        <v>16</v>
      </c>
      <c r="R8" s="50" t="s">
        <v>17</v>
      </c>
      <c r="S8" s="52" t="s">
        <v>18</v>
      </c>
      <c r="T8" s="9"/>
      <c r="U8" s="10" t="s">
        <v>19</v>
      </c>
      <c r="V8" s="5">
        <f>COUNTIF('2013'!A:A, "Norte")-COUNTIFS('2013'!A:A,"Norte",'2013'!C:C,"")</f>
        <v>20</v>
      </c>
      <c r="W8" s="6">
        <f t="shared" si="0"/>
        <v>11.834319526627219</v>
      </c>
      <c r="X8" s="5">
        <f>COUNTIFS('2013'!A:A,"Norte",'2013'!S:S,"Sin Riesgo")</f>
        <v>12</v>
      </c>
      <c r="Y8" s="6">
        <f t="shared" si="1"/>
        <v>60</v>
      </c>
      <c r="Z8" s="5">
        <f>COUNTIFS('2013'!A:A,"Norte",'2013'!S:S,"Bajo")</f>
        <v>5</v>
      </c>
      <c r="AA8" s="6">
        <f t="shared" si="2"/>
        <v>25</v>
      </c>
      <c r="AB8" s="5">
        <f>COUNTIFS('2013'!A:A,"Norte",'2013'!S:S,"Medio")</f>
        <v>1</v>
      </c>
      <c r="AC8" s="6">
        <f t="shared" si="3"/>
        <v>5</v>
      </c>
      <c r="AD8" s="5">
        <f>COUNTIFS('2013'!A:A,"Norte",'2013'!S:S,"Alto")</f>
        <v>1</v>
      </c>
      <c r="AE8" s="6">
        <f t="shared" si="4"/>
        <v>5</v>
      </c>
      <c r="AF8" s="5">
        <f>COUNTIFS('2013'!A:A,"Norte",'2013'!S:S,"Inviable Sanitariamente")</f>
        <v>1</v>
      </c>
      <c r="AG8" s="6">
        <f t="shared" si="5"/>
        <v>5</v>
      </c>
      <c r="AH8" s="7">
        <f t="shared" si="6"/>
        <v>0</v>
      </c>
      <c r="AI8" s="6">
        <f t="shared" si="7"/>
        <v>0</v>
      </c>
    </row>
    <row r="9" spans="1:35" ht="24.75" customHeight="1" x14ac:dyDescent="0.2">
      <c r="A9" s="56"/>
      <c r="B9" s="58"/>
      <c r="C9" s="53"/>
      <c r="D9" s="60"/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25</v>
      </c>
      <c r="K9" s="11" t="s">
        <v>26</v>
      </c>
      <c r="L9" s="12" t="s">
        <v>27</v>
      </c>
      <c r="M9" s="11" t="s">
        <v>28</v>
      </c>
      <c r="N9" s="11" t="s">
        <v>29</v>
      </c>
      <c r="O9" s="11" t="s">
        <v>30</v>
      </c>
      <c r="P9" s="11" t="s">
        <v>31</v>
      </c>
      <c r="Q9" s="55"/>
      <c r="R9" s="51"/>
      <c r="S9" s="53"/>
      <c r="T9" s="9"/>
      <c r="U9" s="10" t="s">
        <v>32</v>
      </c>
      <c r="V9" s="5">
        <f>COUNTIF('2013'!A:A, "Occidente")-COUNTIFS('2013'!A:A,"Occidente",'2013'!C:C,"")</f>
        <v>22</v>
      </c>
      <c r="W9" s="6">
        <f t="shared" si="0"/>
        <v>13.017751479289942</v>
      </c>
      <c r="X9" s="5">
        <f>COUNTIFS('2013'!A:A,"Occidente",'2013'!S:S,"Sin Riesgo")</f>
        <v>18</v>
      </c>
      <c r="Y9" s="6">
        <f t="shared" si="1"/>
        <v>81.818181818181827</v>
      </c>
      <c r="Z9" s="5">
        <f>COUNTIFS('2013'!A:A,"Occidente",'2013'!S:S,"Bajo")</f>
        <v>4</v>
      </c>
      <c r="AA9" s="6">
        <f t="shared" si="2"/>
        <v>18.181818181818183</v>
      </c>
      <c r="AB9" s="5">
        <f>COUNTIFS('2013'!A:A,"Occidente",'2013'!S:S,"Medio")</f>
        <v>0</v>
      </c>
      <c r="AC9" s="6">
        <f t="shared" si="3"/>
        <v>0</v>
      </c>
      <c r="AD9" s="5">
        <f>COUNTIFS('2013'!A:A,"Occidente",'2013'!S:S,"Alto")</f>
        <v>0</v>
      </c>
      <c r="AE9" s="6">
        <f t="shared" si="4"/>
        <v>0</v>
      </c>
      <c r="AF9" s="5">
        <f>COUNTIFS('2013'!A:A,"Occidente",'2013'!S:S,"Inviable Sanitariamente")</f>
        <v>0</v>
      </c>
      <c r="AG9" s="6">
        <f t="shared" si="5"/>
        <v>0</v>
      </c>
      <c r="AH9" s="7">
        <f t="shared" si="6"/>
        <v>0</v>
      </c>
      <c r="AI9" s="6">
        <f t="shared" si="7"/>
        <v>0</v>
      </c>
    </row>
    <row r="10" spans="1:35" ht="30" customHeight="1" x14ac:dyDescent="0.2">
      <c r="A10" s="38" t="s">
        <v>33</v>
      </c>
      <c r="B10" s="39" t="s">
        <v>34</v>
      </c>
      <c r="C10" s="40" t="s">
        <v>35</v>
      </c>
      <c r="D10" s="41">
        <v>56</v>
      </c>
      <c r="E10" s="42"/>
      <c r="F10" s="42"/>
      <c r="G10" s="42">
        <v>0.88</v>
      </c>
      <c r="H10" s="42">
        <v>0.88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0.19</v>
      </c>
      <c r="R10" s="43" t="str">
        <f>IF(Q10&lt;=5,"SI","NO")</f>
        <v>SI</v>
      </c>
      <c r="S10" s="43" t="str">
        <f>IF(Q10&lt;=5,"Sin Riesgo",IF(Q10 &lt;=14,"Bajo",IF(Q10&lt;=35,"Medio",IF(Q10&lt;=80,"Alto","Inviable Sanitariamente"))))</f>
        <v>Sin Riesgo</v>
      </c>
      <c r="T10" s="13"/>
      <c r="U10" s="10" t="s">
        <v>36</v>
      </c>
      <c r="V10" s="5">
        <f>COUNTIF('2013'!A:A, "Suroeste")-COUNTIFS('2013'!A:A,"Suroeste",'2013'!C:C,"")</f>
        <v>30</v>
      </c>
      <c r="W10" s="6">
        <f t="shared" si="0"/>
        <v>17.751479289940828</v>
      </c>
      <c r="X10" s="5">
        <f>COUNTIFS('2013'!A:A,"Suroeste",'2013'!S:S,"Sin Riesgo")</f>
        <v>23</v>
      </c>
      <c r="Y10" s="6">
        <f t="shared" si="1"/>
        <v>76.666666666666671</v>
      </c>
      <c r="Z10" s="5">
        <f>COUNTIFS('2013'!A:A,"Suroeste",'2013'!S:S,"Bajo")</f>
        <v>6</v>
      </c>
      <c r="AA10" s="6">
        <f t="shared" si="2"/>
        <v>20</v>
      </c>
      <c r="AB10" s="5">
        <f>COUNTIFS('2013'!A:A,"Suroeste",'2013'!S:S,"Medio")</f>
        <v>1</v>
      </c>
      <c r="AC10" s="6">
        <f t="shared" si="3"/>
        <v>3.3333333333333335</v>
      </c>
      <c r="AD10" s="5">
        <f>COUNTIFS('2013'!A:A,"Suroeste",'2013'!S:S,"Alto")</f>
        <v>0</v>
      </c>
      <c r="AE10" s="6">
        <f t="shared" si="4"/>
        <v>0</v>
      </c>
      <c r="AF10" s="5">
        <f>COUNTIFS('2013'!A:A,"Suroeste",'2013'!S:S,"Inviable Sanitariamente")</f>
        <v>0</v>
      </c>
      <c r="AG10" s="6">
        <f t="shared" si="5"/>
        <v>0</v>
      </c>
      <c r="AH10" s="7">
        <f t="shared" si="6"/>
        <v>0</v>
      </c>
      <c r="AI10" s="6">
        <f t="shared" si="7"/>
        <v>0</v>
      </c>
    </row>
    <row r="11" spans="1:35" ht="30" customHeight="1" x14ac:dyDescent="0.2">
      <c r="A11" s="38" t="s">
        <v>33</v>
      </c>
      <c r="B11" s="39" t="s">
        <v>34</v>
      </c>
      <c r="C11" s="40" t="s">
        <v>37</v>
      </c>
      <c r="D11" s="41">
        <v>1832</v>
      </c>
      <c r="E11" s="42"/>
      <c r="F11" s="42"/>
      <c r="G11" s="42">
        <v>0.88</v>
      </c>
      <c r="H11" s="42">
        <v>9.73</v>
      </c>
      <c r="I11" s="42">
        <v>7.33</v>
      </c>
      <c r="J11" s="42">
        <v>14.6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13.28</v>
      </c>
      <c r="Q11" s="42">
        <v>3.91</v>
      </c>
      <c r="R11" s="43" t="str">
        <f t="shared" ref="R11:R75" si="8">IF(Q11&lt;=5,"SI","NO")</f>
        <v>SI</v>
      </c>
      <c r="S11" s="43" t="str">
        <f t="shared" ref="S11:S74" si="9">IF(Q11&lt;=5,"Sin Riesgo",IF(Q11 &lt;=14,"Bajo",IF(Q11&lt;=35,"Medio",IF(Q11&lt;=80,"Alto","Inviable Sanitariamente"))))</f>
        <v>Sin Riesgo</v>
      </c>
      <c r="T11" s="13"/>
      <c r="U11" s="10" t="s">
        <v>38</v>
      </c>
      <c r="V11" s="5">
        <f>COUNTIF('2013'!A:A, "Bajo Cauca")-COUNTIFS('2013'!A:A,"Bajo Cauca",'2013'!C:C,"")</f>
        <v>12</v>
      </c>
      <c r="W11" s="6">
        <f t="shared" si="0"/>
        <v>7.1005917159763312</v>
      </c>
      <c r="X11" s="5">
        <f>COUNTIFS('2013'!A:A,"Bajo Cauca",'2013'!S:S,"Sin Riesgo")</f>
        <v>11</v>
      </c>
      <c r="Y11" s="6">
        <f t="shared" si="1"/>
        <v>91.666666666666657</v>
      </c>
      <c r="Z11" s="5">
        <f>COUNTIFS('2013'!A:A,"Bajo Cauca",'2013'!S:S,"Bajo")</f>
        <v>1</v>
      </c>
      <c r="AA11" s="6">
        <f t="shared" si="2"/>
        <v>8.3333333333333321</v>
      </c>
      <c r="AB11" s="5">
        <f>COUNTIFS('2013'!A:A,"Bajo Cauca",'2013'!S:S,"Medio")</f>
        <v>0</v>
      </c>
      <c r="AC11" s="6">
        <f t="shared" si="3"/>
        <v>0</v>
      </c>
      <c r="AD11" s="5">
        <f>COUNTIFS('2013'!A:A,"Bajo Cauca",'2013'!S:S,"Alto")</f>
        <v>0</v>
      </c>
      <c r="AE11" s="6">
        <f t="shared" si="4"/>
        <v>0</v>
      </c>
      <c r="AF11" s="5">
        <f>COUNTIFS('2013'!A:A,"Bajo Cauca",'2013'!S:S,"Inviable Sanitariamente")</f>
        <v>0</v>
      </c>
      <c r="AG11" s="6">
        <f t="shared" si="5"/>
        <v>0</v>
      </c>
      <c r="AH11" s="7">
        <f t="shared" si="6"/>
        <v>0</v>
      </c>
      <c r="AI11" s="6">
        <f t="shared" si="7"/>
        <v>0</v>
      </c>
    </row>
    <row r="12" spans="1:35" ht="30" customHeight="1" x14ac:dyDescent="0.2">
      <c r="A12" s="38" t="s">
        <v>32</v>
      </c>
      <c r="B12" s="39" t="s">
        <v>260</v>
      </c>
      <c r="C12" s="40" t="s">
        <v>39</v>
      </c>
      <c r="D12" s="41">
        <v>272</v>
      </c>
      <c r="E12" s="42"/>
      <c r="F12" s="42"/>
      <c r="G12" s="42">
        <v>0</v>
      </c>
      <c r="H12" s="42">
        <v>38.9</v>
      </c>
      <c r="I12" s="42">
        <v>0</v>
      </c>
      <c r="J12" s="42">
        <v>0</v>
      </c>
      <c r="K12" s="42">
        <v>0</v>
      </c>
      <c r="L12" s="42">
        <v>0</v>
      </c>
      <c r="M12" s="42">
        <v>6.13</v>
      </c>
      <c r="N12" s="42">
        <v>0</v>
      </c>
      <c r="O12" s="42">
        <v>0</v>
      </c>
      <c r="P12" s="42">
        <v>13.28</v>
      </c>
      <c r="Q12" s="42">
        <v>5.77</v>
      </c>
      <c r="R12" s="43" t="str">
        <f t="shared" si="8"/>
        <v>NO</v>
      </c>
      <c r="S12" s="43" t="str">
        <f t="shared" si="9"/>
        <v>Bajo</v>
      </c>
      <c r="T12" s="13"/>
      <c r="U12" s="10" t="s">
        <v>40</v>
      </c>
      <c r="V12" s="5">
        <f>COUNTIF('2013'!A:A, "Magdalena Medio")-COUNTIFS('2013'!A:A,"Magdalena Medio",'2013'!C:C,"")</f>
        <v>6</v>
      </c>
      <c r="W12" s="6">
        <f t="shared" si="0"/>
        <v>3.5502958579881656</v>
      </c>
      <c r="X12" s="5">
        <f>COUNTIFS('2013'!A:A,"Magdalena Medio",'2013'!S:S,"Sin Riesgo")</f>
        <v>1</v>
      </c>
      <c r="Y12" s="6">
        <f t="shared" si="1"/>
        <v>16.666666666666664</v>
      </c>
      <c r="Z12" s="5">
        <f>COUNTIFS('2013'!A:A,"Magdalena Medio",'2013'!S:S,"Bajo")</f>
        <v>5</v>
      </c>
      <c r="AA12" s="6">
        <f t="shared" si="2"/>
        <v>83.333333333333343</v>
      </c>
      <c r="AB12" s="5">
        <f>COUNTIFS('2013'!A:A,"Magdalena Medio",'2013'!S:S,"Medio")</f>
        <v>0</v>
      </c>
      <c r="AC12" s="6">
        <f t="shared" si="3"/>
        <v>0</v>
      </c>
      <c r="AD12" s="5">
        <f>COUNTIFS('2013'!A:A,"Magdalena Medio",'2013'!S:S,"Alto")</f>
        <v>0</v>
      </c>
      <c r="AE12" s="6">
        <f t="shared" si="4"/>
        <v>0</v>
      </c>
      <c r="AF12" s="5">
        <f>COUNTIFS('2013'!A:A,"Magdalena Medio",'2013'!S:S,"Inviable Sanitariamente")</f>
        <v>0</v>
      </c>
      <c r="AG12" s="6">
        <f t="shared" si="5"/>
        <v>0</v>
      </c>
      <c r="AH12" s="7">
        <f t="shared" si="6"/>
        <v>0</v>
      </c>
      <c r="AI12" s="6">
        <f t="shared" si="7"/>
        <v>0</v>
      </c>
    </row>
    <row r="13" spans="1:35" ht="30" customHeight="1" x14ac:dyDescent="0.2">
      <c r="A13" s="38" t="s">
        <v>33</v>
      </c>
      <c r="B13" s="39" t="s">
        <v>261</v>
      </c>
      <c r="C13" s="40" t="s">
        <v>41</v>
      </c>
      <c r="D13" s="41">
        <v>829</v>
      </c>
      <c r="E13" s="42"/>
      <c r="F13" s="42"/>
      <c r="G13" s="42">
        <v>0</v>
      </c>
      <c r="H13" s="42">
        <v>0</v>
      </c>
      <c r="I13" s="42">
        <v>8.85</v>
      </c>
      <c r="J13" s="42">
        <v>8.85</v>
      </c>
      <c r="K13" s="42">
        <v>0</v>
      </c>
      <c r="L13" s="42">
        <v>17.2</v>
      </c>
      <c r="M13" s="42">
        <v>0</v>
      </c>
      <c r="N13" s="42">
        <v>0</v>
      </c>
      <c r="O13" s="42">
        <v>17.2</v>
      </c>
      <c r="P13" s="42">
        <v>45.08</v>
      </c>
      <c r="Q13" s="42">
        <v>9.1300000000000008</v>
      </c>
      <c r="R13" s="43" t="str">
        <f t="shared" si="8"/>
        <v>NO</v>
      </c>
      <c r="S13" s="43" t="str">
        <f t="shared" si="9"/>
        <v>Bajo</v>
      </c>
      <c r="T13" s="13"/>
      <c r="U13" s="10" t="s">
        <v>42</v>
      </c>
      <c r="V13" s="5">
        <f>COUNTIF('2013'!A:A, "Nordeste")-COUNTIFS('2013'!A:A,"Nordeste",'2013'!C:C,"")</f>
        <v>19</v>
      </c>
      <c r="W13" s="6">
        <f t="shared" si="0"/>
        <v>11.242603550295858</v>
      </c>
      <c r="X13" s="5">
        <f>COUNTIFS('2013'!A:A,"Nordeste",'2013'!S:S,"Sin Riesgo")</f>
        <v>9</v>
      </c>
      <c r="Y13" s="6">
        <f t="shared" si="1"/>
        <v>47.368421052631575</v>
      </c>
      <c r="Z13" s="5">
        <f>COUNTIFS('2013'!A:A,"Nordeste",'2013'!S:S,"Bajo")</f>
        <v>2</v>
      </c>
      <c r="AA13" s="6">
        <f t="shared" si="2"/>
        <v>10.526315789473683</v>
      </c>
      <c r="AB13" s="5">
        <f>COUNTIFS('2013'!A:A,"Nordeste",'2013'!S:S,"Medio")</f>
        <v>0</v>
      </c>
      <c r="AC13" s="6">
        <f t="shared" si="3"/>
        <v>0</v>
      </c>
      <c r="AD13" s="5">
        <f>COUNTIFS('2013'!A:A,"Nordeste",'2013'!S:S,"Alto")</f>
        <v>2</v>
      </c>
      <c r="AE13" s="6">
        <f t="shared" si="4"/>
        <v>10.526315789473683</v>
      </c>
      <c r="AF13" s="5">
        <f>COUNTIFS('2013'!A:A,"Nordeste",'2013'!S:S,"Inviable Sanitariamente")</f>
        <v>6</v>
      </c>
      <c r="AG13" s="6">
        <f t="shared" si="5"/>
        <v>31.578947368421051</v>
      </c>
      <c r="AH13" s="7">
        <f t="shared" si="6"/>
        <v>0</v>
      </c>
      <c r="AI13" s="6">
        <f t="shared" si="7"/>
        <v>0</v>
      </c>
    </row>
    <row r="14" spans="1:35" ht="30" customHeight="1" x14ac:dyDescent="0.2">
      <c r="A14" s="38" t="s">
        <v>36</v>
      </c>
      <c r="B14" s="39" t="s">
        <v>262</v>
      </c>
      <c r="C14" s="40" t="s">
        <v>43</v>
      </c>
      <c r="D14" s="41">
        <v>3500</v>
      </c>
      <c r="E14" s="42"/>
      <c r="F14" s="42"/>
      <c r="G14" s="42">
        <v>1.18</v>
      </c>
      <c r="H14" s="42">
        <v>0</v>
      </c>
      <c r="I14" s="42">
        <v>6.45</v>
      </c>
      <c r="J14" s="42">
        <v>6.45</v>
      </c>
      <c r="K14" s="42">
        <v>0</v>
      </c>
      <c r="L14" s="42">
        <v>0</v>
      </c>
      <c r="M14" s="42">
        <v>0</v>
      </c>
      <c r="N14" s="42">
        <v>0</v>
      </c>
      <c r="O14" s="42">
        <v>1.18</v>
      </c>
      <c r="P14" s="42">
        <v>0</v>
      </c>
      <c r="Q14" s="42">
        <v>1.58</v>
      </c>
      <c r="R14" s="43" t="str">
        <f t="shared" si="8"/>
        <v>SI</v>
      </c>
      <c r="S14" s="43" t="str">
        <f t="shared" si="9"/>
        <v>Sin Riesgo</v>
      </c>
      <c r="T14" s="13"/>
      <c r="U14" s="10" t="s">
        <v>33</v>
      </c>
      <c r="V14" s="5">
        <f>COUNTIF('2013'!A:A, "Oriente")-COUNTIFS('2013'!A:A,"Oriente",'2013'!C:C,"")</f>
        <v>36</v>
      </c>
      <c r="W14" s="6">
        <f t="shared" si="0"/>
        <v>21.301775147928996</v>
      </c>
      <c r="X14" s="5">
        <f>COUNTIFS('2013'!A:A,"Oriente",'2013'!S:S,"Sin Riesgo")</f>
        <v>23</v>
      </c>
      <c r="Y14" s="6">
        <f t="shared" si="1"/>
        <v>63.888888888888886</v>
      </c>
      <c r="Z14" s="5">
        <f>COUNTIFS('2013'!A:A,"Oriente",'2013'!S:S,"Bajo")</f>
        <v>5</v>
      </c>
      <c r="AA14" s="6">
        <f t="shared" si="2"/>
        <v>13.888888888888889</v>
      </c>
      <c r="AB14" s="5">
        <f>COUNTIFS('2013'!A:A,"Oriente",'2013'!S:S,"Medio")</f>
        <v>0</v>
      </c>
      <c r="AC14" s="6">
        <f t="shared" si="3"/>
        <v>0</v>
      </c>
      <c r="AD14" s="5">
        <f>COUNTIFS('2013'!A:A,"Oriente",'2013'!S:S,"Alto")</f>
        <v>4</v>
      </c>
      <c r="AE14" s="6">
        <f t="shared" si="4"/>
        <v>11.111111111111111</v>
      </c>
      <c r="AF14" s="5">
        <f>COUNTIFS('2013'!A:A,"Oriente",'2013'!S:S,"Inviable Sanitariamente")</f>
        <v>4</v>
      </c>
      <c r="AG14" s="6">
        <f t="shared" si="5"/>
        <v>11.111111111111111</v>
      </c>
      <c r="AH14" s="7">
        <f t="shared" si="6"/>
        <v>0</v>
      </c>
      <c r="AI14" s="6">
        <f t="shared" si="7"/>
        <v>0</v>
      </c>
    </row>
    <row r="15" spans="1:35" ht="30" customHeight="1" x14ac:dyDescent="0.2">
      <c r="A15" s="38" t="s">
        <v>44</v>
      </c>
      <c r="B15" s="39" t="s">
        <v>45</v>
      </c>
      <c r="C15" s="40" t="s">
        <v>46</v>
      </c>
      <c r="D15" s="41">
        <v>1923</v>
      </c>
      <c r="E15" s="42"/>
      <c r="F15" s="42"/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3" t="str">
        <f t="shared" si="8"/>
        <v>SI</v>
      </c>
      <c r="S15" s="43" t="str">
        <f t="shared" si="9"/>
        <v>Sin Riesgo</v>
      </c>
      <c r="T15" s="13"/>
      <c r="U15" s="14" t="s">
        <v>47</v>
      </c>
      <c r="V15" s="15">
        <f>SUM(V6:V14)</f>
        <v>169</v>
      </c>
      <c r="W15" s="16">
        <f t="shared" si="0"/>
        <v>100</v>
      </c>
      <c r="X15" s="15">
        <f>SUM(X6:X14)</f>
        <v>115</v>
      </c>
      <c r="Y15" s="16">
        <f t="shared" si="1"/>
        <v>68.047337278106511</v>
      </c>
      <c r="Z15" s="15">
        <f>SUM(Z6:Z14)</f>
        <v>29</v>
      </c>
      <c r="AA15" s="16">
        <f t="shared" si="2"/>
        <v>17.159763313609467</v>
      </c>
      <c r="AB15" s="15">
        <f>SUM(AB6:AB14)</f>
        <v>2</v>
      </c>
      <c r="AC15" s="16">
        <f t="shared" si="3"/>
        <v>1.1834319526627219</v>
      </c>
      <c r="AD15" s="15">
        <f>SUM(AD6:AD14)</f>
        <v>8</v>
      </c>
      <c r="AE15" s="16">
        <f t="shared" si="4"/>
        <v>4.7337278106508878</v>
      </c>
      <c r="AF15" s="15">
        <f>SUM(AF6:AF14)</f>
        <v>15</v>
      </c>
      <c r="AG15" s="16">
        <f t="shared" si="5"/>
        <v>8.8757396449704142</v>
      </c>
      <c r="AH15" s="15">
        <f t="shared" si="6"/>
        <v>0</v>
      </c>
      <c r="AI15" s="16">
        <f t="shared" si="7"/>
        <v>0</v>
      </c>
    </row>
    <row r="16" spans="1:35" ht="30" customHeight="1" x14ac:dyDescent="0.2">
      <c r="A16" s="38" t="s">
        <v>44</v>
      </c>
      <c r="B16" s="39" t="s">
        <v>45</v>
      </c>
      <c r="C16" s="40" t="s">
        <v>48</v>
      </c>
      <c r="D16" s="41">
        <v>824</v>
      </c>
      <c r="E16" s="42"/>
      <c r="F16" s="42"/>
      <c r="G16" s="42">
        <v>0</v>
      </c>
      <c r="H16" s="42">
        <v>0</v>
      </c>
      <c r="I16" s="42">
        <v>8.85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9.68</v>
      </c>
      <c r="Q16" s="42">
        <v>1.64</v>
      </c>
      <c r="R16" s="43" t="str">
        <f t="shared" si="8"/>
        <v>SI</v>
      </c>
      <c r="S16" s="43" t="str">
        <f t="shared" si="9"/>
        <v>Sin Riesgo</v>
      </c>
      <c r="T16" s="13"/>
      <c r="U16" s="13"/>
      <c r="V16" s="13"/>
      <c r="W16" s="13"/>
      <c r="X16" s="17"/>
      <c r="Y16" s="17"/>
      <c r="Z16" s="17"/>
    </row>
    <row r="17" spans="1:26" ht="30" customHeight="1" x14ac:dyDescent="0.2">
      <c r="A17" s="38" t="s">
        <v>36</v>
      </c>
      <c r="B17" s="39" t="s">
        <v>49</v>
      </c>
      <c r="C17" s="40" t="s">
        <v>50</v>
      </c>
      <c r="D17" s="41">
        <v>4700</v>
      </c>
      <c r="E17" s="42"/>
      <c r="F17" s="42"/>
      <c r="G17" s="42">
        <v>1.43</v>
      </c>
      <c r="H17" s="42">
        <v>12.9</v>
      </c>
      <c r="I17" s="42">
        <v>5.89</v>
      </c>
      <c r="J17" s="42">
        <v>0</v>
      </c>
      <c r="K17" s="42">
        <v>0</v>
      </c>
      <c r="L17" s="42">
        <v>5.88</v>
      </c>
      <c r="M17" s="42">
        <v>9.0299999999999994</v>
      </c>
      <c r="N17" s="42">
        <v>0</v>
      </c>
      <c r="O17" s="42">
        <v>1.18</v>
      </c>
      <c r="P17" s="42">
        <v>3.87</v>
      </c>
      <c r="Q17" s="42">
        <v>4.0199999999999996</v>
      </c>
      <c r="R17" s="43" t="str">
        <f t="shared" si="8"/>
        <v>SI</v>
      </c>
      <c r="S17" s="43" t="str">
        <f t="shared" si="9"/>
        <v>Sin Riesgo</v>
      </c>
      <c r="T17" s="13"/>
      <c r="U17" s="13"/>
      <c r="V17" s="13"/>
      <c r="W17" s="13"/>
      <c r="X17" s="17"/>
      <c r="Y17" s="17"/>
      <c r="Z17" s="17"/>
    </row>
    <row r="18" spans="1:26" ht="30" customHeight="1" x14ac:dyDescent="0.2">
      <c r="A18" s="38" t="s">
        <v>36</v>
      </c>
      <c r="B18" s="39" t="s">
        <v>263</v>
      </c>
      <c r="C18" s="40" t="s">
        <v>51</v>
      </c>
      <c r="D18" s="41">
        <v>800</v>
      </c>
      <c r="E18" s="42"/>
      <c r="F18" s="42"/>
      <c r="G18" s="42">
        <v>23.6</v>
      </c>
      <c r="H18" s="42">
        <v>0</v>
      </c>
      <c r="I18" s="42">
        <v>15.3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4.49</v>
      </c>
      <c r="R18" s="43" t="str">
        <f t="shared" si="8"/>
        <v>SI</v>
      </c>
      <c r="S18" s="43" t="str">
        <f t="shared" si="9"/>
        <v>Sin Riesgo</v>
      </c>
      <c r="T18" s="13"/>
      <c r="U18" s="13"/>
      <c r="V18" s="13"/>
      <c r="W18" s="13"/>
      <c r="X18" s="17"/>
      <c r="Y18" s="17"/>
      <c r="Z18" s="17"/>
    </row>
    <row r="19" spans="1:26" ht="30" customHeight="1" x14ac:dyDescent="0.2">
      <c r="A19" s="38" t="s">
        <v>36</v>
      </c>
      <c r="B19" s="39" t="s">
        <v>264</v>
      </c>
      <c r="C19" s="40" t="s">
        <v>52</v>
      </c>
      <c r="D19" s="41">
        <v>703</v>
      </c>
      <c r="E19" s="42"/>
      <c r="F19" s="42"/>
      <c r="G19" s="42">
        <v>0</v>
      </c>
      <c r="H19" s="42">
        <v>0</v>
      </c>
      <c r="I19" s="42">
        <v>8.24</v>
      </c>
      <c r="J19" s="42">
        <v>0</v>
      </c>
      <c r="K19" s="42">
        <v>0</v>
      </c>
      <c r="L19" s="42">
        <v>8.24</v>
      </c>
      <c r="M19" s="42">
        <v>0</v>
      </c>
      <c r="N19" s="42">
        <v>0</v>
      </c>
      <c r="O19" s="42">
        <v>14.56</v>
      </c>
      <c r="P19" s="42">
        <v>0</v>
      </c>
      <c r="Q19" s="42">
        <v>3.02</v>
      </c>
      <c r="R19" s="43" t="str">
        <f t="shared" si="8"/>
        <v>SI</v>
      </c>
      <c r="S19" s="43" t="str">
        <f t="shared" si="9"/>
        <v>Sin Riesgo</v>
      </c>
      <c r="T19" s="18"/>
      <c r="U19" s="18"/>
      <c r="V19" s="18"/>
      <c r="W19" s="18"/>
      <c r="X19" s="17"/>
      <c r="Y19" s="17"/>
      <c r="Z19" s="17"/>
    </row>
    <row r="20" spans="1:26" ht="30" customHeight="1" x14ac:dyDescent="0.2">
      <c r="A20" s="38" t="s">
        <v>19</v>
      </c>
      <c r="B20" s="39" t="s">
        <v>53</v>
      </c>
      <c r="C20" s="40" t="s">
        <v>54</v>
      </c>
      <c r="D20" s="41">
        <v>1089</v>
      </c>
      <c r="E20" s="42"/>
      <c r="F20" s="42"/>
      <c r="G20" s="42">
        <v>8.85</v>
      </c>
      <c r="H20" s="42">
        <v>13.28</v>
      </c>
      <c r="I20" s="42"/>
      <c r="J20" s="42">
        <v>0</v>
      </c>
      <c r="K20" s="42">
        <v>0</v>
      </c>
      <c r="L20" s="42"/>
      <c r="M20" s="42">
        <v>0</v>
      </c>
      <c r="N20" s="42">
        <v>0</v>
      </c>
      <c r="O20" s="42">
        <v>8.85</v>
      </c>
      <c r="P20" s="42">
        <v>3.87</v>
      </c>
      <c r="Q20" s="42">
        <v>4.5999999999999996</v>
      </c>
      <c r="R20" s="43" t="str">
        <f t="shared" si="8"/>
        <v>SI</v>
      </c>
      <c r="S20" s="43" t="str">
        <f t="shared" si="9"/>
        <v>Sin Riesgo</v>
      </c>
      <c r="T20" s="18"/>
      <c r="U20" s="18"/>
      <c r="V20" s="18"/>
      <c r="W20" s="18"/>
      <c r="X20" s="17"/>
      <c r="Y20" s="17"/>
      <c r="Z20" s="17"/>
    </row>
    <row r="21" spans="1:26" ht="30" customHeight="1" x14ac:dyDescent="0.2">
      <c r="A21" s="38" t="s">
        <v>44</v>
      </c>
      <c r="B21" s="39" t="s">
        <v>55</v>
      </c>
      <c r="C21" s="40" t="s">
        <v>241</v>
      </c>
      <c r="D21" s="41">
        <v>413</v>
      </c>
      <c r="E21" s="42"/>
      <c r="F21" s="42"/>
      <c r="G21" s="42">
        <v>0</v>
      </c>
      <c r="H21" s="42">
        <v>6.45</v>
      </c>
      <c r="I21" s="42">
        <v>0</v>
      </c>
      <c r="J21" s="42">
        <v>0</v>
      </c>
      <c r="K21" s="42">
        <v>0</v>
      </c>
      <c r="L21" s="42">
        <v>8.85</v>
      </c>
      <c r="M21" s="42">
        <v>0</v>
      </c>
      <c r="N21" s="42">
        <v>0</v>
      </c>
      <c r="O21" s="42">
        <v>0</v>
      </c>
      <c r="P21" s="42">
        <v>0</v>
      </c>
      <c r="Q21" s="42">
        <v>1.64</v>
      </c>
      <c r="R21" s="43" t="str">
        <f t="shared" si="8"/>
        <v>SI</v>
      </c>
      <c r="S21" s="43" t="str">
        <f t="shared" si="9"/>
        <v>Sin Riesgo</v>
      </c>
      <c r="T21" s="18"/>
      <c r="U21" s="18"/>
      <c r="V21" s="18"/>
      <c r="W21" s="18"/>
      <c r="X21" s="19"/>
      <c r="Y21" s="19"/>
      <c r="Z21" s="19"/>
    </row>
    <row r="22" spans="1:26" ht="30" customHeight="1" x14ac:dyDescent="0.2">
      <c r="A22" s="38" t="s">
        <v>32</v>
      </c>
      <c r="B22" s="39" t="s">
        <v>265</v>
      </c>
      <c r="C22" s="40" t="s">
        <v>56</v>
      </c>
      <c r="D22" s="41">
        <v>20161</v>
      </c>
      <c r="E22" s="42"/>
      <c r="F22" s="42"/>
      <c r="G22" s="42">
        <v>2.95</v>
      </c>
      <c r="H22" s="42">
        <v>16.600000000000001</v>
      </c>
      <c r="I22" s="42">
        <v>14.16</v>
      </c>
      <c r="J22" s="42">
        <v>0</v>
      </c>
      <c r="K22" s="42">
        <v>0</v>
      </c>
      <c r="L22" s="42">
        <v>0</v>
      </c>
      <c r="M22" s="42">
        <v>2.66</v>
      </c>
      <c r="N22" s="42">
        <v>0.37</v>
      </c>
      <c r="O22" s="42">
        <v>0</v>
      </c>
      <c r="P22" s="42">
        <v>3.87</v>
      </c>
      <c r="Q22" s="42">
        <v>4.7</v>
      </c>
      <c r="R22" s="43" t="str">
        <f t="shared" si="8"/>
        <v>SI</v>
      </c>
      <c r="S22" s="43" t="str">
        <f t="shared" si="9"/>
        <v>Sin Riesgo</v>
      </c>
      <c r="T22" s="18"/>
      <c r="U22" s="18"/>
      <c r="V22" s="18"/>
      <c r="W22" s="18"/>
      <c r="X22" s="17"/>
      <c r="Y22" s="17"/>
      <c r="Z22" s="17"/>
    </row>
    <row r="23" spans="1:26" ht="30" customHeight="1" x14ac:dyDescent="0.2">
      <c r="A23" s="38" t="s">
        <v>12</v>
      </c>
      <c r="B23" s="39" t="s">
        <v>266</v>
      </c>
      <c r="C23" s="40" t="s">
        <v>54</v>
      </c>
      <c r="D23" s="41">
        <v>2143</v>
      </c>
      <c r="E23" s="42"/>
      <c r="F23" s="42"/>
      <c r="G23" s="42">
        <v>32.450000000000003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3.36</v>
      </c>
      <c r="R23" s="43" t="str">
        <f t="shared" si="8"/>
        <v>SI</v>
      </c>
      <c r="S23" s="43" t="str">
        <f t="shared" si="9"/>
        <v>Sin Riesgo</v>
      </c>
      <c r="T23" s="18"/>
      <c r="U23" s="18"/>
      <c r="V23" s="18"/>
      <c r="W23" s="18"/>
      <c r="X23" s="17"/>
      <c r="Y23" s="17"/>
      <c r="Z23" s="17"/>
    </row>
    <row r="24" spans="1:26" ht="30" customHeight="1" x14ac:dyDescent="0.2">
      <c r="A24" s="38" t="s">
        <v>12</v>
      </c>
      <c r="B24" s="39" t="s">
        <v>266</v>
      </c>
      <c r="C24" s="40" t="s">
        <v>57</v>
      </c>
      <c r="D24" s="41">
        <v>904</v>
      </c>
      <c r="E24" s="42"/>
      <c r="F24" s="42"/>
      <c r="G24" s="42">
        <v>98.47</v>
      </c>
      <c r="H24" s="42">
        <v>88.55</v>
      </c>
      <c r="I24" s="42">
        <v>32.450000000000003</v>
      </c>
      <c r="J24" s="42">
        <v>32.51</v>
      </c>
      <c r="K24" s="42">
        <v>6.45</v>
      </c>
      <c r="L24" s="42"/>
      <c r="M24" s="42">
        <v>63.79</v>
      </c>
      <c r="N24" s="42">
        <v>88.55</v>
      </c>
      <c r="O24" s="42">
        <v>97.59</v>
      </c>
      <c r="P24" s="42">
        <v>84.16</v>
      </c>
      <c r="Q24" s="42">
        <v>65.13</v>
      </c>
      <c r="R24" s="43" t="str">
        <f t="shared" si="8"/>
        <v>NO</v>
      </c>
      <c r="S24" s="43" t="str">
        <f t="shared" si="9"/>
        <v>Alto</v>
      </c>
      <c r="T24" s="18"/>
      <c r="U24" s="18"/>
      <c r="V24" s="18"/>
      <c r="W24" s="18"/>
    </row>
    <row r="25" spans="1:26" ht="30" customHeight="1" x14ac:dyDescent="0.2">
      <c r="A25" s="38" t="s">
        <v>12</v>
      </c>
      <c r="B25" s="39" t="s">
        <v>266</v>
      </c>
      <c r="C25" s="40" t="s">
        <v>58</v>
      </c>
      <c r="D25" s="41"/>
      <c r="E25" s="42"/>
      <c r="F25" s="42"/>
      <c r="G25" s="42">
        <v>97.59</v>
      </c>
      <c r="H25" s="42">
        <v>88.56</v>
      </c>
      <c r="I25" s="42">
        <v>77.8</v>
      </c>
      <c r="J25" s="42">
        <v>88.56</v>
      </c>
      <c r="K25" s="42">
        <v>73.81</v>
      </c>
      <c r="L25" s="42"/>
      <c r="M25" s="42">
        <v>87.39</v>
      </c>
      <c r="N25" s="42">
        <v>88.55</v>
      </c>
      <c r="O25" s="42">
        <v>97.59</v>
      </c>
      <c r="P25" s="42">
        <v>84.16</v>
      </c>
      <c r="Q25" s="42">
        <v>87.22</v>
      </c>
      <c r="R25" s="43" t="str">
        <f t="shared" si="8"/>
        <v>NO</v>
      </c>
      <c r="S25" s="43" t="str">
        <f t="shared" si="9"/>
        <v>Inviable Sanitariamente</v>
      </c>
      <c r="T25" s="18"/>
      <c r="U25" s="18"/>
      <c r="V25" s="18"/>
      <c r="W25" s="18"/>
    </row>
    <row r="26" spans="1:26" ht="30" customHeight="1" x14ac:dyDescent="0.2">
      <c r="A26" s="38" t="s">
        <v>33</v>
      </c>
      <c r="B26" s="39" t="s">
        <v>267</v>
      </c>
      <c r="C26" s="40" t="s">
        <v>242</v>
      </c>
      <c r="D26" s="41"/>
      <c r="E26" s="42"/>
      <c r="F26" s="42"/>
      <c r="G26" s="42">
        <v>95.01</v>
      </c>
      <c r="H26" s="42">
        <v>97.59</v>
      </c>
      <c r="I26" s="42">
        <v>95.01</v>
      </c>
      <c r="J26" s="42">
        <v>88.56</v>
      </c>
      <c r="K26" s="42">
        <v>73.81</v>
      </c>
      <c r="L26" s="42"/>
      <c r="M26" s="42">
        <v>87.39</v>
      </c>
      <c r="N26" s="42">
        <v>88.55</v>
      </c>
      <c r="O26" s="42">
        <v>97.59</v>
      </c>
      <c r="P26" s="42">
        <v>85.13</v>
      </c>
      <c r="Q26" s="42">
        <v>90.03</v>
      </c>
      <c r="R26" s="43" t="str">
        <f t="shared" si="8"/>
        <v>NO</v>
      </c>
      <c r="S26" s="43" t="str">
        <f t="shared" si="9"/>
        <v>Inviable Sanitariamente</v>
      </c>
      <c r="T26" s="18"/>
      <c r="U26" s="18"/>
      <c r="V26" s="18"/>
      <c r="W26" s="18"/>
    </row>
    <row r="27" spans="1:26" ht="30" customHeight="1" x14ac:dyDescent="0.2">
      <c r="A27" s="38" t="s">
        <v>33</v>
      </c>
      <c r="B27" s="39" t="s">
        <v>267</v>
      </c>
      <c r="C27" s="40" t="s">
        <v>243</v>
      </c>
      <c r="D27" s="41"/>
      <c r="E27" s="42"/>
      <c r="F27" s="42"/>
      <c r="G27" s="42">
        <v>84.16</v>
      </c>
      <c r="H27" s="42">
        <v>95.01</v>
      </c>
      <c r="I27" s="42">
        <v>88.56</v>
      </c>
      <c r="J27" s="42">
        <v>88.56</v>
      </c>
      <c r="K27" s="42">
        <v>88.56</v>
      </c>
      <c r="L27" s="42"/>
      <c r="M27" s="42">
        <v>87.39</v>
      </c>
      <c r="N27" s="42">
        <v>84.15</v>
      </c>
      <c r="O27" s="42">
        <v>97.59</v>
      </c>
      <c r="P27" s="42">
        <v>84.16</v>
      </c>
      <c r="Q27" s="42">
        <v>89.25</v>
      </c>
      <c r="R27" s="43" t="str">
        <f t="shared" si="8"/>
        <v>NO</v>
      </c>
      <c r="S27" s="43" t="str">
        <f t="shared" si="9"/>
        <v>Inviable Sanitariamente</v>
      </c>
      <c r="T27" s="18"/>
      <c r="U27" s="18"/>
      <c r="V27" s="18"/>
      <c r="W27" s="18"/>
    </row>
    <row r="28" spans="1:26" ht="30" customHeight="1" x14ac:dyDescent="0.2">
      <c r="A28" s="38" t="s">
        <v>33</v>
      </c>
      <c r="B28" s="39" t="s">
        <v>267</v>
      </c>
      <c r="C28" s="40" t="s">
        <v>59</v>
      </c>
      <c r="D28" s="41"/>
      <c r="E28" s="42"/>
      <c r="F28" s="42"/>
      <c r="G28" s="42">
        <v>97.59</v>
      </c>
      <c r="H28" s="42">
        <v>88.56</v>
      </c>
      <c r="I28" s="42">
        <v>77.8</v>
      </c>
      <c r="J28" s="42">
        <v>64.959999999999994</v>
      </c>
      <c r="K28" s="42">
        <v>88.56</v>
      </c>
      <c r="L28" s="42"/>
      <c r="M28" s="42">
        <v>87.39</v>
      </c>
      <c r="N28" s="42">
        <v>88.55</v>
      </c>
      <c r="O28" s="42">
        <v>97.59</v>
      </c>
      <c r="P28" s="42">
        <v>84.16</v>
      </c>
      <c r="Q28" s="42">
        <v>86.2</v>
      </c>
      <c r="R28" s="43" t="str">
        <f t="shared" si="8"/>
        <v>NO</v>
      </c>
      <c r="S28" s="43" t="str">
        <f t="shared" si="9"/>
        <v>Inviable Sanitariamente</v>
      </c>
      <c r="T28" s="18"/>
      <c r="U28" s="18"/>
      <c r="V28" s="18"/>
      <c r="W28" s="18"/>
    </row>
    <row r="29" spans="1:26" ht="30" customHeight="1" x14ac:dyDescent="0.2">
      <c r="A29" s="38" t="s">
        <v>33</v>
      </c>
      <c r="B29" s="39" t="s">
        <v>267</v>
      </c>
      <c r="C29" s="40" t="s">
        <v>244</v>
      </c>
      <c r="D29" s="41"/>
      <c r="E29" s="42"/>
      <c r="F29" s="42"/>
      <c r="G29" s="42">
        <v>91.14</v>
      </c>
      <c r="H29" s="42">
        <v>95.01</v>
      </c>
      <c r="I29" s="42">
        <v>95.01</v>
      </c>
      <c r="J29" s="42">
        <v>73.81</v>
      </c>
      <c r="K29" s="42">
        <v>88.56</v>
      </c>
      <c r="L29" s="42"/>
      <c r="M29" s="42">
        <v>87.39</v>
      </c>
      <c r="N29" s="42">
        <v>88.55</v>
      </c>
      <c r="O29" s="42">
        <v>97.59</v>
      </c>
      <c r="P29" s="42">
        <v>85.49</v>
      </c>
      <c r="Q29" s="42">
        <v>89.31</v>
      </c>
      <c r="R29" s="43" t="str">
        <f t="shared" si="8"/>
        <v>NO</v>
      </c>
      <c r="S29" s="43" t="str">
        <f t="shared" si="9"/>
        <v>Inviable Sanitariamente</v>
      </c>
      <c r="T29" s="18"/>
      <c r="U29" s="18"/>
      <c r="V29" s="18"/>
      <c r="W29" s="18"/>
    </row>
    <row r="30" spans="1:26" ht="30" customHeight="1" x14ac:dyDescent="0.2">
      <c r="A30" s="38" t="s">
        <v>32</v>
      </c>
      <c r="B30" s="39" t="s">
        <v>60</v>
      </c>
      <c r="C30" s="40" t="s">
        <v>61</v>
      </c>
      <c r="D30" s="41">
        <v>563</v>
      </c>
      <c r="E30" s="42"/>
      <c r="F30" s="42"/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3" t="str">
        <f t="shared" si="8"/>
        <v>SI</v>
      </c>
      <c r="S30" s="43" t="str">
        <f t="shared" si="9"/>
        <v>Sin Riesgo</v>
      </c>
      <c r="T30" s="18"/>
      <c r="U30" s="18"/>
      <c r="V30" s="18"/>
      <c r="W30" s="18"/>
    </row>
    <row r="31" spans="1:26" ht="30" customHeight="1" x14ac:dyDescent="0.2">
      <c r="A31" s="38" t="s">
        <v>11</v>
      </c>
      <c r="B31" s="39" t="s">
        <v>62</v>
      </c>
      <c r="C31" s="40" t="s">
        <v>63</v>
      </c>
      <c r="D31" s="41">
        <v>4546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>
        <v>0</v>
      </c>
      <c r="Q31" s="42">
        <v>0</v>
      </c>
      <c r="R31" s="43" t="str">
        <f t="shared" si="8"/>
        <v>SI</v>
      </c>
      <c r="S31" s="43" t="str">
        <f t="shared" si="9"/>
        <v>Sin Riesgo</v>
      </c>
      <c r="T31" s="18"/>
      <c r="U31" s="18"/>
      <c r="V31" s="18"/>
      <c r="W31" s="18"/>
    </row>
    <row r="32" spans="1:26" ht="30" customHeight="1" x14ac:dyDescent="0.2">
      <c r="A32" s="38" t="s">
        <v>11</v>
      </c>
      <c r="B32" s="39" t="s">
        <v>64</v>
      </c>
      <c r="C32" s="40" t="s">
        <v>63</v>
      </c>
      <c r="D32" s="41">
        <v>104060</v>
      </c>
      <c r="E32" s="42"/>
      <c r="F32" s="42"/>
      <c r="G32" s="42"/>
      <c r="H32" s="42"/>
      <c r="I32" s="42">
        <v>0</v>
      </c>
      <c r="J32" s="42">
        <v>0</v>
      </c>
      <c r="K32" s="42">
        <v>0</v>
      </c>
      <c r="L32" s="42">
        <v>1.1200000000000001</v>
      </c>
      <c r="M32" s="42">
        <v>0</v>
      </c>
      <c r="N32" s="42">
        <v>0</v>
      </c>
      <c r="O32" s="42">
        <v>0</v>
      </c>
      <c r="P32" s="42">
        <v>2.27</v>
      </c>
      <c r="Q32" s="42">
        <v>0.45</v>
      </c>
      <c r="R32" s="43" t="str">
        <f t="shared" si="8"/>
        <v>SI</v>
      </c>
      <c r="S32" s="43" t="str">
        <f t="shared" si="9"/>
        <v>Sin Riesgo</v>
      </c>
      <c r="T32" s="18"/>
      <c r="U32" s="18"/>
      <c r="V32" s="18"/>
      <c r="W32" s="18"/>
    </row>
    <row r="33" spans="1:23" ht="30" customHeight="1" x14ac:dyDescent="0.2">
      <c r="A33" s="38" t="s">
        <v>19</v>
      </c>
      <c r="B33" s="39" t="s">
        <v>65</v>
      </c>
      <c r="C33" s="40" t="s">
        <v>66</v>
      </c>
      <c r="D33" s="41">
        <v>429</v>
      </c>
      <c r="E33" s="42"/>
      <c r="F33" s="42"/>
      <c r="G33" s="42">
        <v>9.0299999999999994</v>
      </c>
      <c r="H33" s="42">
        <v>15.3</v>
      </c>
      <c r="I33" s="42">
        <v>1.18</v>
      </c>
      <c r="J33" s="42">
        <v>2.58</v>
      </c>
      <c r="K33" s="42">
        <v>14.72</v>
      </c>
      <c r="L33" s="42">
        <v>0</v>
      </c>
      <c r="M33" s="42">
        <v>0</v>
      </c>
      <c r="N33" s="42">
        <v>0</v>
      </c>
      <c r="O33" s="42">
        <v>2.35</v>
      </c>
      <c r="P33" s="42">
        <v>0</v>
      </c>
      <c r="Q33" s="42">
        <v>4.67</v>
      </c>
      <c r="R33" s="43" t="str">
        <f t="shared" si="8"/>
        <v>SI</v>
      </c>
      <c r="S33" s="43" t="str">
        <f t="shared" si="9"/>
        <v>Sin Riesgo</v>
      </c>
      <c r="T33" s="18"/>
      <c r="U33" s="18"/>
      <c r="V33" s="18"/>
      <c r="W33" s="18"/>
    </row>
    <row r="34" spans="1:23" ht="30" customHeight="1" x14ac:dyDescent="0.2">
      <c r="A34" s="38" t="s">
        <v>36</v>
      </c>
      <c r="B34" s="39" t="s">
        <v>67</v>
      </c>
      <c r="C34" s="40" t="s">
        <v>68</v>
      </c>
      <c r="D34" s="41">
        <v>1070</v>
      </c>
      <c r="E34" s="42"/>
      <c r="F34" s="42"/>
      <c r="G34" s="42">
        <v>0</v>
      </c>
      <c r="H34" s="42">
        <v>26.24</v>
      </c>
      <c r="I34" s="42">
        <v>84.16</v>
      </c>
      <c r="J34" s="42">
        <v>32.450000000000003</v>
      </c>
      <c r="K34" s="42">
        <v>0</v>
      </c>
      <c r="L34" s="42">
        <v>0</v>
      </c>
      <c r="M34" s="42">
        <v>0</v>
      </c>
      <c r="N34" s="42">
        <v>0</v>
      </c>
      <c r="O34" s="42">
        <v>3.46</v>
      </c>
      <c r="P34" s="42">
        <v>0</v>
      </c>
      <c r="Q34" s="42">
        <v>12.67</v>
      </c>
      <c r="R34" s="43" t="str">
        <f t="shared" si="8"/>
        <v>NO</v>
      </c>
      <c r="S34" s="43" t="str">
        <f t="shared" si="9"/>
        <v>Bajo</v>
      </c>
      <c r="T34" s="18"/>
      <c r="U34" s="18"/>
      <c r="V34" s="18"/>
      <c r="W34" s="18"/>
    </row>
    <row r="35" spans="1:23" ht="30" customHeight="1" x14ac:dyDescent="0.2">
      <c r="A35" s="38" t="s">
        <v>36</v>
      </c>
      <c r="B35" s="39" t="s">
        <v>69</v>
      </c>
      <c r="C35" s="40" t="s">
        <v>70</v>
      </c>
      <c r="D35" s="41">
        <v>1314</v>
      </c>
      <c r="E35" s="42"/>
      <c r="F35" s="42"/>
      <c r="G35" s="42">
        <v>0</v>
      </c>
      <c r="H35" s="42">
        <v>9.68</v>
      </c>
      <c r="I35" s="42">
        <v>0</v>
      </c>
      <c r="J35" s="42">
        <v>8.85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1.77</v>
      </c>
      <c r="R35" s="43" t="str">
        <f t="shared" si="8"/>
        <v>SI</v>
      </c>
      <c r="S35" s="43" t="str">
        <f t="shared" si="9"/>
        <v>Sin Riesgo</v>
      </c>
      <c r="T35" s="18"/>
      <c r="U35" s="18"/>
      <c r="V35" s="18"/>
      <c r="W35" s="18"/>
    </row>
    <row r="36" spans="1:23" ht="30" customHeight="1" x14ac:dyDescent="0.2">
      <c r="A36" s="38" t="s">
        <v>19</v>
      </c>
      <c r="B36" s="39" t="s">
        <v>71</v>
      </c>
      <c r="C36" s="40" t="s">
        <v>72</v>
      </c>
      <c r="D36" s="41">
        <v>559</v>
      </c>
      <c r="E36" s="42"/>
      <c r="F36" s="42"/>
      <c r="G36" s="42">
        <v>15.3</v>
      </c>
      <c r="H36" s="42">
        <v>25.03</v>
      </c>
      <c r="I36" s="42">
        <v>0</v>
      </c>
      <c r="J36" s="42">
        <v>0</v>
      </c>
      <c r="K36" s="42">
        <v>32.450000000000003</v>
      </c>
      <c r="L36" s="42">
        <v>0</v>
      </c>
      <c r="M36" s="42">
        <v>15.3</v>
      </c>
      <c r="N36" s="42">
        <v>0</v>
      </c>
      <c r="O36" s="42">
        <v>0</v>
      </c>
      <c r="P36" s="42">
        <v>0</v>
      </c>
      <c r="Q36" s="42">
        <v>9.7899999999999991</v>
      </c>
      <c r="R36" s="43" t="str">
        <f t="shared" si="8"/>
        <v>NO</v>
      </c>
      <c r="S36" s="43" t="str">
        <f t="shared" si="9"/>
        <v>Bajo</v>
      </c>
      <c r="T36" s="18"/>
      <c r="U36" s="18"/>
      <c r="V36" s="18"/>
      <c r="W36" s="18"/>
    </row>
    <row r="37" spans="1:23" ht="30" customHeight="1" x14ac:dyDescent="0.2">
      <c r="A37" s="38" t="s">
        <v>32</v>
      </c>
      <c r="B37" s="39" t="s">
        <v>268</v>
      </c>
      <c r="C37" s="40" t="s">
        <v>73</v>
      </c>
      <c r="D37" s="41">
        <v>318</v>
      </c>
      <c r="E37" s="42"/>
      <c r="F37" s="42"/>
      <c r="G37" s="42">
        <v>0</v>
      </c>
      <c r="H37" s="42">
        <v>0</v>
      </c>
      <c r="I37" s="42">
        <v>0</v>
      </c>
      <c r="J37" s="42">
        <v>8.85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1.02</v>
      </c>
      <c r="R37" s="43" t="str">
        <f t="shared" si="8"/>
        <v>SI</v>
      </c>
      <c r="S37" s="43" t="str">
        <f t="shared" si="9"/>
        <v>Sin Riesgo</v>
      </c>
      <c r="T37" s="18"/>
      <c r="U37" s="18"/>
      <c r="V37" s="18"/>
      <c r="W37" s="18"/>
    </row>
    <row r="38" spans="1:23" ht="30" customHeight="1" x14ac:dyDescent="0.2">
      <c r="A38" s="38" t="s">
        <v>38</v>
      </c>
      <c r="B38" s="39" t="s">
        <v>269</v>
      </c>
      <c r="C38" s="40" t="s">
        <v>74</v>
      </c>
      <c r="D38" s="41">
        <v>54</v>
      </c>
      <c r="E38" s="42"/>
      <c r="F38" s="42"/>
      <c r="G38" s="42">
        <v>26.55</v>
      </c>
      <c r="H38" s="42">
        <v>13.28</v>
      </c>
      <c r="I38" s="42">
        <v>0</v>
      </c>
      <c r="J38" s="42">
        <v>50.09</v>
      </c>
      <c r="K38" s="42">
        <v>13.28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8.56</v>
      </c>
      <c r="R38" s="43" t="str">
        <f t="shared" si="8"/>
        <v>NO</v>
      </c>
      <c r="S38" s="43" t="str">
        <f t="shared" si="9"/>
        <v>Bajo</v>
      </c>
      <c r="T38" s="18"/>
      <c r="U38" s="18"/>
      <c r="V38" s="18"/>
      <c r="W38" s="18"/>
    </row>
    <row r="39" spans="1:23" ht="30" customHeight="1" x14ac:dyDescent="0.2">
      <c r="A39" s="38" t="s">
        <v>38</v>
      </c>
      <c r="B39" s="39" t="s">
        <v>269</v>
      </c>
      <c r="C39" s="40" t="s">
        <v>75</v>
      </c>
      <c r="D39" s="41">
        <v>1304</v>
      </c>
      <c r="E39" s="42"/>
      <c r="F39" s="42"/>
      <c r="G39" s="42">
        <v>8.85</v>
      </c>
      <c r="H39" s="42">
        <v>2.58</v>
      </c>
      <c r="I39" s="42">
        <v>8.85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2.58</v>
      </c>
      <c r="P39" s="42">
        <v>0</v>
      </c>
      <c r="Q39" s="42">
        <v>2.54</v>
      </c>
      <c r="R39" s="43" t="str">
        <f t="shared" si="8"/>
        <v>SI</v>
      </c>
      <c r="S39" s="43" t="str">
        <f t="shared" si="9"/>
        <v>Sin Riesgo</v>
      </c>
      <c r="T39" s="18"/>
      <c r="U39" s="18"/>
      <c r="V39" s="18"/>
      <c r="W39" s="18"/>
    </row>
    <row r="40" spans="1:23" ht="30" customHeight="1" x14ac:dyDescent="0.2">
      <c r="A40" s="38" t="s">
        <v>32</v>
      </c>
      <c r="B40" s="39" t="s">
        <v>76</v>
      </c>
      <c r="C40" s="40" t="s">
        <v>77</v>
      </c>
      <c r="D40" s="41">
        <v>509</v>
      </c>
      <c r="E40" s="42"/>
      <c r="F40" s="42"/>
      <c r="G40" s="42"/>
      <c r="H40" s="42">
        <v>6.45</v>
      </c>
      <c r="I40" s="42">
        <v>6.45</v>
      </c>
      <c r="J40" s="42">
        <v>0</v>
      </c>
      <c r="K40" s="42">
        <v>0</v>
      </c>
      <c r="L40" s="42">
        <v>0</v>
      </c>
      <c r="M40" s="42">
        <v>8.85</v>
      </c>
      <c r="N40" s="42">
        <v>0</v>
      </c>
      <c r="O40" s="42">
        <v>0</v>
      </c>
      <c r="P40" s="42">
        <v>0</v>
      </c>
      <c r="Q40" s="42">
        <v>2.61</v>
      </c>
      <c r="R40" s="43" t="str">
        <f t="shared" si="8"/>
        <v>SI</v>
      </c>
      <c r="S40" s="43" t="str">
        <f t="shared" si="9"/>
        <v>Sin Riesgo</v>
      </c>
      <c r="T40" s="18"/>
      <c r="U40" s="18"/>
      <c r="V40" s="18"/>
      <c r="W40" s="18"/>
    </row>
    <row r="41" spans="1:23" ht="30" customHeight="1" x14ac:dyDescent="0.2">
      <c r="A41" s="38" t="s">
        <v>11</v>
      </c>
      <c r="B41" s="39" t="s">
        <v>78</v>
      </c>
      <c r="C41" s="40" t="s">
        <v>63</v>
      </c>
      <c r="D41" s="41">
        <v>11711</v>
      </c>
      <c r="E41" s="42"/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3" t="str">
        <f t="shared" si="8"/>
        <v>SI</v>
      </c>
      <c r="S41" s="43" t="str">
        <f t="shared" si="9"/>
        <v>Sin Riesgo</v>
      </c>
      <c r="T41" s="18"/>
      <c r="U41" s="18"/>
      <c r="V41" s="18"/>
      <c r="W41" s="18"/>
    </row>
    <row r="42" spans="1:23" ht="30" customHeight="1" x14ac:dyDescent="0.2">
      <c r="A42" s="38" t="s">
        <v>11</v>
      </c>
      <c r="B42" s="39" t="s">
        <v>78</v>
      </c>
      <c r="C42" s="40" t="s">
        <v>79</v>
      </c>
      <c r="D42" s="41">
        <v>202</v>
      </c>
      <c r="E42" s="42"/>
      <c r="F42" s="42">
        <v>0</v>
      </c>
      <c r="G42" s="42">
        <v>0</v>
      </c>
      <c r="H42" s="42">
        <v>0</v>
      </c>
      <c r="I42" s="42">
        <v>5.81</v>
      </c>
      <c r="J42" s="42">
        <v>0</v>
      </c>
      <c r="K42" s="42">
        <v>0</v>
      </c>
      <c r="L42" s="42">
        <v>0</v>
      </c>
      <c r="M42" s="42">
        <v>0</v>
      </c>
      <c r="N42" s="42">
        <v>6.45</v>
      </c>
      <c r="O42" s="42">
        <v>5.81</v>
      </c>
      <c r="P42" s="42">
        <v>21.32</v>
      </c>
      <c r="Q42" s="42">
        <v>3.75</v>
      </c>
      <c r="R42" s="43" t="str">
        <f t="shared" si="8"/>
        <v>SI</v>
      </c>
      <c r="S42" s="43" t="str">
        <f t="shared" si="9"/>
        <v>Sin Riesgo</v>
      </c>
      <c r="T42" s="18"/>
      <c r="U42" s="18"/>
      <c r="V42" s="18"/>
      <c r="W42" s="18"/>
    </row>
    <row r="43" spans="1:23" ht="30" customHeight="1" x14ac:dyDescent="0.2">
      <c r="A43" s="38" t="s">
        <v>11</v>
      </c>
      <c r="B43" s="39" t="s">
        <v>78</v>
      </c>
      <c r="C43" s="40" t="s">
        <v>80</v>
      </c>
      <c r="D43" s="41">
        <v>952</v>
      </c>
      <c r="E43" s="42"/>
      <c r="F43" s="42">
        <v>0</v>
      </c>
      <c r="G43" s="42">
        <v>0</v>
      </c>
      <c r="H43" s="42">
        <v>6.45</v>
      </c>
      <c r="I43" s="42">
        <v>6.45</v>
      </c>
      <c r="J43" s="42"/>
      <c r="K43" s="42">
        <v>0</v>
      </c>
      <c r="L43" s="42">
        <v>0</v>
      </c>
      <c r="M43" s="42">
        <v>0</v>
      </c>
      <c r="N43" s="42">
        <v>6.45</v>
      </c>
      <c r="O43" s="42">
        <v>0</v>
      </c>
      <c r="P43" s="42">
        <v>5.81</v>
      </c>
      <c r="Q43" s="42">
        <v>2.8</v>
      </c>
      <c r="R43" s="43" t="str">
        <f t="shared" si="8"/>
        <v>SI</v>
      </c>
      <c r="S43" s="43" t="str">
        <f t="shared" si="9"/>
        <v>Sin Riesgo</v>
      </c>
      <c r="T43" s="18"/>
      <c r="U43" s="18"/>
      <c r="V43" s="18"/>
      <c r="W43" s="18"/>
    </row>
    <row r="44" spans="1:23" ht="30" customHeight="1" x14ac:dyDescent="0.2">
      <c r="A44" s="38" t="s">
        <v>19</v>
      </c>
      <c r="B44" s="39" t="s">
        <v>81</v>
      </c>
      <c r="C44" s="40" t="s">
        <v>82</v>
      </c>
      <c r="D44" s="41">
        <v>686</v>
      </c>
      <c r="E44" s="42"/>
      <c r="F44" s="42"/>
      <c r="G44" s="42">
        <v>6.45</v>
      </c>
      <c r="H44" s="42">
        <v>11</v>
      </c>
      <c r="I44" s="42">
        <v>1.18</v>
      </c>
      <c r="J44" s="42">
        <v>9.0299999999999994</v>
      </c>
      <c r="K44" s="42">
        <v>0</v>
      </c>
      <c r="L44" s="42">
        <v>0</v>
      </c>
      <c r="M44" s="42">
        <v>9.0299999999999994</v>
      </c>
      <c r="N44" s="42">
        <v>0</v>
      </c>
      <c r="O44" s="42">
        <v>0</v>
      </c>
      <c r="P44" s="42">
        <v>0</v>
      </c>
      <c r="Q44" s="42">
        <v>3.67</v>
      </c>
      <c r="R44" s="43" t="str">
        <f t="shared" si="8"/>
        <v>SI</v>
      </c>
      <c r="S44" s="43" t="str">
        <f t="shared" si="9"/>
        <v>Sin Riesgo</v>
      </c>
      <c r="T44" s="18"/>
      <c r="U44" s="18"/>
      <c r="V44" s="18"/>
      <c r="W44" s="18"/>
    </row>
    <row r="45" spans="1:23" ht="30" customHeight="1" x14ac:dyDescent="0.2">
      <c r="A45" s="38" t="s">
        <v>32</v>
      </c>
      <c r="B45" s="39" t="s">
        <v>83</v>
      </c>
      <c r="C45" s="40" t="s">
        <v>245</v>
      </c>
      <c r="D45" s="41">
        <v>1101</v>
      </c>
      <c r="E45" s="42"/>
      <c r="F45" s="42"/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8.85</v>
      </c>
      <c r="O45" s="42">
        <v>0</v>
      </c>
      <c r="P45" s="42">
        <v>0</v>
      </c>
      <c r="Q45" s="42">
        <v>0.95</v>
      </c>
      <c r="R45" s="43" t="str">
        <f t="shared" si="8"/>
        <v>SI</v>
      </c>
      <c r="S45" s="43" t="str">
        <f t="shared" si="9"/>
        <v>Sin Riesgo</v>
      </c>
      <c r="T45" s="18"/>
      <c r="U45" s="18"/>
      <c r="V45" s="18"/>
      <c r="W45" s="18"/>
    </row>
    <row r="46" spans="1:23" ht="30" customHeight="1" x14ac:dyDescent="0.2">
      <c r="A46" s="44" t="s">
        <v>40</v>
      </c>
      <c r="B46" s="39" t="s">
        <v>84</v>
      </c>
      <c r="C46" s="40" t="s">
        <v>85</v>
      </c>
      <c r="D46" s="41">
        <v>937</v>
      </c>
      <c r="E46" s="42"/>
      <c r="F46" s="42"/>
      <c r="G46" s="42">
        <v>0</v>
      </c>
      <c r="H46" s="42">
        <v>0</v>
      </c>
      <c r="I46" s="42">
        <v>0</v>
      </c>
      <c r="J46" s="42">
        <v>0</v>
      </c>
      <c r="K46" s="42">
        <v>9.0299999999999994</v>
      </c>
      <c r="L46" s="42">
        <v>1.33</v>
      </c>
      <c r="M46" s="42">
        <v>0</v>
      </c>
      <c r="N46" s="42">
        <v>8.85</v>
      </c>
      <c r="O46" s="42">
        <v>0</v>
      </c>
      <c r="P46" s="42">
        <v>0</v>
      </c>
      <c r="Q46" s="42">
        <v>2.0099999999999998</v>
      </c>
      <c r="R46" s="43" t="str">
        <f t="shared" si="8"/>
        <v>SI</v>
      </c>
      <c r="S46" s="43" t="str">
        <f t="shared" si="9"/>
        <v>Sin Riesgo</v>
      </c>
      <c r="T46" s="18"/>
      <c r="U46" s="18"/>
      <c r="V46" s="18"/>
      <c r="W46" s="18"/>
    </row>
    <row r="47" spans="1:23" ht="30" customHeight="1" x14ac:dyDescent="0.2">
      <c r="A47" s="38" t="s">
        <v>36</v>
      </c>
      <c r="B47" s="39" t="s">
        <v>86</v>
      </c>
      <c r="C47" s="40" t="s">
        <v>87</v>
      </c>
      <c r="D47" s="41">
        <v>850</v>
      </c>
      <c r="E47" s="42"/>
      <c r="F47" s="42"/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3" t="str">
        <f t="shared" si="8"/>
        <v>SI</v>
      </c>
      <c r="S47" s="43" t="str">
        <f t="shared" si="9"/>
        <v>Sin Riesgo</v>
      </c>
      <c r="T47" s="20"/>
      <c r="U47" s="18"/>
      <c r="V47" s="18"/>
      <c r="W47" s="18"/>
    </row>
    <row r="48" spans="1:23" ht="30" customHeight="1" x14ac:dyDescent="0.2">
      <c r="A48" s="38" t="s">
        <v>12</v>
      </c>
      <c r="B48" s="39" t="s">
        <v>88</v>
      </c>
      <c r="C48" s="40" t="s">
        <v>89</v>
      </c>
      <c r="D48" s="41">
        <v>6153</v>
      </c>
      <c r="E48" s="42"/>
      <c r="F48" s="42"/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3" t="str">
        <f t="shared" si="8"/>
        <v>SI</v>
      </c>
      <c r="S48" s="43" t="str">
        <f t="shared" si="9"/>
        <v>Sin Riesgo</v>
      </c>
      <c r="T48" s="18"/>
      <c r="U48" s="18"/>
      <c r="V48" s="18"/>
      <c r="W48" s="18"/>
    </row>
    <row r="49" spans="1:23" ht="30" customHeight="1" x14ac:dyDescent="0.2">
      <c r="A49" s="38" t="s">
        <v>19</v>
      </c>
      <c r="B49" s="39" t="s">
        <v>270</v>
      </c>
      <c r="C49" s="40" t="s">
        <v>90</v>
      </c>
      <c r="D49" s="41">
        <v>828</v>
      </c>
      <c r="E49" s="42"/>
      <c r="F49" s="42"/>
      <c r="G49" s="42">
        <v>8.85</v>
      </c>
      <c r="H49" s="42">
        <v>0</v>
      </c>
      <c r="I49" s="42">
        <v>0</v>
      </c>
      <c r="J49" s="42">
        <v>9.0299999999999994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1.85</v>
      </c>
      <c r="R49" s="43" t="str">
        <f t="shared" si="8"/>
        <v>SI</v>
      </c>
      <c r="S49" s="43" t="str">
        <f t="shared" si="9"/>
        <v>Sin Riesgo</v>
      </c>
      <c r="T49" s="18"/>
      <c r="U49" s="18"/>
      <c r="V49" s="18"/>
      <c r="W49" s="18"/>
    </row>
    <row r="50" spans="1:23" ht="30" customHeight="1" x14ac:dyDescent="0.2">
      <c r="A50" s="38" t="s">
        <v>38</v>
      </c>
      <c r="B50" s="39" t="s">
        <v>271</v>
      </c>
      <c r="C50" s="40" t="s">
        <v>91</v>
      </c>
      <c r="D50" s="41">
        <v>10523</v>
      </c>
      <c r="E50" s="42"/>
      <c r="F50" s="42"/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5.31</v>
      </c>
      <c r="O50" s="42">
        <v>0</v>
      </c>
      <c r="P50" s="42">
        <v>0</v>
      </c>
      <c r="Q50" s="42">
        <v>1.41</v>
      </c>
      <c r="R50" s="43" t="str">
        <f t="shared" si="8"/>
        <v>SI</v>
      </c>
      <c r="S50" s="43" t="str">
        <f t="shared" si="9"/>
        <v>Sin Riesgo</v>
      </c>
      <c r="T50" s="18"/>
      <c r="U50" s="18"/>
      <c r="V50" s="18"/>
      <c r="W50" s="18"/>
    </row>
    <row r="51" spans="1:23" ht="30" customHeight="1" x14ac:dyDescent="0.2">
      <c r="A51" s="38" t="s">
        <v>38</v>
      </c>
      <c r="B51" s="39" t="s">
        <v>271</v>
      </c>
      <c r="C51" s="40" t="s">
        <v>92</v>
      </c>
      <c r="D51" s="41">
        <v>846</v>
      </c>
      <c r="E51" s="42"/>
      <c r="F51" s="42"/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 t="str">
        <f t="shared" si="8"/>
        <v>SI</v>
      </c>
      <c r="S51" s="43" t="str">
        <f t="shared" si="9"/>
        <v>Sin Riesgo</v>
      </c>
      <c r="T51" s="18"/>
      <c r="U51" s="18"/>
      <c r="V51" s="18"/>
      <c r="W51" s="18"/>
    </row>
    <row r="52" spans="1:23" ht="30" customHeight="1" x14ac:dyDescent="0.2">
      <c r="A52" s="38" t="s">
        <v>38</v>
      </c>
      <c r="B52" s="39" t="s">
        <v>271</v>
      </c>
      <c r="C52" s="40" t="s">
        <v>93</v>
      </c>
      <c r="D52" s="41">
        <v>804</v>
      </c>
      <c r="E52" s="42"/>
      <c r="F52" s="42"/>
      <c r="G52" s="42">
        <v>0</v>
      </c>
      <c r="H52" s="42">
        <v>0</v>
      </c>
      <c r="I52" s="42">
        <v>6.45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0.81</v>
      </c>
      <c r="R52" s="43" t="str">
        <f t="shared" si="8"/>
        <v>SI</v>
      </c>
      <c r="S52" s="43" t="str">
        <f t="shared" si="9"/>
        <v>Sin Riesgo</v>
      </c>
      <c r="T52" s="18"/>
      <c r="U52" s="18"/>
      <c r="V52" s="18"/>
      <c r="W52" s="18"/>
    </row>
    <row r="53" spans="1:23" ht="30" customHeight="1" x14ac:dyDescent="0.2">
      <c r="A53" s="38" t="s">
        <v>38</v>
      </c>
      <c r="B53" s="39" t="s">
        <v>271</v>
      </c>
      <c r="C53" s="40" t="s">
        <v>94</v>
      </c>
      <c r="D53" s="41">
        <v>1319</v>
      </c>
      <c r="E53" s="42"/>
      <c r="F53" s="42"/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 t="str">
        <f t="shared" si="8"/>
        <v>SI</v>
      </c>
      <c r="S53" s="43" t="str">
        <f t="shared" si="9"/>
        <v>Sin Riesgo</v>
      </c>
      <c r="T53" s="18"/>
      <c r="U53" s="18"/>
      <c r="V53" s="18"/>
      <c r="W53" s="18"/>
    </row>
    <row r="54" spans="1:23" ht="30" customHeight="1" x14ac:dyDescent="0.2">
      <c r="A54" s="38" t="s">
        <v>38</v>
      </c>
      <c r="B54" s="39" t="s">
        <v>271</v>
      </c>
      <c r="C54" s="40" t="s">
        <v>95</v>
      </c>
      <c r="D54" s="41">
        <v>942</v>
      </c>
      <c r="E54" s="42"/>
      <c r="F54" s="42"/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3" t="str">
        <f t="shared" si="8"/>
        <v>SI</v>
      </c>
      <c r="S54" s="43" t="str">
        <f t="shared" si="9"/>
        <v>Sin Riesgo</v>
      </c>
      <c r="T54" s="18"/>
      <c r="U54" s="18"/>
      <c r="V54" s="18"/>
      <c r="W54" s="18"/>
    </row>
    <row r="55" spans="1:23" ht="30" customHeight="1" x14ac:dyDescent="0.2">
      <c r="A55" s="38" t="s">
        <v>12</v>
      </c>
      <c r="B55" s="39" t="s">
        <v>272</v>
      </c>
      <c r="C55" s="40" t="s">
        <v>96</v>
      </c>
      <c r="D55" s="41">
        <v>7259</v>
      </c>
      <c r="E55" s="42"/>
      <c r="F55" s="42"/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0.88</v>
      </c>
      <c r="M55" s="42">
        <v>0</v>
      </c>
      <c r="N55" s="42">
        <v>0.74</v>
      </c>
      <c r="O55" s="42">
        <v>0</v>
      </c>
      <c r="P55" s="42">
        <v>0</v>
      </c>
      <c r="Q55" s="42">
        <v>0.15</v>
      </c>
      <c r="R55" s="43" t="str">
        <f t="shared" si="8"/>
        <v>SI</v>
      </c>
      <c r="S55" s="43" t="str">
        <f t="shared" si="9"/>
        <v>Sin Riesgo</v>
      </c>
      <c r="T55" s="18"/>
      <c r="U55" s="18"/>
      <c r="V55" s="18"/>
      <c r="W55" s="18"/>
    </row>
    <row r="56" spans="1:23" ht="30" customHeight="1" x14ac:dyDescent="0.2">
      <c r="A56" s="38" t="s">
        <v>44</v>
      </c>
      <c r="B56" s="39" t="s">
        <v>273</v>
      </c>
      <c r="C56" s="40" t="s">
        <v>97</v>
      </c>
      <c r="D56" s="41">
        <v>732</v>
      </c>
      <c r="E56" s="42"/>
      <c r="F56" s="42"/>
      <c r="G56" s="42">
        <v>98.06</v>
      </c>
      <c r="H56" s="42">
        <v>90.32</v>
      </c>
      <c r="I56" s="42">
        <v>70.97</v>
      </c>
      <c r="J56" s="42">
        <v>98.06</v>
      </c>
      <c r="K56" s="42">
        <v>70.97</v>
      </c>
      <c r="L56" s="42"/>
      <c r="M56" s="42">
        <v>98.06</v>
      </c>
      <c r="N56" s="42">
        <v>67.48</v>
      </c>
      <c r="O56" s="42">
        <v>78.709999999999994</v>
      </c>
      <c r="P56" s="42">
        <v>90.32</v>
      </c>
      <c r="Q56" s="42">
        <v>84.77</v>
      </c>
      <c r="R56" s="43" t="str">
        <f t="shared" si="8"/>
        <v>NO</v>
      </c>
      <c r="S56" s="43" t="str">
        <f t="shared" si="9"/>
        <v>Inviable Sanitariamente</v>
      </c>
      <c r="T56" s="18"/>
      <c r="U56" s="18"/>
      <c r="V56" s="18"/>
      <c r="W56" s="18"/>
    </row>
    <row r="57" spans="1:23" ht="30" customHeight="1" x14ac:dyDescent="0.2">
      <c r="A57" s="38" t="s">
        <v>44</v>
      </c>
      <c r="B57" s="39" t="s">
        <v>273</v>
      </c>
      <c r="C57" s="40" t="s">
        <v>98</v>
      </c>
      <c r="D57" s="41">
        <v>180</v>
      </c>
      <c r="E57" s="42"/>
      <c r="F57" s="42"/>
      <c r="G57" s="42">
        <v>70.97</v>
      </c>
      <c r="H57" s="42">
        <v>70.97</v>
      </c>
      <c r="I57" s="42">
        <v>70.97</v>
      </c>
      <c r="J57" s="42">
        <v>70.97</v>
      </c>
      <c r="K57" s="42">
        <v>70.97</v>
      </c>
      <c r="L57" s="42"/>
      <c r="M57" s="42">
        <v>70.97</v>
      </c>
      <c r="N57" s="42">
        <v>67.48</v>
      </c>
      <c r="O57" s="42">
        <v>78.709999999999994</v>
      </c>
      <c r="P57" s="42">
        <v>70.97</v>
      </c>
      <c r="Q57" s="42">
        <v>71.44</v>
      </c>
      <c r="R57" s="43" t="str">
        <f t="shared" si="8"/>
        <v>NO</v>
      </c>
      <c r="S57" s="43" t="str">
        <f t="shared" si="9"/>
        <v>Alto</v>
      </c>
      <c r="T57" s="20"/>
      <c r="U57" s="18"/>
      <c r="V57" s="18"/>
      <c r="W57" s="18"/>
    </row>
    <row r="58" spans="1:23" ht="30" customHeight="1" x14ac:dyDescent="0.2">
      <c r="A58" s="38" t="s">
        <v>44</v>
      </c>
      <c r="B58" s="39" t="s">
        <v>273</v>
      </c>
      <c r="C58" s="40" t="s">
        <v>99</v>
      </c>
      <c r="D58" s="41">
        <v>172</v>
      </c>
      <c r="E58" s="42"/>
      <c r="F58" s="42"/>
      <c r="G58" s="42">
        <v>98.08</v>
      </c>
      <c r="H58" s="42"/>
      <c r="I58" s="42">
        <v>98.06</v>
      </c>
      <c r="J58" s="42">
        <v>98.06</v>
      </c>
      <c r="K58" s="42">
        <v>98.06</v>
      </c>
      <c r="L58" s="42"/>
      <c r="M58" s="42">
        <v>98.06</v>
      </c>
      <c r="N58" s="42">
        <v>93.25</v>
      </c>
      <c r="O58" s="42">
        <v>98.06</v>
      </c>
      <c r="P58" s="42">
        <v>98.06</v>
      </c>
      <c r="Q58" s="42">
        <v>97.46</v>
      </c>
      <c r="R58" s="43" t="str">
        <f t="shared" si="8"/>
        <v>NO</v>
      </c>
      <c r="S58" s="43" t="str">
        <f t="shared" si="9"/>
        <v>Inviable Sanitariamente</v>
      </c>
      <c r="T58" s="18"/>
      <c r="U58" s="18"/>
      <c r="V58" s="18"/>
      <c r="W58" s="18"/>
    </row>
    <row r="59" spans="1:23" ht="30" customHeight="1" x14ac:dyDescent="0.2">
      <c r="A59" s="38" t="s">
        <v>44</v>
      </c>
      <c r="B59" s="39" t="s">
        <v>273</v>
      </c>
      <c r="C59" s="40" t="s">
        <v>100</v>
      </c>
      <c r="D59" s="41">
        <v>102</v>
      </c>
      <c r="E59" s="42"/>
      <c r="F59" s="42"/>
      <c r="G59" s="42">
        <v>98.06</v>
      </c>
      <c r="H59" s="42">
        <v>98.06</v>
      </c>
      <c r="I59" s="42">
        <v>65.81</v>
      </c>
      <c r="J59" s="42">
        <v>98.06</v>
      </c>
      <c r="K59" s="42">
        <v>70.97</v>
      </c>
      <c r="L59" s="42"/>
      <c r="M59" s="42">
        <v>78.709999999999994</v>
      </c>
      <c r="N59" s="42">
        <v>71.17</v>
      </c>
      <c r="O59" s="42">
        <v>98.06</v>
      </c>
      <c r="P59" s="42">
        <v>70.97</v>
      </c>
      <c r="Q59" s="42">
        <v>83.32</v>
      </c>
      <c r="R59" s="43" t="str">
        <f t="shared" si="8"/>
        <v>NO</v>
      </c>
      <c r="S59" s="43" t="str">
        <f t="shared" si="9"/>
        <v>Inviable Sanitariamente</v>
      </c>
      <c r="T59" s="18"/>
      <c r="U59" s="18"/>
      <c r="V59" s="18"/>
      <c r="W59" s="18"/>
    </row>
    <row r="60" spans="1:23" ht="30" customHeight="1" x14ac:dyDescent="0.2">
      <c r="A60" s="38" t="s">
        <v>44</v>
      </c>
      <c r="B60" s="39" t="s">
        <v>273</v>
      </c>
      <c r="C60" s="40" t="s">
        <v>101</v>
      </c>
      <c r="D60" s="41">
        <v>132</v>
      </c>
      <c r="E60" s="42"/>
      <c r="F60" s="42"/>
      <c r="G60" s="42">
        <v>98.06</v>
      </c>
      <c r="H60" s="42">
        <v>70.97</v>
      </c>
      <c r="I60" s="42">
        <v>65.81</v>
      </c>
      <c r="J60" s="42">
        <v>90.32</v>
      </c>
      <c r="K60" s="42">
        <v>78.709999999999994</v>
      </c>
      <c r="L60" s="42"/>
      <c r="M60" s="42">
        <v>78.709999999999994</v>
      </c>
      <c r="N60" s="42">
        <v>93.25</v>
      </c>
      <c r="O60" s="42">
        <v>78.709999999999994</v>
      </c>
      <c r="P60" s="42">
        <v>90.32</v>
      </c>
      <c r="Q60" s="42">
        <v>82.76</v>
      </c>
      <c r="R60" s="43" t="str">
        <f t="shared" si="8"/>
        <v>NO</v>
      </c>
      <c r="S60" s="43" t="str">
        <f t="shared" si="9"/>
        <v>Inviable Sanitariamente</v>
      </c>
      <c r="T60" s="18"/>
      <c r="U60" s="18"/>
      <c r="V60" s="18"/>
      <c r="W60" s="18"/>
    </row>
    <row r="61" spans="1:23" ht="30" customHeight="1" x14ac:dyDescent="0.2">
      <c r="A61" s="38" t="s">
        <v>44</v>
      </c>
      <c r="B61" s="39" t="s">
        <v>273</v>
      </c>
      <c r="C61" s="40" t="s">
        <v>246</v>
      </c>
      <c r="D61" s="41">
        <v>887</v>
      </c>
      <c r="E61" s="42"/>
      <c r="F61" s="42"/>
      <c r="G61" s="42">
        <v>97.59</v>
      </c>
      <c r="H61" s="42">
        <v>97.59</v>
      </c>
      <c r="I61" s="42">
        <v>97.59</v>
      </c>
      <c r="J61" s="42">
        <v>97.59</v>
      </c>
      <c r="K61" s="42">
        <v>84.16</v>
      </c>
      <c r="L61" s="42">
        <v>97.35</v>
      </c>
      <c r="M61" s="42">
        <v>97.35</v>
      </c>
      <c r="N61" s="42">
        <v>95.98</v>
      </c>
      <c r="O61" s="42">
        <v>97.59</v>
      </c>
      <c r="P61" s="42">
        <v>97.59</v>
      </c>
      <c r="Q61" s="42">
        <v>97.59</v>
      </c>
      <c r="R61" s="43" t="str">
        <f t="shared" si="8"/>
        <v>NO</v>
      </c>
      <c r="S61" s="43" t="str">
        <f t="shared" si="9"/>
        <v>Inviable Sanitariamente</v>
      </c>
      <c r="T61" s="18"/>
      <c r="U61" s="18"/>
      <c r="V61" s="18"/>
      <c r="W61" s="18"/>
    </row>
    <row r="62" spans="1:23" ht="30" customHeight="1" x14ac:dyDescent="0.2">
      <c r="A62" s="38" t="s">
        <v>44</v>
      </c>
      <c r="B62" s="39" t="s">
        <v>273</v>
      </c>
      <c r="C62" s="40" t="s">
        <v>102</v>
      </c>
      <c r="D62" s="41">
        <v>261</v>
      </c>
      <c r="E62" s="42"/>
      <c r="F62" s="42"/>
      <c r="G62" s="42">
        <v>98.06</v>
      </c>
      <c r="H62" s="42"/>
      <c r="I62" s="42">
        <v>78.709999999999994</v>
      </c>
      <c r="J62" s="42">
        <v>98.06</v>
      </c>
      <c r="K62" s="42">
        <v>98.06</v>
      </c>
      <c r="L62" s="42"/>
      <c r="M62" s="42">
        <v>98.06</v>
      </c>
      <c r="N62" s="42">
        <v>93.25</v>
      </c>
      <c r="O62" s="42">
        <v>78.709999999999994</v>
      </c>
      <c r="P62" s="42">
        <v>78.709999999999994</v>
      </c>
      <c r="Q62" s="42">
        <v>90.2</v>
      </c>
      <c r="R62" s="43" t="str">
        <f t="shared" si="8"/>
        <v>NO</v>
      </c>
      <c r="S62" s="43" t="str">
        <f t="shared" si="9"/>
        <v>Inviable Sanitariamente</v>
      </c>
      <c r="T62" s="18"/>
      <c r="U62" s="18"/>
      <c r="V62" s="18"/>
      <c r="W62" s="18"/>
    </row>
    <row r="63" spans="1:23" ht="30" customHeight="1" x14ac:dyDescent="0.2">
      <c r="A63" s="38" t="s">
        <v>44</v>
      </c>
      <c r="B63" s="39" t="s">
        <v>273</v>
      </c>
      <c r="C63" s="40" t="s">
        <v>103</v>
      </c>
      <c r="D63" s="41">
        <v>45</v>
      </c>
      <c r="E63" s="42"/>
      <c r="F63" s="42"/>
      <c r="G63" s="42">
        <v>98.06</v>
      </c>
      <c r="H63" s="42">
        <v>90.32</v>
      </c>
      <c r="I63" s="42">
        <v>38.71</v>
      </c>
      <c r="J63" s="42">
        <v>98.06</v>
      </c>
      <c r="K63" s="42">
        <v>70.97</v>
      </c>
      <c r="L63" s="42"/>
      <c r="M63" s="42">
        <v>78.709999999999994</v>
      </c>
      <c r="N63" s="42">
        <v>67.48</v>
      </c>
      <c r="O63" s="42">
        <v>78.709999999999994</v>
      </c>
      <c r="P63" s="42">
        <v>98.06</v>
      </c>
      <c r="Q63" s="42">
        <v>79.900000000000006</v>
      </c>
      <c r="R63" s="43" t="str">
        <f t="shared" si="8"/>
        <v>NO</v>
      </c>
      <c r="S63" s="43" t="str">
        <f t="shared" si="9"/>
        <v>Alto</v>
      </c>
      <c r="T63" s="18"/>
      <c r="U63" s="18"/>
      <c r="V63" s="18"/>
      <c r="W63" s="18"/>
    </row>
    <row r="64" spans="1:23" ht="30" customHeight="1" x14ac:dyDescent="0.2">
      <c r="A64" s="38" t="s">
        <v>36</v>
      </c>
      <c r="B64" s="39" t="s">
        <v>274</v>
      </c>
      <c r="C64" s="40" t="s">
        <v>104</v>
      </c>
      <c r="D64" s="41">
        <v>95</v>
      </c>
      <c r="E64" s="42"/>
      <c r="F64" s="42"/>
      <c r="G64" s="42">
        <v>6.5</v>
      </c>
      <c r="H64" s="42">
        <v>8.9</v>
      </c>
      <c r="I64" s="42">
        <v>0</v>
      </c>
      <c r="J64" s="42">
        <v>6.5</v>
      </c>
      <c r="K64" s="42">
        <v>0</v>
      </c>
      <c r="L64" s="42">
        <v>15</v>
      </c>
      <c r="M64" s="42">
        <v>8.9</v>
      </c>
      <c r="N64" s="42">
        <v>32.5</v>
      </c>
      <c r="O64" s="42">
        <v>23.6</v>
      </c>
      <c r="P64" s="42">
        <v>0</v>
      </c>
      <c r="Q64" s="42">
        <v>10.5</v>
      </c>
      <c r="R64" s="43" t="str">
        <f t="shared" si="8"/>
        <v>NO</v>
      </c>
      <c r="S64" s="43" t="str">
        <f t="shared" si="9"/>
        <v>Bajo</v>
      </c>
      <c r="T64" s="18"/>
      <c r="U64" s="18"/>
      <c r="V64" s="18"/>
      <c r="W64" s="18"/>
    </row>
    <row r="65" spans="1:23" ht="30" customHeight="1" x14ac:dyDescent="0.2">
      <c r="A65" s="38" t="s">
        <v>36</v>
      </c>
      <c r="B65" s="39" t="s">
        <v>274</v>
      </c>
      <c r="C65" s="40" t="s">
        <v>105</v>
      </c>
      <c r="D65" s="41">
        <v>4411</v>
      </c>
      <c r="E65" s="42"/>
      <c r="F65" s="42"/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3" t="str">
        <f t="shared" si="8"/>
        <v>SI</v>
      </c>
      <c r="S65" s="43" t="str">
        <f t="shared" si="9"/>
        <v>Sin Riesgo</v>
      </c>
      <c r="T65" s="18"/>
      <c r="U65" s="18"/>
      <c r="V65" s="18"/>
      <c r="W65" s="18"/>
    </row>
    <row r="66" spans="1:23" ht="30" customHeight="1" x14ac:dyDescent="0.2">
      <c r="A66" s="38" t="s">
        <v>36</v>
      </c>
      <c r="B66" s="39" t="s">
        <v>274</v>
      </c>
      <c r="C66" s="40" t="s">
        <v>106</v>
      </c>
      <c r="D66" s="41">
        <v>209</v>
      </c>
      <c r="E66" s="42"/>
      <c r="F66" s="42"/>
      <c r="G66" s="42">
        <v>28.2</v>
      </c>
      <c r="H66" s="42">
        <v>0</v>
      </c>
      <c r="I66" s="42">
        <v>21.8</v>
      </c>
      <c r="J66" s="42">
        <v>15.3</v>
      </c>
      <c r="K66" s="42">
        <v>0</v>
      </c>
      <c r="L66" s="42">
        <v>6.1</v>
      </c>
      <c r="M66" s="42">
        <v>0</v>
      </c>
      <c r="N66" s="42">
        <v>0</v>
      </c>
      <c r="O66" s="42">
        <v>6.5</v>
      </c>
      <c r="P66" s="42">
        <v>48.7</v>
      </c>
      <c r="Q66" s="42">
        <v>11.4</v>
      </c>
      <c r="R66" s="43" t="str">
        <f t="shared" si="8"/>
        <v>NO</v>
      </c>
      <c r="S66" s="43" t="str">
        <f t="shared" si="9"/>
        <v>Bajo</v>
      </c>
      <c r="T66" s="18"/>
      <c r="U66" s="18"/>
      <c r="V66" s="18"/>
      <c r="W66" s="18"/>
    </row>
    <row r="67" spans="1:23" ht="30" customHeight="1" x14ac:dyDescent="0.2">
      <c r="A67" s="38" t="s">
        <v>33</v>
      </c>
      <c r="B67" s="39" t="s">
        <v>275</v>
      </c>
      <c r="C67" s="40" t="s">
        <v>107</v>
      </c>
      <c r="D67" s="41">
        <v>1458</v>
      </c>
      <c r="E67" s="42"/>
      <c r="F67" s="42"/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6.45</v>
      </c>
      <c r="M67" s="42">
        <v>8</v>
      </c>
      <c r="N67" s="42">
        <v>9.68</v>
      </c>
      <c r="O67" s="42">
        <v>6.45</v>
      </c>
      <c r="P67" s="42">
        <v>0</v>
      </c>
      <c r="Q67" s="42">
        <v>3.57</v>
      </c>
      <c r="R67" s="43" t="str">
        <f t="shared" si="8"/>
        <v>SI</v>
      </c>
      <c r="S67" s="43" t="str">
        <f t="shared" si="9"/>
        <v>Sin Riesgo</v>
      </c>
      <c r="T67" s="18"/>
      <c r="U67" s="18"/>
      <c r="V67" s="18"/>
      <c r="W67" s="18"/>
    </row>
    <row r="68" spans="1:23" ht="30" customHeight="1" x14ac:dyDescent="0.2">
      <c r="A68" s="38" t="s">
        <v>33</v>
      </c>
      <c r="B68" s="39" t="s">
        <v>108</v>
      </c>
      <c r="C68" s="40" t="s">
        <v>247</v>
      </c>
      <c r="D68" s="41">
        <v>614</v>
      </c>
      <c r="E68" s="42"/>
      <c r="F68" s="42"/>
      <c r="G68" s="42">
        <v>23.6</v>
      </c>
      <c r="H68" s="42">
        <v>23.6</v>
      </c>
      <c r="I68" s="42">
        <v>0</v>
      </c>
      <c r="J68" s="42">
        <v>0.88</v>
      </c>
      <c r="K68" s="42">
        <v>0</v>
      </c>
      <c r="L68" s="42">
        <v>0</v>
      </c>
      <c r="M68" s="42">
        <v>0</v>
      </c>
      <c r="N68" s="42">
        <v>0</v>
      </c>
      <c r="O68" s="42">
        <v>9.73</v>
      </c>
      <c r="P68" s="42">
        <v>0</v>
      </c>
      <c r="Q68" s="42">
        <v>6.42</v>
      </c>
      <c r="R68" s="43" t="str">
        <f t="shared" si="8"/>
        <v>NO</v>
      </c>
      <c r="S68" s="43" t="str">
        <f t="shared" si="9"/>
        <v>Bajo</v>
      </c>
      <c r="T68" s="18"/>
      <c r="U68" s="18"/>
      <c r="V68" s="18"/>
      <c r="W68" s="18"/>
    </row>
    <row r="69" spans="1:23" ht="30" customHeight="1" x14ac:dyDescent="0.2">
      <c r="A69" s="38" t="s">
        <v>36</v>
      </c>
      <c r="B69" s="39" t="s">
        <v>109</v>
      </c>
      <c r="C69" s="40" t="s">
        <v>110</v>
      </c>
      <c r="D69" s="41">
        <v>2186</v>
      </c>
      <c r="E69" s="42"/>
      <c r="F69" s="42"/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3" t="str">
        <f t="shared" si="8"/>
        <v>SI</v>
      </c>
      <c r="S69" s="43" t="str">
        <f t="shared" si="9"/>
        <v>Sin Riesgo</v>
      </c>
      <c r="T69" s="18"/>
      <c r="U69" s="18"/>
      <c r="V69" s="18"/>
      <c r="W69" s="18"/>
    </row>
    <row r="70" spans="1:23" ht="30" customHeight="1" x14ac:dyDescent="0.2">
      <c r="A70" s="38" t="s">
        <v>11</v>
      </c>
      <c r="B70" s="39" t="s">
        <v>111</v>
      </c>
      <c r="C70" s="40" t="s">
        <v>112</v>
      </c>
      <c r="D70" s="41">
        <v>14140</v>
      </c>
      <c r="E70" s="42"/>
      <c r="F70" s="42"/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3" t="str">
        <f t="shared" si="8"/>
        <v>SI</v>
      </c>
      <c r="S70" s="43" t="str">
        <f t="shared" si="9"/>
        <v>Sin Riesgo</v>
      </c>
      <c r="T70" s="18"/>
      <c r="U70" s="18"/>
      <c r="V70" s="18"/>
      <c r="W70" s="18"/>
    </row>
    <row r="71" spans="1:23" ht="30" customHeight="1" x14ac:dyDescent="0.2">
      <c r="A71" s="38" t="s">
        <v>32</v>
      </c>
      <c r="B71" s="39" t="s">
        <v>113</v>
      </c>
      <c r="C71" s="40" t="s">
        <v>114</v>
      </c>
      <c r="D71" s="41">
        <v>1999</v>
      </c>
      <c r="E71" s="42"/>
      <c r="F71" s="42"/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3" t="str">
        <f t="shared" si="8"/>
        <v>SI</v>
      </c>
      <c r="S71" s="43" t="str">
        <f t="shared" si="9"/>
        <v>Sin Riesgo</v>
      </c>
      <c r="T71" s="18"/>
      <c r="U71" s="18"/>
      <c r="V71" s="18"/>
      <c r="W71" s="18"/>
    </row>
    <row r="72" spans="1:23" ht="30" customHeight="1" x14ac:dyDescent="0.2">
      <c r="A72" s="38" t="s">
        <v>32</v>
      </c>
      <c r="B72" s="39" t="s">
        <v>113</v>
      </c>
      <c r="C72" s="40" t="s">
        <v>115</v>
      </c>
      <c r="D72" s="41">
        <v>116</v>
      </c>
      <c r="E72" s="42"/>
      <c r="F72" s="42"/>
      <c r="G72" s="42">
        <v>0</v>
      </c>
      <c r="H72" s="42">
        <v>0</v>
      </c>
      <c r="I72" s="42">
        <v>8.85</v>
      </c>
      <c r="J72" s="42">
        <v>0</v>
      </c>
      <c r="K72" s="42">
        <v>0</v>
      </c>
      <c r="L72" s="42">
        <v>0</v>
      </c>
      <c r="M72" s="42">
        <v>56.05</v>
      </c>
      <c r="N72" s="42">
        <v>6.45</v>
      </c>
      <c r="O72" s="42">
        <v>0</v>
      </c>
      <c r="P72" s="42">
        <v>0</v>
      </c>
      <c r="Q72" s="42">
        <v>7.64</v>
      </c>
      <c r="R72" s="43" t="str">
        <f t="shared" si="8"/>
        <v>NO</v>
      </c>
      <c r="S72" s="43" t="str">
        <f t="shared" si="9"/>
        <v>Bajo</v>
      </c>
      <c r="T72" s="18"/>
      <c r="U72" s="18"/>
      <c r="V72" s="18"/>
      <c r="W72" s="18"/>
    </row>
    <row r="73" spans="1:23" ht="30" customHeight="1" x14ac:dyDescent="0.2">
      <c r="A73" s="38" t="s">
        <v>19</v>
      </c>
      <c r="B73" s="39" t="s">
        <v>116</v>
      </c>
      <c r="C73" s="40" t="s">
        <v>117</v>
      </c>
      <c r="D73" s="41">
        <v>2985</v>
      </c>
      <c r="E73" s="42"/>
      <c r="F73" s="42"/>
      <c r="G73" s="42">
        <v>0</v>
      </c>
      <c r="H73" s="42">
        <v>12.9</v>
      </c>
      <c r="I73" s="42">
        <v>5.88</v>
      </c>
      <c r="J73" s="42">
        <v>2.58</v>
      </c>
      <c r="K73" s="42">
        <v>23.6</v>
      </c>
      <c r="L73" s="42">
        <v>0</v>
      </c>
      <c r="M73" s="42">
        <v>0</v>
      </c>
      <c r="N73" s="42">
        <v>0</v>
      </c>
      <c r="O73" s="42">
        <v>0</v>
      </c>
      <c r="P73" s="42">
        <v>1.33</v>
      </c>
      <c r="Q73" s="42">
        <v>4.74</v>
      </c>
      <c r="R73" s="43" t="str">
        <f t="shared" si="8"/>
        <v>SI</v>
      </c>
      <c r="S73" s="43" t="str">
        <f t="shared" si="9"/>
        <v>Sin Riesgo</v>
      </c>
      <c r="T73" s="18"/>
      <c r="U73" s="18"/>
      <c r="V73" s="18"/>
      <c r="W73" s="18"/>
    </row>
    <row r="74" spans="1:23" ht="30" customHeight="1" x14ac:dyDescent="0.2">
      <c r="A74" s="38" t="s">
        <v>32</v>
      </c>
      <c r="B74" s="39" t="s">
        <v>118</v>
      </c>
      <c r="C74" s="40" t="s">
        <v>119</v>
      </c>
      <c r="D74" s="41">
        <v>632</v>
      </c>
      <c r="E74" s="42"/>
      <c r="F74" s="42"/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23.6</v>
      </c>
      <c r="N74" s="42">
        <v>0</v>
      </c>
      <c r="O74" s="42">
        <v>0</v>
      </c>
      <c r="P74" s="42">
        <v>0</v>
      </c>
      <c r="Q74" s="42">
        <v>3.74</v>
      </c>
      <c r="R74" s="43" t="str">
        <f t="shared" si="8"/>
        <v>SI</v>
      </c>
      <c r="S74" s="43" t="str">
        <f t="shared" si="9"/>
        <v>Sin Riesgo</v>
      </c>
      <c r="T74" s="18"/>
      <c r="U74" s="18"/>
      <c r="V74" s="18"/>
      <c r="W74" s="18"/>
    </row>
    <row r="75" spans="1:23" ht="30" customHeight="1" x14ac:dyDescent="0.2">
      <c r="A75" s="38" t="s">
        <v>38</v>
      </c>
      <c r="B75" s="39" t="s">
        <v>276</v>
      </c>
      <c r="C75" s="40" t="s">
        <v>120</v>
      </c>
      <c r="D75" s="41">
        <v>4993</v>
      </c>
      <c r="E75" s="42"/>
      <c r="F75" s="42"/>
      <c r="G75" s="42">
        <v>0</v>
      </c>
      <c r="H75" s="42">
        <v>4.84</v>
      </c>
      <c r="I75" s="42">
        <v>0.35</v>
      </c>
      <c r="J75" s="42">
        <v>0</v>
      </c>
      <c r="K75" s="42">
        <v>0</v>
      </c>
      <c r="L75" s="42"/>
      <c r="M75" s="42">
        <v>0</v>
      </c>
      <c r="N75" s="42">
        <v>0</v>
      </c>
      <c r="O75" s="42">
        <v>0</v>
      </c>
      <c r="P75" s="42">
        <v>0</v>
      </c>
      <c r="Q75" s="42">
        <v>1.06</v>
      </c>
      <c r="R75" s="43" t="str">
        <f t="shared" si="8"/>
        <v>SI</v>
      </c>
      <c r="S75" s="43" t="str">
        <f t="shared" ref="S75:S138" si="10">IF(Q75&lt;=5,"Sin Riesgo",IF(Q75 &lt;=14,"Bajo",IF(Q75&lt;=35,"Medio",IF(Q75&lt;=80,"Alto","Inviable Sanitariamente"))))</f>
        <v>Sin Riesgo</v>
      </c>
      <c r="T75" s="18"/>
      <c r="U75" s="18"/>
      <c r="V75" s="18"/>
      <c r="W75" s="18"/>
    </row>
    <row r="76" spans="1:23" ht="30" customHeight="1" x14ac:dyDescent="0.2">
      <c r="A76" s="38" t="s">
        <v>38</v>
      </c>
      <c r="B76" s="39" t="s">
        <v>276</v>
      </c>
      <c r="C76" s="40" t="s">
        <v>121</v>
      </c>
      <c r="D76" s="41">
        <v>348</v>
      </c>
      <c r="E76" s="42"/>
      <c r="F76" s="42"/>
      <c r="G76" s="42">
        <v>8.85</v>
      </c>
      <c r="H76" s="42">
        <v>9.68</v>
      </c>
      <c r="I76" s="42">
        <v>0</v>
      </c>
      <c r="J76" s="42">
        <v>0</v>
      </c>
      <c r="K76" s="42">
        <v>0</v>
      </c>
      <c r="L76" s="42"/>
      <c r="M76" s="42">
        <v>8.85</v>
      </c>
      <c r="N76" s="42">
        <v>0</v>
      </c>
      <c r="O76" s="42">
        <v>0</v>
      </c>
      <c r="P76" s="42">
        <v>0</v>
      </c>
      <c r="Q76" s="42">
        <v>3.29</v>
      </c>
      <c r="R76" s="43" t="str">
        <f t="shared" ref="R76:R149" si="11">IF(Q76&lt;=5,"SI","NO")</f>
        <v>SI</v>
      </c>
      <c r="S76" s="43" t="str">
        <f t="shared" si="10"/>
        <v>Sin Riesgo</v>
      </c>
      <c r="T76" s="18"/>
      <c r="U76" s="18"/>
      <c r="V76" s="18"/>
      <c r="W76" s="18"/>
    </row>
    <row r="77" spans="1:23" ht="30" customHeight="1" x14ac:dyDescent="0.2">
      <c r="A77" s="38" t="s">
        <v>33</v>
      </c>
      <c r="B77" s="39" t="s">
        <v>277</v>
      </c>
      <c r="C77" s="40" t="s">
        <v>122</v>
      </c>
      <c r="D77" s="41">
        <v>5813</v>
      </c>
      <c r="E77" s="42"/>
      <c r="F77" s="42"/>
      <c r="G77" s="42">
        <v>0.35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0.4</v>
      </c>
      <c r="R77" s="43" t="str">
        <f t="shared" si="11"/>
        <v>SI</v>
      </c>
      <c r="S77" s="43" t="str">
        <f t="shared" si="10"/>
        <v>Sin Riesgo</v>
      </c>
      <c r="T77" s="18"/>
      <c r="U77" s="18"/>
      <c r="V77" s="18"/>
      <c r="W77" s="18"/>
    </row>
    <row r="78" spans="1:23" ht="30" customHeight="1" x14ac:dyDescent="0.2">
      <c r="A78" s="38" t="s">
        <v>33</v>
      </c>
      <c r="B78" s="39" t="s">
        <v>123</v>
      </c>
      <c r="C78" s="40" t="s">
        <v>124</v>
      </c>
      <c r="D78" s="41">
        <v>5128</v>
      </c>
      <c r="E78" s="42"/>
      <c r="F78" s="42"/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3" t="str">
        <f t="shared" si="11"/>
        <v>SI</v>
      </c>
      <c r="S78" s="43" t="str">
        <f t="shared" si="10"/>
        <v>Sin Riesgo</v>
      </c>
      <c r="T78" s="18"/>
      <c r="U78" s="18"/>
      <c r="V78" s="18"/>
      <c r="W78" s="18"/>
    </row>
    <row r="79" spans="1:23" ht="30" customHeight="1" x14ac:dyDescent="0.2">
      <c r="A79" s="38" t="s">
        <v>19</v>
      </c>
      <c r="B79" s="39" t="s">
        <v>278</v>
      </c>
      <c r="C79" s="40" t="s">
        <v>125</v>
      </c>
      <c r="D79" s="41">
        <v>1083</v>
      </c>
      <c r="E79" s="42"/>
      <c r="F79" s="42"/>
      <c r="G79" s="42">
        <v>9.0299999999999994</v>
      </c>
      <c r="H79" s="42">
        <v>9.0299999999999994</v>
      </c>
      <c r="I79" s="42">
        <v>20.64</v>
      </c>
      <c r="J79" s="42">
        <v>2.58</v>
      </c>
      <c r="K79" s="42">
        <v>8.85</v>
      </c>
      <c r="L79" s="42">
        <v>0.59</v>
      </c>
      <c r="M79" s="42">
        <v>2.58</v>
      </c>
      <c r="N79" s="42">
        <v>8.85</v>
      </c>
      <c r="O79" s="42">
        <v>2.94</v>
      </c>
      <c r="P79" s="42">
        <v>17.149999999999999</v>
      </c>
      <c r="Q79" s="42">
        <v>7.92</v>
      </c>
      <c r="R79" s="43" t="str">
        <f t="shared" si="11"/>
        <v>NO</v>
      </c>
      <c r="S79" s="43" t="str">
        <f t="shared" si="10"/>
        <v>Bajo</v>
      </c>
      <c r="T79" s="18"/>
      <c r="U79" s="18"/>
      <c r="V79" s="18"/>
      <c r="W79" s="18"/>
    </row>
    <row r="80" spans="1:23" ht="30" customHeight="1" x14ac:dyDescent="0.2">
      <c r="A80" s="38" t="s">
        <v>11</v>
      </c>
      <c r="B80" s="39" t="s">
        <v>126</v>
      </c>
      <c r="C80" s="40" t="s">
        <v>63</v>
      </c>
      <c r="D80" s="41">
        <v>53161</v>
      </c>
      <c r="E80" s="42"/>
      <c r="F80" s="42"/>
      <c r="G80" s="42">
        <v>0</v>
      </c>
      <c r="H80" s="42">
        <v>0</v>
      </c>
      <c r="I80" s="42">
        <v>0.85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3" t="str">
        <f t="shared" si="11"/>
        <v>SI</v>
      </c>
      <c r="S80" s="43" t="str">
        <f t="shared" si="10"/>
        <v>Sin Riesgo</v>
      </c>
      <c r="T80" s="18"/>
      <c r="U80" s="18"/>
      <c r="V80" s="18"/>
      <c r="W80" s="18"/>
    </row>
    <row r="81" spans="1:23" ht="30" customHeight="1" x14ac:dyDescent="0.2">
      <c r="A81" s="38" t="s">
        <v>36</v>
      </c>
      <c r="B81" s="39" t="s">
        <v>127</v>
      </c>
      <c r="C81" s="40" t="s">
        <v>128</v>
      </c>
      <c r="D81" s="41">
        <v>2421</v>
      </c>
      <c r="E81" s="42"/>
      <c r="F81" s="42"/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3" t="str">
        <f t="shared" si="11"/>
        <v>SI</v>
      </c>
      <c r="S81" s="43" t="str">
        <f t="shared" si="10"/>
        <v>Sin Riesgo</v>
      </c>
      <c r="T81" s="18"/>
      <c r="U81" s="18"/>
      <c r="V81" s="18"/>
      <c r="W81" s="18"/>
    </row>
    <row r="82" spans="1:23" ht="30" customHeight="1" x14ac:dyDescent="0.2">
      <c r="A82" s="38" t="s">
        <v>32</v>
      </c>
      <c r="B82" s="39" t="s">
        <v>129</v>
      </c>
      <c r="C82" s="40" t="s">
        <v>130</v>
      </c>
      <c r="D82" s="41">
        <v>1095</v>
      </c>
      <c r="E82" s="42"/>
      <c r="F82" s="42"/>
      <c r="G82" s="42">
        <v>0</v>
      </c>
      <c r="H82" s="42">
        <v>0</v>
      </c>
      <c r="I82" s="42">
        <v>8.85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0.92</v>
      </c>
      <c r="R82" s="43" t="str">
        <f t="shared" si="11"/>
        <v>SI</v>
      </c>
      <c r="S82" s="43" t="str">
        <f t="shared" si="10"/>
        <v>Sin Riesgo</v>
      </c>
      <c r="T82" s="18"/>
      <c r="U82" s="18"/>
      <c r="V82" s="18"/>
      <c r="W82" s="18"/>
    </row>
    <row r="83" spans="1:23" ht="30" customHeight="1" x14ac:dyDescent="0.2">
      <c r="A83" s="38" t="s">
        <v>32</v>
      </c>
      <c r="B83" s="39" t="s">
        <v>129</v>
      </c>
      <c r="C83" s="40" t="s">
        <v>131</v>
      </c>
      <c r="D83" s="41">
        <v>1043</v>
      </c>
      <c r="E83" s="42"/>
      <c r="F83" s="42"/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3" t="str">
        <f t="shared" si="11"/>
        <v>SI</v>
      </c>
      <c r="S83" s="43" t="str">
        <f t="shared" si="10"/>
        <v>Sin Riesgo</v>
      </c>
      <c r="T83" s="18"/>
      <c r="U83" s="18"/>
      <c r="V83" s="18"/>
      <c r="W83" s="18"/>
    </row>
    <row r="84" spans="1:23" ht="30" customHeight="1" x14ac:dyDescent="0.2">
      <c r="A84" s="38" t="s">
        <v>32</v>
      </c>
      <c r="B84" s="39" t="s">
        <v>132</v>
      </c>
      <c r="C84" s="40" t="s">
        <v>133</v>
      </c>
      <c r="D84" s="41">
        <v>340</v>
      </c>
      <c r="E84" s="42"/>
      <c r="F84" s="42"/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8.85</v>
      </c>
      <c r="M84" s="42">
        <v>0</v>
      </c>
      <c r="N84" s="42">
        <v>0</v>
      </c>
      <c r="O84" s="42">
        <v>0</v>
      </c>
      <c r="P84" s="42">
        <v>0</v>
      </c>
      <c r="Q84" s="42">
        <v>0.98</v>
      </c>
      <c r="R84" s="43" t="str">
        <f t="shared" si="11"/>
        <v>SI</v>
      </c>
      <c r="S84" s="43" t="str">
        <f t="shared" si="10"/>
        <v>Sin Riesgo</v>
      </c>
      <c r="T84" s="18"/>
      <c r="U84" s="18"/>
      <c r="V84" s="18"/>
      <c r="W84" s="18"/>
    </row>
    <row r="85" spans="1:23" ht="30" customHeight="1" x14ac:dyDescent="0.2">
      <c r="A85" s="38" t="s">
        <v>11</v>
      </c>
      <c r="B85" s="39" t="s">
        <v>134</v>
      </c>
      <c r="C85" s="40" t="s">
        <v>63</v>
      </c>
      <c r="D85" s="41">
        <v>7198</v>
      </c>
      <c r="E85" s="42"/>
      <c r="F85" s="42"/>
      <c r="G85" s="42"/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/>
      <c r="Q85" s="42">
        <v>0</v>
      </c>
      <c r="R85" s="43" t="str">
        <f t="shared" si="11"/>
        <v>SI</v>
      </c>
      <c r="S85" s="43" t="str">
        <f t="shared" si="10"/>
        <v>Sin Riesgo</v>
      </c>
      <c r="T85" s="18"/>
      <c r="U85" s="18"/>
      <c r="V85" s="18"/>
      <c r="W85" s="18"/>
    </row>
    <row r="86" spans="1:23" ht="30" customHeight="1" x14ac:dyDescent="0.2">
      <c r="A86" s="38" t="s">
        <v>19</v>
      </c>
      <c r="B86" s="39" t="s">
        <v>279</v>
      </c>
      <c r="C86" s="40" t="s">
        <v>135</v>
      </c>
      <c r="D86" s="41">
        <v>1514</v>
      </c>
      <c r="E86" s="42"/>
      <c r="F86" s="42"/>
      <c r="G86" s="42">
        <v>6.45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3.53</v>
      </c>
      <c r="P86" s="42">
        <v>0</v>
      </c>
      <c r="Q86" s="42">
        <v>1.03</v>
      </c>
      <c r="R86" s="43" t="str">
        <f t="shared" si="11"/>
        <v>SI</v>
      </c>
      <c r="S86" s="43" t="str">
        <f t="shared" si="10"/>
        <v>Sin Riesgo</v>
      </c>
      <c r="T86" s="18"/>
      <c r="U86" s="18"/>
      <c r="V86" s="18"/>
      <c r="W86" s="18"/>
    </row>
    <row r="87" spans="1:23" ht="30" customHeight="1" x14ac:dyDescent="0.2">
      <c r="A87" s="38" t="s">
        <v>33</v>
      </c>
      <c r="B87" s="39" t="s">
        <v>136</v>
      </c>
      <c r="C87" s="40" t="s">
        <v>137</v>
      </c>
      <c r="D87" s="41">
        <v>2266</v>
      </c>
      <c r="E87" s="42"/>
      <c r="F87" s="42"/>
      <c r="G87" s="42">
        <v>6.47</v>
      </c>
      <c r="H87" s="42">
        <v>0</v>
      </c>
      <c r="I87" s="42">
        <v>0</v>
      </c>
      <c r="J87" s="42">
        <v>0</v>
      </c>
      <c r="K87" s="42">
        <v>0</v>
      </c>
      <c r="L87" s="42">
        <v>9.68</v>
      </c>
      <c r="M87" s="42">
        <v>0</v>
      </c>
      <c r="N87" s="42">
        <v>0</v>
      </c>
      <c r="O87" s="42">
        <v>0</v>
      </c>
      <c r="P87" s="42">
        <v>0</v>
      </c>
      <c r="Q87" s="42">
        <v>1.79</v>
      </c>
      <c r="R87" s="43" t="str">
        <f t="shared" si="11"/>
        <v>SI</v>
      </c>
      <c r="S87" s="43" t="str">
        <f t="shared" si="10"/>
        <v>Sin Riesgo</v>
      </c>
      <c r="T87" s="18"/>
      <c r="U87" s="18"/>
      <c r="V87" s="18"/>
      <c r="W87" s="18"/>
    </row>
    <row r="88" spans="1:23" ht="30" customHeight="1" x14ac:dyDescent="0.2">
      <c r="A88" s="38" t="s">
        <v>19</v>
      </c>
      <c r="B88" s="39" t="s">
        <v>138</v>
      </c>
      <c r="C88" s="40" t="s">
        <v>139</v>
      </c>
      <c r="D88" s="41">
        <v>550</v>
      </c>
      <c r="E88" s="42"/>
      <c r="F88" s="42"/>
      <c r="G88" s="42">
        <v>2.58</v>
      </c>
      <c r="H88" s="42">
        <v>6.45</v>
      </c>
      <c r="I88" s="42">
        <v>8.85</v>
      </c>
      <c r="J88" s="42">
        <v>9.0299999999999994</v>
      </c>
      <c r="K88" s="42">
        <v>0</v>
      </c>
      <c r="L88" s="42">
        <v>0</v>
      </c>
      <c r="M88" s="42">
        <v>20.28</v>
      </c>
      <c r="N88" s="42">
        <v>0</v>
      </c>
      <c r="O88" s="42">
        <v>8.82</v>
      </c>
      <c r="P88" s="42">
        <v>0</v>
      </c>
      <c r="Q88" s="42">
        <v>5.13</v>
      </c>
      <c r="R88" s="43" t="str">
        <f t="shared" si="11"/>
        <v>NO</v>
      </c>
      <c r="S88" s="43" t="str">
        <f t="shared" si="10"/>
        <v>Bajo</v>
      </c>
      <c r="T88" s="18"/>
      <c r="U88" s="18"/>
      <c r="V88" s="18"/>
      <c r="W88" s="18"/>
    </row>
    <row r="89" spans="1:23" ht="30" customHeight="1" x14ac:dyDescent="0.2">
      <c r="A89" s="38" t="s">
        <v>33</v>
      </c>
      <c r="B89" s="39" t="s">
        <v>140</v>
      </c>
      <c r="C89" s="40" t="s">
        <v>141</v>
      </c>
      <c r="D89" s="41">
        <v>3703</v>
      </c>
      <c r="E89" s="42"/>
      <c r="F89" s="42"/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3" t="str">
        <f t="shared" si="11"/>
        <v>SI</v>
      </c>
      <c r="S89" s="43" t="str">
        <f t="shared" si="10"/>
        <v>Sin Riesgo</v>
      </c>
      <c r="T89" s="18"/>
      <c r="U89" s="18"/>
      <c r="V89" s="18"/>
      <c r="W89" s="18"/>
    </row>
    <row r="90" spans="1:23" ht="30" customHeight="1" x14ac:dyDescent="0.2">
      <c r="A90" s="38" t="s">
        <v>33</v>
      </c>
      <c r="B90" s="39" t="s">
        <v>280</v>
      </c>
      <c r="C90" s="40" t="s">
        <v>142</v>
      </c>
      <c r="D90" s="41">
        <v>1373</v>
      </c>
      <c r="E90" s="42"/>
      <c r="F90" s="42"/>
      <c r="G90" s="42">
        <v>2.58</v>
      </c>
      <c r="H90" s="42">
        <v>0</v>
      </c>
      <c r="I90" s="42">
        <v>0</v>
      </c>
      <c r="J90" s="42">
        <v>0.65</v>
      </c>
      <c r="K90" s="42">
        <v>0</v>
      </c>
      <c r="L90" s="42">
        <v>3.23</v>
      </c>
      <c r="M90" s="42">
        <v>23.6</v>
      </c>
      <c r="N90" s="42">
        <v>0</v>
      </c>
      <c r="O90" s="42">
        <v>0</v>
      </c>
      <c r="P90" s="42">
        <v>0</v>
      </c>
      <c r="Q90" s="42">
        <v>3.34</v>
      </c>
      <c r="R90" s="43" t="str">
        <f t="shared" si="11"/>
        <v>SI</v>
      </c>
      <c r="S90" s="43" t="str">
        <f t="shared" si="10"/>
        <v>Sin Riesgo</v>
      </c>
      <c r="T90" s="18"/>
      <c r="U90" s="18"/>
      <c r="V90" s="18"/>
      <c r="W90" s="18"/>
    </row>
    <row r="91" spans="1:23" ht="30" customHeight="1" x14ac:dyDescent="0.2">
      <c r="A91" s="38" t="s">
        <v>32</v>
      </c>
      <c r="B91" s="39" t="s">
        <v>143</v>
      </c>
      <c r="C91" s="40" t="s">
        <v>144</v>
      </c>
      <c r="D91" s="41">
        <v>749</v>
      </c>
      <c r="E91" s="42"/>
      <c r="F91" s="42"/>
      <c r="G91" s="42">
        <v>0</v>
      </c>
      <c r="H91" s="42"/>
      <c r="I91" s="42">
        <v>4.84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13.23</v>
      </c>
      <c r="P91" s="42">
        <v>0</v>
      </c>
      <c r="Q91" s="42">
        <v>1.77</v>
      </c>
      <c r="R91" s="43" t="str">
        <f t="shared" si="11"/>
        <v>SI</v>
      </c>
      <c r="S91" s="43" t="str">
        <f t="shared" si="10"/>
        <v>Sin Riesgo</v>
      </c>
      <c r="T91" s="18"/>
      <c r="U91" s="18"/>
      <c r="V91" s="18"/>
      <c r="W91" s="18"/>
    </row>
    <row r="92" spans="1:23" ht="30" customHeight="1" x14ac:dyDescent="0.2">
      <c r="A92" s="38" t="s">
        <v>36</v>
      </c>
      <c r="B92" s="39" t="s">
        <v>281</v>
      </c>
      <c r="C92" s="40" t="s">
        <v>145</v>
      </c>
      <c r="D92" s="41">
        <v>899</v>
      </c>
      <c r="E92" s="42"/>
      <c r="F92" s="42"/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3" t="str">
        <f t="shared" si="11"/>
        <v>SI</v>
      </c>
      <c r="S92" s="43" t="str">
        <f t="shared" si="10"/>
        <v>Sin Riesgo</v>
      </c>
      <c r="T92" s="18"/>
      <c r="U92" s="18"/>
      <c r="V92" s="18"/>
      <c r="W92" s="18"/>
    </row>
    <row r="93" spans="1:23" ht="30" customHeight="1" x14ac:dyDescent="0.2">
      <c r="A93" s="38" t="s">
        <v>11</v>
      </c>
      <c r="B93" s="39" t="s">
        <v>146</v>
      </c>
      <c r="C93" s="40" t="s">
        <v>63</v>
      </c>
      <c r="D93" s="41">
        <v>62032</v>
      </c>
      <c r="E93" s="42"/>
      <c r="F93" s="42"/>
      <c r="G93" s="42">
        <v>0</v>
      </c>
      <c r="H93" s="42">
        <v>2.77</v>
      </c>
      <c r="I93" s="42">
        <v>4.71</v>
      </c>
      <c r="J93" s="42">
        <v>9.2899999999999991</v>
      </c>
      <c r="K93" s="42">
        <v>0.19</v>
      </c>
      <c r="L93" s="42">
        <v>2.37</v>
      </c>
      <c r="M93" s="42">
        <v>1.79</v>
      </c>
      <c r="N93" s="42">
        <v>0.75</v>
      </c>
      <c r="O93" s="42">
        <v>0.92</v>
      </c>
      <c r="P93" s="42">
        <v>0</v>
      </c>
      <c r="Q93" s="42">
        <v>2.68</v>
      </c>
      <c r="R93" s="43" t="str">
        <f t="shared" si="11"/>
        <v>SI</v>
      </c>
      <c r="S93" s="43" t="str">
        <f t="shared" si="10"/>
        <v>Sin Riesgo</v>
      </c>
      <c r="T93" s="18"/>
      <c r="U93" s="18"/>
      <c r="V93" s="18"/>
      <c r="W93" s="18"/>
    </row>
    <row r="94" spans="1:23" ht="30" customHeight="1" x14ac:dyDescent="0.2">
      <c r="A94" s="38" t="s">
        <v>19</v>
      </c>
      <c r="B94" s="39" t="s">
        <v>147</v>
      </c>
      <c r="C94" s="40" t="s">
        <v>54</v>
      </c>
      <c r="D94" s="41">
        <v>1608</v>
      </c>
      <c r="E94" s="42"/>
      <c r="F94" s="42"/>
      <c r="G94" s="42">
        <v>16.100000000000001</v>
      </c>
      <c r="H94" s="42">
        <v>0</v>
      </c>
      <c r="I94" s="42"/>
      <c r="J94" s="42"/>
      <c r="K94" s="42"/>
      <c r="L94" s="42"/>
      <c r="M94" s="42"/>
      <c r="N94" s="42"/>
      <c r="O94" s="42"/>
      <c r="P94" s="42"/>
      <c r="Q94" s="42">
        <v>10.6</v>
      </c>
      <c r="R94" s="43" t="str">
        <f t="shared" si="11"/>
        <v>NO</v>
      </c>
      <c r="S94" s="43" t="str">
        <f t="shared" si="10"/>
        <v>Bajo</v>
      </c>
      <c r="T94" s="18"/>
      <c r="U94" s="18"/>
      <c r="V94" s="18"/>
      <c r="W94" s="18"/>
    </row>
    <row r="95" spans="1:23" ht="30" customHeight="1" x14ac:dyDescent="0.2">
      <c r="A95" s="38" t="s">
        <v>19</v>
      </c>
      <c r="B95" s="39" t="s">
        <v>147</v>
      </c>
      <c r="C95" s="40" t="s">
        <v>148</v>
      </c>
      <c r="D95" s="41"/>
      <c r="E95" s="42"/>
      <c r="F95" s="42"/>
      <c r="G95" s="42"/>
      <c r="H95" s="42">
        <v>0</v>
      </c>
      <c r="I95" s="42">
        <v>0</v>
      </c>
      <c r="J95" s="42">
        <v>2.6</v>
      </c>
      <c r="K95" s="42">
        <v>1.2</v>
      </c>
      <c r="L95" s="42">
        <v>0</v>
      </c>
      <c r="M95" s="42">
        <v>0</v>
      </c>
      <c r="N95" s="42">
        <v>0</v>
      </c>
      <c r="O95" s="42">
        <v>8.1999999999999993</v>
      </c>
      <c r="P95" s="42">
        <v>0</v>
      </c>
      <c r="Q95" s="42">
        <v>1.6</v>
      </c>
      <c r="R95" s="43" t="str">
        <f t="shared" si="11"/>
        <v>SI</v>
      </c>
      <c r="S95" s="43" t="str">
        <f t="shared" si="10"/>
        <v>Sin Riesgo</v>
      </c>
      <c r="T95" s="18"/>
      <c r="U95" s="18"/>
      <c r="V95" s="18"/>
      <c r="W95" s="18"/>
    </row>
    <row r="96" spans="1:23" ht="30" customHeight="1" x14ac:dyDescent="0.2">
      <c r="A96" s="38" t="s">
        <v>36</v>
      </c>
      <c r="B96" s="39" t="s">
        <v>282</v>
      </c>
      <c r="C96" s="40" t="s">
        <v>50</v>
      </c>
      <c r="D96" s="41">
        <v>2191</v>
      </c>
      <c r="E96" s="42"/>
      <c r="F96" s="42"/>
      <c r="G96" s="42">
        <v>0</v>
      </c>
      <c r="H96" s="42">
        <v>0</v>
      </c>
      <c r="I96" s="42">
        <v>6.45</v>
      </c>
      <c r="J96" s="42">
        <v>6.45</v>
      </c>
      <c r="K96" s="42">
        <v>0</v>
      </c>
      <c r="L96" s="42">
        <v>6.13</v>
      </c>
      <c r="M96" s="42">
        <v>0</v>
      </c>
      <c r="N96" s="42">
        <v>0</v>
      </c>
      <c r="O96" s="42">
        <v>0</v>
      </c>
      <c r="P96" s="42">
        <v>0</v>
      </c>
      <c r="Q96" s="42">
        <v>1.97</v>
      </c>
      <c r="R96" s="43" t="str">
        <f t="shared" si="11"/>
        <v>SI</v>
      </c>
      <c r="S96" s="43" t="str">
        <f t="shared" si="10"/>
        <v>Sin Riesgo</v>
      </c>
      <c r="T96" s="18"/>
      <c r="U96" s="18"/>
      <c r="V96" s="18"/>
      <c r="W96" s="18"/>
    </row>
    <row r="97" spans="1:23" ht="30" customHeight="1" x14ac:dyDescent="0.2">
      <c r="A97" s="38" t="s">
        <v>36</v>
      </c>
      <c r="B97" s="39" t="s">
        <v>283</v>
      </c>
      <c r="C97" s="40" t="s">
        <v>149</v>
      </c>
      <c r="D97" s="41">
        <v>2241</v>
      </c>
      <c r="E97" s="42"/>
      <c r="F97" s="42"/>
      <c r="G97" s="42">
        <v>0</v>
      </c>
      <c r="H97" s="42">
        <v>0</v>
      </c>
      <c r="I97" s="42">
        <v>6.45</v>
      </c>
      <c r="J97" s="42">
        <v>0</v>
      </c>
      <c r="K97" s="42">
        <v>8.85</v>
      </c>
      <c r="L97" s="42">
        <v>10.08</v>
      </c>
      <c r="M97" s="42">
        <v>0</v>
      </c>
      <c r="N97" s="42">
        <v>0</v>
      </c>
      <c r="O97" s="42">
        <v>0</v>
      </c>
      <c r="P97" s="42">
        <v>0</v>
      </c>
      <c r="Q97" s="42">
        <v>2.63</v>
      </c>
      <c r="R97" s="43" t="str">
        <f t="shared" si="11"/>
        <v>SI</v>
      </c>
      <c r="S97" s="43" t="str">
        <f t="shared" si="10"/>
        <v>Sin Riesgo</v>
      </c>
      <c r="T97" s="18"/>
      <c r="U97" s="18"/>
      <c r="V97" s="18"/>
      <c r="W97" s="18"/>
    </row>
    <row r="98" spans="1:23" ht="30" customHeight="1" x14ac:dyDescent="0.2">
      <c r="A98" s="38" t="s">
        <v>33</v>
      </c>
      <c r="B98" s="39" t="s">
        <v>150</v>
      </c>
      <c r="C98" s="40" t="s">
        <v>151</v>
      </c>
      <c r="D98" s="41">
        <v>7158</v>
      </c>
      <c r="E98" s="42"/>
      <c r="F98" s="42"/>
      <c r="G98" s="42">
        <v>0.88</v>
      </c>
      <c r="H98" s="42">
        <v>1.94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1.19</v>
      </c>
      <c r="Q98" s="42">
        <v>0.32</v>
      </c>
      <c r="R98" s="43" t="str">
        <f t="shared" si="11"/>
        <v>SI</v>
      </c>
      <c r="S98" s="43" t="str">
        <f t="shared" si="10"/>
        <v>Sin Riesgo</v>
      </c>
      <c r="T98" s="18"/>
      <c r="U98" s="18"/>
      <c r="V98" s="18"/>
      <c r="W98" s="18"/>
    </row>
    <row r="99" spans="1:23" ht="30" customHeight="1" x14ac:dyDescent="0.2">
      <c r="A99" s="38" t="s">
        <v>33</v>
      </c>
      <c r="B99" s="39" t="s">
        <v>150</v>
      </c>
      <c r="C99" s="40" t="s">
        <v>152</v>
      </c>
      <c r="D99" s="41">
        <v>1375</v>
      </c>
      <c r="E99" s="42"/>
      <c r="F99" s="42"/>
      <c r="G99" s="42">
        <v>0</v>
      </c>
      <c r="H99" s="42">
        <v>9.0299999999999994</v>
      </c>
      <c r="I99" s="42">
        <v>0</v>
      </c>
      <c r="J99" s="42">
        <v>0</v>
      </c>
      <c r="K99" s="42">
        <v>8.85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1.85</v>
      </c>
      <c r="R99" s="43" t="str">
        <f t="shared" si="11"/>
        <v>SI</v>
      </c>
      <c r="S99" s="43" t="str">
        <f t="shared" si="10"/>
        <v>Sin Riesgo</v>
      </c>
      <c r="T99" s="18"/>
      <c r="U99" s="18"/>
      <c r="V99" s="18"/>
      <c r="W99" s="18"/>
    </row>
    <row r="100" spans="1:23" ht="30" customHeight="1" x14ac:dyDescent="0.2">
      <c r="A100" s="38" t="s">
        <v>33</v>
      </c>
      <c r="B100" s="39" t="s">
        <v>150</v>
      </c>
      <c r="C100" s="40" t="s">
        <v>153</v>
      </c>
      <c r="D100" s="41">
        <v>975</v>
      </c>
      <c r="E100" s="42"/>
      <c r="F100" s="42"/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3" t="str">
        <f t="shared" si="11"/>
        <v>SI</v>
      </c>
      <c r="S100" s="43" t="str">
        <f t="shared" si="10"/>
        <v>Sin Riesgo</v>
      </c>
      <c r="T100" s="18"/>
      <c r="U100" s="18"/>
      <c r="V100" s="18"/>
      <c r="W100" s="18"/>
    </row>
    <row r="101" spans="1:23" ht="30" customHeight="1" x14ac:dyDescent="0.2">
      <c r="A101" s="38" t="s">
        <v>11</v>
      </c>
      <c r="B101" s="39" t="s">
        <v>154</v>
      </c>
      <c r="C101" s="40" t="s">
        <v>63</v>
      </c>
      <c r="D101" s="41">
        <v>7243</v>
      </c>
      <c r="E101" s="42"/>
      <c r="F101" s="42"/>
      <c r="G101" s="42"/>
      <c r="H101" s="42"/>
      <c r="I101" s="42"/>
      <c r="J101" s="42"/>
      <c r="K101" s="42">
        <v>0</v>
      </c>
      <c r="L101" s="42">
        <v>19.350000000000001</v>
      </c>
      <c r="M101" s="42">
        <v>0</v>
      </c>
      <c r="N101" s="42">
        <v>0</v>
      </c>
      <c r="O101" s="42">
        <v>5.53</v>
      </c>
      <c r="P101" s="42">
        <v>0</v>
      </c>
      <c r="Q101" s="42">
        <v>3.23</v>
      </c>
      <c r="R101" s="43" t="str">
        <f t="shared" si="11"/>
        <v>SI</v>
      </c>
      <c r="S101" s="43" t="str">
        <f t="shared" si="10"/>
        <v>Sin Riesgo</v>
      </c>
      <c r="T101" s="18"/>
      <c r="U101" s="18"/>
      <c r="V101" s="18"/>
      <c r="W101" s="18"/>
    </row>
    <row r="102" spans="1:23" ht="30" customHeight="1" x14ac:dyDescent="0.2">
      <c r="A102" s="38" t="s">
        <v>36</v>
      </c>
      <c r="B102" s="39" t="s">
        <v>284</v>
      </c>
      <c r="C102" s="40" t="s">
        <v>155</v>
      </c>
      <c r="D102" s="41">
        <v>400</v>
      </c>
      <c r="E102" s="42"/>
      <c r="F102" s="42"/>
      <c r="G102" s="42">
        <v>24.15</v>
      </c>
      <c r="H102" s="42">
        <v>32.450000000000003</v>
      </c>
      <c r="I102" s="42">
        <v>6.45</v>
      </c>
      <c r="J102" s="42">
        <v>13.28</v>
      </c>
      <c r="K102" s="42">
        <v>0</v>
      </c>
      <c r="L102" s="42">
        <v>23.6</v>
      </c>
      <c r="M102" s="42">
        <v>0</v>
      </c>
      <c r="N102" s="42">
        <v>15.3</v>
      </c>
      <c r="O102" s="42">
        <v>8.85</v>
      </c>
      <c r="P102" s="42">
        <v>0</v>
      </c>
      <c r="Q102" s="42">
        <v>13.29</v>
      </c>
      <c r="R102" s="43" t="str">
        <f t="shared" si="11"/>
        <v>NO</v>
      </c>
      <c r="S102" s="43" t="str">
        <f t="shared" si="10"/>
        <v>Bajo</v>
      </c>
      <c r="T102" s="18"/>
      <c r="U102" s="18"/>
      <c r="V102" s="18"/>
      <c r="W102" s="18"/>
    </row>
    <row r="103" spans="1:23" ht="30" customHeight="1" x14ac:dyDescent="0.2">
      <c r="A103" s="38" t="s">
        <v>36</v>
      </c>
      <c r="B103" s="39" t="s">
        <v>284</v>
      </c>
      <c r="C103" s="40" t="s">
        <v>156</v>
      </c>
      <c r="D103" s="41">
        <v>1182</v>
      </c>
      <c r="E103" s="42"/>
      <c r="F103" s="42"/>
      <c r="G103" s="42">
        <v>0</v>
      </c>
      <c r="H103" s="42">
        <v>0</v>
      </c>
      <c r="I103" s="42">
        <v>0</v>
      </c>
      <c r="J103" s="42">
        <v>0</v>
      </c>
      <c r="K103" s="42">
        <v>15.3</v>
      </c>
      <c r="L103" s="42">
        <v>9.1999999999999993</v>
      </c>
      <c r="M103" s="42">
        <v>32.450000000000003</v>
      </c>
      <c r="N103" s="42">
        <v>38.9</v>
      </c>
      <c r="O103" s="42">
        <v>64.900000000000006</v>
      </c>
      <c r="P103" s="42">
        <v>0</v>
      </c>
      <c r="Q103" s="42">
        <v>16.89</v>
      </c>
      <c r="R103" s="43" t="str">
        <f t="shared" si="11"/>
        <v>NO</v>
      </c>
      <c r="S103" s="43" t="str">
        <f t="shared" si="10"/>
        <v>Medio</v>
      </c>
      <c r="T103" s="18"/>
      <c r="U103" s="18"/>
      <c r="V103" s="18"/>
      <c r="W103" s="18"/>
    </row>
    <row r="104" spans="1:23" ht="30" customHeight="1" x14ac:dyDescent="0.2">
      <c r="A104" s="38" t="s">
        <v>33</v>
      </c>
      <c r="B104" s="39" t="s">
        <v>285</v>
      </c>
      <c r="C104" s="40" t="s">
        <v>157</v>
      </c>
      <c r="D104" s="41">
        <v>2401</v>
      </c>
      <c r="E104" s="42"/>
      <c r="F104" s="42"/>
      <c r="G104" s="42">
        <v>8.85</v>
      </c>
      <c r="H104" s="42">
        <v>0</v>
      </c>
      <c r="I104" s="42">
        <v>8.85</v>
      </c>
      <c r="J104" s="42">
        <v>15.48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3.7</v>
      </c>
      <c r="R104" s="43" t="str">
        <f t="shared" si="11"/>
        <v>SI</v>
      </c>
      <c r="S104" s="43" t="str">
        <f t="shared" si="10"/>
        <v>Sin Riesgo</v>
      </c>
      <c r="T104" s="18"/>
      <c r="U104" s="18"/>
      <c r="V104" s="18"/>
      <c r="W104" s="18"/>
    </row>
    <row r="105" spans="1:23" ht="30" customHeight="1" x14ac:dyDescent="0.2">
      <c r="A105" s="38" t="s">
        <v>32</v>
      </c>
      <c r="B105" s="39" t="s">
        <v>286</v>
      </c>
      <c r="C105" s="40" t="s">
        <v>158</v>
      </c>
      <c r="D105" s="41">
        <v>639</v>
      </c>
      <c r="E105" s="42"/>
      <c r="F105" s="42"/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3" t="str">
        <f t="shared" si="11"/>
        <v>SI</v>
      </c>
      <c r="S105" s="43" t="str">
        <f t="shared" si="10"/>
        <v>Sin Riesgo</v>
      </c>
      <c r="T105" s="18"/>
      <c r="U105" s="18"/>
      <c r="V105" s="18"/>
      <c r="W105" s="18"/>
    </row>
    <row r="106" spans="1:23" ht="30" customHeight="1" x14ac:dyDescent="0.2">
      <c r="A106" s="38" t="s">
        <v>40</v>
      </c>
      <c r="B106" s="39" t="s">
        <v>159</v>
      </c>
      <c r="C106" s="40" t="s">
        <v>160</v>
      </c>
      <c r="D106" s="41">
        <v>818</v>
      </c>
      <c r="E106" s="42"/>
      <c r="F106" s="42"/>
      <c r="G106" s="42">
        <v>26.18</v>
      </c>
      <c r="H106" s="42">
        <v>17.88</v>
      </c>
      <c r="I106" s="42">
        <v>8.85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2.58</v>
      </c>
      <c r="P106" s="42">
        <v>0</v>
      </c>
      <c r="Q106" s="42">
        <v>5.95</v>
      </c>
      <c r="R106" s="43" t="str">
        <f t="shared" si="11"/>
        <v>NO</v>
      </c>
      <c r="S106" s="43" t="str">
        <f t="shared" si="10"/>
        <v>Bajo</v>
      </c>
      <c r="T106" s="18"/>
      <c r="U106" s="18"/>
      <c r="V106" s="18"/>
      <c r="W106" s="18"/>
    </row>
    <row r="107" spans="1:23" ht="30" customHeight="1" x14ac:dyDescent="0.2">
      <c r="A107" s="38" t="s">
        <v>33</v>
      </c>
      <c r="B107" s="39" t="s">
        <v>161</v>
      </c>
      <c r="C107" s="40" t="s">
        <v>162</v>
      </c>
      <c r="D107" s="41">
        <v>8656</v>
      </c>
      <c r="E107" s="42"/>
      <c r="F107" s="42"/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6.97</v>
      </c>
      <c r="M107" s="42">
        <v>0</v>
      </c>
      <c r="N107" s="42">
        <v>0</v>
      </c>
      <c r="O107" s="42">
        <v>0</v>
      </c>
      <c r="P107" s="42">
        <v>0</v>
      </c>
      <c r="Q107" s="42">
        <v>0.77</v>
      </c>
      <c r="R107" s="43" t="str">
        <f t="shared" si="11"/>
        <v>SI</v>
      </c>
      <c r="S107" s="43" t="str">
        <f t="shared" si="10"/>
        <v>Sin Riesgo</v>
      </c>
      <c r="T107" s="18"/>
      <c r="U107" s="18"/>
      <c r="V107" s="18"/>
      <c r="W107" s="18"/>
    </row>
    <row r="108" spans="1:23" ht="30" customHeight="1" x14ac:dyDescent="0.2">
      <c r="A108" s="38" t="s">
        <v>33</v>
      </c>
      <c r="B108" s="39" t="s">
        <v>161</v>
      </c>
      <c r="C108" s="40" t="s">
        <v>163</v>
      </c>
      <c r="D108" s="41">
        <v>854</v>
      </c>
      <c r="E108" s="42"/>
      <c r="F108" s="42"/>
      <c r="G108" s="42">
        <v>0</v>
      </c>
      <c r="H108" s="42">
        <v>6.45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0.72</v>
      </c>
      <c r="R108" s="43" t="str">
        <f t="shared" si="11"/>
        <v>SI</v>
      </c>
      <c r="S108" s="43" t="str">
        <f t="shared" si="10"/>
        <v>Sin Riesgo</v>
      </c>
      <c r="T108" s="18"/>
      <c r="U108" s="18"/>
      <c r="V108" s="18"/>
      <c r="W108" s="18"/>
    </row>
    <row r="109" spans="1:23" ht="30" customHeight="1" x14ac:dyDescent="0.2">
      <c r="A109" s="38" t="s">
        <v>11</v>
      </c>
      <c r="B109" s="39" t="s">
        <v>164</v>
      </c>
      <c r="C109" s="40" t="s">
        <v>63</v>
      </c>
      <c r="D109" s="41">
        <v>827165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>
        <v>0</v>
      </c>
      <c r="R109" s="43" t="str">
        <f t="shared" si="11"/>
        <v>SI</v>
      </c>
      <c r="S109" s="43" t="str">
        <f t="shared" si="10"/>
        <v>Sin Riesgo</v>
      </c>
      <c r="T109" s="18"/>
      <c r="U109" s="18"/>
      <c r="V109" s="18"/>
      <c r="W109" s="18"/>
    </row>
    <row r="110" spans="1:23" ht="30" customHeight="1" x14ac:dyDescent="0.2">
      <c r="A110" s="38" t="s">
        <v>36</v>
      </c>
      <c r="B110" s="39" t="s">
        <v>165</v>
      </c>
      <c r="C110" s="40" t="s">
        <v>166</v>
      </c>
      <c r="D110" s="41">
        <v>535</v>
      </c>
      <c r="E110" s="42"/>
      <c r="F110" s="42"/>
      <c r="G110" s="42">
        <v>9.0299999999999994</v>
      </c>
      <c r="H110" s="42">
        <v>9.0299999999999994</v>
      </c>
      <c r="I110" s="42">
        <v>0</v>
      </c>
      <c r="J110" s="42">
        <v>8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49.03</v>
      </c>
      <c r="Q110" s="42">
        <v>6.08</v>
      </c>
      <c r="R110" s="43" t="str">
        <f t="shared" si="11"/>
        <v>NO</v>
      </c>
      <c r="S110" s="43" t="str">
        <f t="shared" si="10"/>
        <v>Bajo</v>
      </c>
      <c r="T110" s="18"/>
      <c r="U110" s="18"/>
      <c r="V110" s="18"/>
      <c r="W110" s="18"/>
    </row>
    <row r="111" spans="1:23" ht="30" customHeight="1" x14ac:dyDescent="0.2">
      <c r="A111" s="38" t="s">
        <v>12</v>
      </c>
      <c r="B111" s="39" t="s">
        <v>287</v>
      </c>
      <c r="C111" s="40" t="s">
        <v>135</v>
      </c>
      <c r="D111" s="4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 t="s">
        <v>248</v>
      </c>
      <c r="R111" s="43" t="str">
        <f t="shared" si="11"/>
        <v>NO</v>
      </c>
      <c r="S111" s="43" t="str">
        <f t="shared" si="10"/>
        <v>Inviable Sanitariamente</v>
      </c>
      <c r="T111" s="18"/>
      <c r="U111" s="18"/>
      <c r="V111" s="18"/>
      <c r="W111" s="18"/>
    </row>
    <row r="112" spans="1:23" ht="30" customHeight="1" x14ac:dyDescent="0.2">
      <c r="A112" s="38" t="s">
        <v>12</v>
      </c>
      <c r="B112" s="39" t="s">
        <v>167</v>
      </c>
      <c r="C112" s="40" t="s">
        <v>168</v>
      </c>
      <c r="D112" s="41">
        <v>889</v>
      </c>
      <c r="E112" s="42"/>
      <c r="F112" s="42"/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1.34</v>
      </c>
      <c r="M112" s="42">
        <v>0</v>
      </c>
      <c r="N112" s="42">
        <v>1.23</v>
      </c>
      <c r="O112" s="42">
        <v>8.85</v>
      </c>
      <c r="P112" s="42">
        <v>0</v>
      </c>
      <c r="Q112" s="42">
        <v>1.22</v>
      </c>
      <c r="R112" s="43" t="str">
        <f t="shared" si="11"/>
        <v>SI</v>
      </c>
      <c r="S112" s="43" t="str">
        <f t="shared" si="10"/>
        <v>Sin Riesgo</v>
      </c>
      <c r="T112" s="18"/>
      <c r="U112" s="18"/>
      <c r="V112" s="18"/>
      <c r="W112" s="18"/>
    </row>
    <row r="113" spans="1:23" ht="30" customHeight="1" x14ac:dyDescent="0.2">
      <c r="A113" s="38" t="s">
        <v>33</v>
      </c>
      <c r="B113" s="39" t="s">
        <v>169</v>
      </c>
      <c r="C113" s="40" t="s">
        <v>170</v>
      </c>
      <c r="D113" s="41">
        <v>667</v>
      </c>
      <c r="E113" s="42"/>
      <c r="F113" s="42"/>
      <c r="G113" s="42">
        <v>19.350000000000001</v>
      </c>
      <c r="H113" s="42">
        <v>70.97</v>
      </c>
      <c r="I113" s="42">
        <v>70.97</v>
      </c>
      <c r="J113" s="42">
        <v>70.97</v>
      </c>
      <c r="K113" s="42">
        <v>70.97</v>
      </c>
      <c r="L113" s="42"/>
      <c r="M113" s="42">
        <v>70.97</v>
      </c>
      <c r="N113" s="42"/>
      <c r="O113" s="42">
        <v>70.97</v>
      </c>
      <c r="P113" s="42">
        <v>70.97</v>
      </c>
      <c r="Q113" s="42">
        <v>64.52</v>
      </c>
      <c r="R113" s="43" t="str">
        <f t="shared" si="11"/>
        <v>NO</v>
      </c>
      <c r="S113" s="43" t="str">
        <f t="shared" si="10"/>
        <v>Alto</v>
      </c>
      <c r="T113" s="18"/>
      <c r="U113" s="18"/>
      <c r="V113" s="18"/>
      <c r="W113" s="18"/>
    </row>
    <row r="114" spans="1:23" ht="30" customHeight="1" x14ac:dyDescent="0.2">
      <c r="A114" s="38" t="s">
        <v>33</v>
      </c>
      <c r="B114" s="39" t="s">
        <v>169</v>
      </c>
      <c r="C114" s="40" t="s">
        <v>249</v>
      </c>
      <c r="D114" s="41">
        <v>45</v>
      </c>
      <c r="E114" s="42"/>
      <c r="F114" s="42"/>
      <c r="G114" s="42">
        <v>70.97</v>
      </c>
      <c r="H114" s="42">
        <v>38.71</v>
      </c>
      <c r="I114" s="42">
        <v>38.71</v>
      </c>
      <c r="J114" s="42">
        <v>70.97</v>
      </c>
      <c r="K114" s="42">
        <v>70.97</v>
      </c>
      <c r="L114" s="42"/>
      <c r="M114" s="42">
        <v>70.97</v>
      </c>
      <c r="N114" s="42"/>
      <c r="O114" s="42">
        <v>70.97</v>
      </c>
      <c r="P114" s="42">
        <v>70.97</v>
      </c>
      <c r="Q114" s="42">
        <v>62.91</v>
      </c>
      <c r="R114" s="43" t="str">
        <f t="shared" si="11"/>
        <v>NO</v>
      </c>
      <c r="S114" s="43" t="str">
        <f t="shared" si="10"/>
        <v>Alto</v>
      </c>
      <c r="T114" s="18"/>
      <c r="U114" s="18"/>
      <c r="V114" s="18"/>
      <c r="W114" s="18"/>
    </row>
    <row r="115" spans="1:23" ht="30" customHeight="1" x14ac:dyDescent="0.2">
      <c r="A115" s="38" t="s">
        <v>33</v>
      </c>
      <c r="B115" s="39" t="s">
        <v>169</v>
      </c>
      <c r="C115" s="40" t="s">
        <v>250</v>
      </c>
      <c r="D115" s="41">
        <v>45</v>
      </c>
      <c r="E115" s="42"/>
      <c r="F115" s="42"/>
      <c r="G115" s="42">
        <v>70.97</v>
      </c>
      <c r="H115" s="42">
        <v>70.97</v>
      </c>
      <c r="I115" s="42">
        <v>90.32</v>
      </c>
      <c r="J115" s="42">
        <v>90.32</v>
      </c>
      <c r="K115" s="42">
        <v>90.32</v>
      </c>
      <c r="L115" s="42"/>
      <c r="M115" s="42"/>
      <c r="N115" s="42"/>
      <c r="O115" s="42">
        <v>70.97</v>
      </c>
      <c r="P115" s="42">
        <v>70.97</v>
      </c>
      <c r="Q115" s="42">
        <v>79.260000000000005</v>
      </c>
      <c r="R115" s="43" t="str">
        <f t="shared" si="11"/>
        <v>NO</v>
      </c>
      <c r="S115" s="43" t="str">
        <f t="shared" si="10"/>
        <v>Alto</v>
      </c>
      <c r="T115" s="18"/>
      <c r="U115" s="18"/>
      <c r="V115" s="18"/>
      <c r="W115" s="18"/>
    </row>
    <row r="116" spans="1:23" ht="30" customHeight="1" x14ac:dyDescent="0.2">
      <c r="A116" s="38" t="s">
        <v>33</v>
      </c>
      <c r="B116" s="39" t="s">
        <v>169</v>
      </c>
      <c r="C116" s="40" t="s">
        <v>251</v>
      </c>
      <c r="D116" s="41">
        <v>134</v>
      </c>
      <c r="E116" s="42"/>
      <c r="F116" s="42"/>
      <c r="G116" s="42">
        <v>0</v>
      </c>
      <c r="H116" s="42">
        <v>41.38</v>
      </c>
      <c r="I116" s="42">
        <v>0</v>
      </c>
      <c r="J116" s="42">
        <v>6.45</v>
      </c>
      <c r="K116" s="42">
        <v>0</v>
      </c>
      <c r="L116" s="42">
        <v>13.28</v>
      </c>
      <c r="M116" s="42">
        <v>0</v>
      </c>
      <c r="N116" s="42">
        <v>26.55</v>
      </c>
      <c r="O116" s="42">
        <v>0</v>
      </c>
      <c r="P116" s="42">
        <v>9.68</v>
      </c>
      <c r="Q116" s="42">
        <v>9</v>
      </c>
      <c r="R116" s="43" t="str">
        <f t="shared" si="11"/>
        <v>NO</v>
      </c>
      <c r="S116" s="43" t="str">
        <f t="shared" si="10"/>
        <v>Bajo</v>
      </c>
      <c r="T116" s="18"/>
      <c r="U116" s="18"/>
      <c r="V116" s="18"/>
      <c r="W116" s="18"/>
    </row>
    <row r="117" spans="1:23" ht="30" customHeight="1" x14ac:dyDescent="0.2">
      <c r="A117" s="38" t="s">
        <v>38</v>
      </c>
      <c r="B117" s="39" t="s">
        <v>288</v>
      </c>
      <c r="C117" s="40" t="s">
        <v>171</v>
      </c>
      <c r="D117" s="41">
        <v>1793</v>
      </c>
      <c r="E117" s="42"/>
      <c r="F117" s="42"/>
      <c r="G117" s="42">
        <v>0</v>
      </c>
      <c r="H117" s="42">
        <v>0</v>
      </c>
      <c r="I117" s="42">
        <v>6.45</v>
      </c>
      <c r="J117" s="42">
        <v>0</v>
      </c>
      <c r="K117" s="42">
        <v>0</v>
      </c>
      <c r="L117" s="42">
        <v>0</v>
      </c>
      <c r="M117" s="42"/>
      <c r="N117" s="42"/>
      <c r="O117" s="42">
        <v>0</v>
      </c>
      <c r="P117" s="42"/>
      <c r="Q117" s="42">
        <v>1.49</v>
      </c>
      <c r="R117" s="43" t="str">
        <f t="shared" si="11"/>
        <v>SI</v>
      </c>
      <c r="S117" s="43" t="str">
        <f t="shared" si="10"/>
        <v>Sin Riesgo</v>
      </c>
      <c r="T117" s="18"/>
      <c r="U117" s="18"/>
      <c r="V117" s="18"/>
      <c r="W117" s="18"/>
    </row>
    <row r="118" spans="1:23" ht="30" customHeight="1" x14ac:dyDescent="0.2">
      <c r="A118" s="38" t="s">
        <v>12</v>
      </c>
      <c r="B118" s="39" t="s">
        <v>172</v>
      </c>
      <c r="C118" s="40" t="s">
        <v>173</v>
      </c>
      <c r="D118" s="41">
        <v>2241</v>
      </c>
      <c r="E118" s="42"/>
      <c r="F118" s="42"/>
      <c r="G118" s="42">
        <v>0</v>
      </c>
      <c r="H118" s="42">
        <v>0</v>
      </c>
      <c r="I118" s="42">
        <v>0.88</v>
      </c>
      <c r="J118" s="42">
        <v>0.65</v>
      </c>
      <c r="K118" s="42">
        <v>0</v>
      </c>
      <c r="L118" s="42">
        <v>0</v>
      </c>
      <c r="M118" s="42">
        <v>0</v>
      </c>
      <c r="N118" s="42">
        <v>1.23</v>
      </c>
      <c r="O118" s="42">
        <v>2.58</v>
      </c>
      <c r="P118" s="42">
        <v>14.52</v>
      </c>
      <c r="Q118" s="42">
        <v>1.55</v>
      </c>
      <c r="R118" s="43" t="str">
        <f t="shared" si="11"/>
        <v>SI</v>
      </c>
      <c r="S118" s="43" t="str">
        <f t="shared" si="10"/>
        <v>Sin Riesgo</v>
      </c>
      <c r="T118" s="18"/>
      <c r="U118" s="18"/>
      <c r="V118" s="18"/>
      <c r="W118" s="18"/>
    </row>
    <row r="119" spans="1:23" ht="30" customHeight="1" x14ac:dyDescent="0.2">
      <c r="A119" s="38" t="s">
        <v>32</v>
      </c>
      <c r="B119" s="39" t="s">
        <v>174</v>
      </c>
      <c r="C119" s="40" t="s">
        <v>175</v>
      </c>
      <c r="D119" s="41">
        <v>62</v>
      </c>
      <c r="E119" s="42"/>
      <c r="F119" s="42"/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6.45</v>
      </c>
      <c r="P119" s="42">
        <v>9.68</v>
      </c>
      <c r="Q119" s="42">
        <v>1.38</v>
      </c>
      <c r="R119" s="43" t="str">
        <f t="shared" si="11"/>
        <v>SI</v>
      </c>
      <c r="S119" s="43" t="str">
        <f t="shared" si="10"/>
        <v>Sin Riesgo</v>
      </c>
      <c r="T119" s="18"/>
      <c r="U119" s="18"/>
      <c r="V119" s="18"/>
      <c r="W119" s="18"/>
    </row>
    <row r="120" spans="1:23" ht="30" customHeight="1" x14ac:dyDescent="0.2">
      <c r="A120" s="38" t="s">
        <v>33</v>
      </c>
      <c r="B120" s="39" t="s">
        <v>176</v>
      </c>
      <c r="C120" s="40" t="s">
        <v>177</v>
      </c>
      <c r="D120" s="41">
        <v>2921</v>
      </c>
      <c r="E120" s="42"/>
      <c r="F120" s="42"/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3" t="str">
        <f t="shared" si="11"/>
        <v>SI</v>
      </c>
      <c r="S120" s="43" t="str">
        <f t="shared" si="10"/>
        <v>Sin Riesgo</v>
      </c>
      <c r="T120" s="18"/>
      <c r="U120" s="18"/>
      <c r="V120" s="18"/>
      <c r="W120" s="18"/>
    </row>
    <row r="121" spans="1:23" ht="30" customHeight="1" x14ac:dyDescent="0.2">
      <c r="A121" s="38" t="s">
        <v>32</v>
      </c>
      <c r="B121" s="39" t="s">
        <v>289</v>
      </c>
      <c r="C121" s="40" t="s">
        <v>178</v>
      </c>
      <c r="D121" s="41">
        <v>408</v>
      </c>
      <c r="E121" s="42"/>
      <c r="F121" s="42"/>
      <c r="G121" s="42">
        <v>0</v>
      </c>
      <c r="H121" s="42">
        <v>9.0299999999999994</v>
      </c>
      <c r="I121" s="42">
        <v>15.3</v>
      </c>
      <c r="J121" s="42">
        <v>59.24</v>
      </c>
      <c r="K121" s="42">
        <v>0</v>
      </c>
      <c r="L121" s="42">
        <v>9.1999999999999993</v>
      </c>
      <c r="M121" s="42">
        <v>0</v>
      </c>
      <c r="N121" s="42">
        <v>9.68</v>
      </c>
      <c r="O121" s="42">
        <v>9.0299999999999994</v>
      </c>
      <c r="P121" s="42">
        <v>0</v>
      </c>
      <c r="Q121" s="42">
        <v>13.15</v>
      </c>
      <c r="R121" s="43" t="str">
        <f t="shared" si="11"/>
        <v>NO</v>
      </c>
      <c r="S121" s="43" t="str">
        <f t="shared" si="10"/>
        <v>Bajo</v>
      </c>
      <c r="T121" s="18"/>
      <c r="U121" s="18"/>
      <c r="V121" s="18"/>
      <c r="W121" s="18"/>
    </row>
    <row r="122" spans="1:23" ht="30" customHeight="1" x14ac:dyDescent="0.2">
      <c r="A122" s="38" t="s">
        <v>36</v>
      </c>
      <c r="B122" s="39" t="s">
        <v>290</v>
      </c>
      <c r="C122" s="40" t="s">
        <v>179</v>
      </c>
      <c r="D122" s="41">
        <v>1278</v>
      </c>
      <c r="E122" s="42"/>
      <c r="F122" s="42"/>
      <c r="G122" s="42">
        <v>0</v>
      </c>
      <c r="H122" s="42">
        <v>0</v>
      </c>
      <c r="I122" s="42">
        <v>6.45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6.45</v>
      </c>
      <c r="P122" s="42">
        <v>0</v>
      </c>
      <c r="Q122" s="42">
        <v>1.33</v>
      </c>
      <c r="R122" s="43" t="str">
        <f t="shared" si="11"/>
        <v>SI</v>
      </c>
      <c r="S122" s="43" t="str">
        <f t="shared" si="10"/>
        <v>Sin Riesgo</v>
      </c>
      <c r="T122" s="18"/>
      <c r="U122" s="18"/>
      <c r="V122" s="18"/>
      <c r="W122" s="18"/>
    </row>
    <row r="123" spans="1:23" ht="30" customHeight="1" x14ac:dyDescent="0.2">
      <c r="A123" s="38" t="s">
        <v>40</v>
      </c>
      <c r="B123" s="39" t="s">
        <v>291</v>
      </c>
      <c r="C123" s="40" t="s">
        <v>180</v>
      </c>
      <c r="D123" s="41">
        <v>9227</v>
      </c>
      <c r="E123" s="42"/>
      <c r="F123" s="42"/>
      <c r="G123" s="42">
        <v>26.32</v>
      </c>
      <c r="H123" s="42">
        <v>14.73</v>
      </c>
      <c r="I123" s="42">
        <v>5.31</v>
      </c>
      <c r="J123" s="42">
        <v>6.97</v>
      </c>
      <c r="K123" s="42">
        <v>6.78</v>
      </c>
      <c r="L123" s="42">
        <v>6.45</v>
      </c>
      <c r="M123" s="42">
        <v>10.210000000000001</v>
      </c>
      <c r="N123" s="42">
        <v>1.94</v>
      </c>
      <c r="O123" s="42">
        <v>0</v>
      </c>
      <c r="P123" s="42">
        <v>0</v>
      </c>
      <c r="Q123" s="42">
        <v>7.77</v>
      </c>
      <c r="R123" s="43" t="str">
        <f t="shared" si="11"/>
        <v>NO</v>
      </c>
      <c r="S123" s="43" t="str">
        <f t="shared" si="10"/>
        <v>Bajo</v>
      </c>
      <c r="T123" s="18"/>
      <c r="U123" s="18"/>
      <c r="V123" s="18"/>
      <c r="W123" s="18"/>
    </row>
    <row r="124" spans="1:23" ht="30" customHeight="1" x14ac:dyDescent="0.2">
      <c r="A124" s="38" t="s">
        <v>40</v>
      </c>
      <c r="B124" s="39" t="s">
        <v>181</v>
      </c>
      <c r="C124" s="40" t="s">
        <v>182</v>
      </c>
      <c r="D124" s="41">
        <v>1726</v>
      </c>
      <c r="E124" s="42"/>
      <c r="F124" s="42"/>
      <c r="G124" s="42">
        <v>0</v>
      </c>
      <c r="H124" s="42">
        <v>6.45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26.55</v>
      </c>
      <c r="P124" s="42">
        <v>48.95</v>
      </c>
      <c r="Q124" s="42">
        <v>6.54</v>
      </c>
      <c r="R124" s="43" t="str">
        <f t="shared" si="11"/>
        <v>NO</v>
      </c>
      <c r="S124" s="43" t="str">
        <f t="shared" si="10"/>
        <v>Bajo</v>
      </c>
      <c r="T124" s="18"/>
      <c r="U124" s="18"/>
      <c r="V124" s="18"/>
      <c r="W124" s="18"/>
    </row>
    <row r="125" spans="1:23" ht="30" customHeight="1" x14ac:dyDescent="0.2">
      <c r="A125" s="38" t="s">
        <v>40</v>
      </c>
      <c r="B125" s="39" t="s">
        <v>183</v>
      </c>
      <c r="C125" s="40" t="s">
        <v>54</v>
      </c>
      <c r="D125" s="41">
        <v>979</v>
      </c>
      <c r="E125" s="42"/>
      <c r="F125" s="42"/>
      <c r="G125" s="42">
        <v>0</v>
      </c>
      <c r="H125" s="42">
        <v>0</v>
      </c>
      <c r="I125" s="42">
        <v>0</v>
      </c>
      <c r="J125" s="42">
        <v>6.45</v>
      </c>
      <c r="K125" s="42">
        <v>0</v>
      </c>
      <c r="L125" s="42">
        <v>0</v>
      </c>
      <c r="M125" s="42">
        <v>6.45</v>
      </c>
      <c r="N125" s="42">
        <v>22.48</v>
      </c>
      <c r="O125" s="42">
        <v>0</v>
      </c>
      <c r="P125" s="42">
        <v>35.4</v>
      </c>
      <c r="Q125" s="42">
        <v>6.18</v>
      </c>
      <c r="R125" s="43" t="str">
        <f t="shared" si="11"/>
        <v>NO</v>
      </c>
      <c r="S125" s="43" t="str">
        <f t="shared" si="10"/>
        <v>Bajo</v>
      </c>
      <c r="T125" s="18"/>
      <c r="U125" s="18"/>
      <c r="V125" s="18"/>
      <c r="W125" s="18"/>
    </row>
    <row r="126" spans="1:23" ht="30" customHeight="1" x14ac:dyDescent="0.2">
      <c r="A126" s="38" t="s">
        <v>44</v>
      </c>
      <c r="B126" s="39" t="s">
        <v>184</v>
      </c>
      <c r="C126" s="40" t="s">
        <v>252</v>
      </c>
      <c r="D126" s="41">
        <v>2219</v>
      </c>
      <c r="E126" s="42"/>
      <c r="F126" s="42"/>
      <c r="G126" s="42">
        <v>6.45</v>
      </c>
      <c r="H126" s="42">
        <v>31.02</v>
      </c>
      <c r="I126" s="42">
        <v>18.829999999999998</v>
      </c>
      <c r="J126" s="42">
        <v>0.65</v>
      </c>
      <c r="K126" s="42">
        <v>0</v>
      </c>
      <c r="L126" s="42"/>
      <c r="M126" s="42"/>
      <c r="N126" s="42"/>
      <c r="O126" s="42"/>
      <c r="P126" s="42"/>
      <c r="Q126" s="42">
        <v>11.39</v>
      </c>
      <c r="R126" s="43" t="str">
        <f t="shared" si="11"/>
        <v>NO</v>
      </c>
      <c r="S126" s="43" t="str">
        <f t="shared" si="10"/>
        <v>Bajo</v>
      </c>
      <c r="T126" s="18"/>
      <c r="U126" s="18"/>
      <c r="V126" s="18"/>
      <c r="W126" s="18"/>
    </row>
    <row r="127" spans="1:23" ht="30" customHeight="1" x14ac:dyDescent="0.2">
      <c r="A127" s="38" t="s">
        <v>44</v>
      </c>
      <c r="B127" s="39" t="s">
        <v>184</v>
      </c>
      <c r="C127" s="40" t="s">
        <v>185</v>
      </c>
      <c r="D127" s="41">
        <v>2219</v>
      </c>
      <c r="E127" s="42"/>
      <c r="F127" s="42"/>
      <c r="G127" s="42"/>
      <c r="H127" s="42"/>
      <c r="I127" s="42"/>
      <c r="J127" s="42"/>
      <c r="K127" s="42"/>
      <c r="L127" s="42">
        <v>0</v>
      </c>
      <c r="M127" s="42">
        <v>0</v>
      </c>
      <c r="N127" s="42">
        <v>0</v>
      </c>
      <c r="O127" s="42">
        <v>2.58</v>
      </c>
      <c r="P127" s="42">
        <v>13.55</v>
      </c>
      <c r="Q127" s="42">
        <v>3.17</v>
      </c>
      <c r="R127" s="43" t="str">
        <f t="shared" si="11"/>
        <v>SI</v>
      </c>
      <c r="S127" s="43" t="str">
        <f t="shared" si="10"/>
        <v>Sin Riesgo</v>
      </c>
      <c r="T127" s="18"/>
      <c r="U127" s="18"/>
      <c r="V127" s="18"/>
      <c r="W127" s="18"/>
    </row>
    <row r="128" spans="1:23" ht="30" customHeight="1" x14ac:dyDescent="0.2">
      <c r="A128" s="38" t="s">
        <v>33</v>
      </c>
      <c r="B128" s="39" t="s">
        <v>292</v>
      </c>
      <c r="C128" s="40" t="s">
        <v>186</v>
      </c>
      <c r="D128" s="41">
        <v>2030</v>
      </c>
      <c r="E128" s="42"/>
      <c r="F128" s="42"/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6.13</v>
      </c>
      <c r="M128" s="42">
        <v>0</v>
      </c>
      <c r="N128" s="42">
        <v>0.88</v>
      </c>
      <c r="O128" s="42">
        <v>0</v>
      </c>
      <c r="P128" s="42">
        <v>0</v>
      </c>
      <c r="Q128" s="42">
        <v>0.73</v>
      </c>
      <c r="R128" s="43" t="str">
        <f t="shared" si="11"/>
        <v>SI</v>
      </c>
      <c r="S128" s="43" t="str">
        <f t="shared" si="10"/>
        <v>Sin Riesgo</v>
      </c>
      <c r="T128" s="18"/>
      <c r="U128" s="18"/>
      <c r="V128" s="18"/>
      <c r="W128" s="18"/>
    </row>
    <row r="129" spans="1:23" ht="30" customHeight="1" x14ac:dyDescent="0.2">
      <c r="A129" s="38" t="s">
        <v>33</v>
      </c>
      <c r="B129" s="39" t="s">
        <v>292</v>
      </c>
      <c r="C129" s="40" t="s">
        <v>187</v>
      </c>
      <c r="D129" s="41">
        <v>295</v>
      </c>
      <c r="E129" s="42"/>
      <c r="F129" s="42"/>
      <c r="G129" s="42">
        <v>0</v>
      </c>
      <c r="H129" s="42">
        <v>0</v>
      </c>
      <c r="I129" s="42">
        <v>8.85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0.92</v>
      </c>
      <c r="R129" s="43" t="str">
        <f t="shared" si="11"/>
        <v>SI</v>
      </c>
      <c r="S129" s="43" t="str">
        <f t="shared" si="10"/>
        <v>Sin Riesgo</v>
      </c>
      <c r="T129" s="18"/>
      <c r="U129" s="18"/>
      <c r="V129" s="18"/>
      <c r="W129" s="18"/>
    </row>
    <row r="130" spans="1:23" ht="30" customHeight="1" x14ac:dyDescent="0.2">
      <c r="A130" s="38" t="s">
        <v>33</v>
      </c>
      <c r="B130" s="39" t="s">
        <v>188</v>
      </c>
      <c r="C130" s="40" t="s">
        <v>189</v>
      </c>
      <c r="D130" s="41">
        <v>22450</v>
      </c>
      <c r="E130" s="42"/>
      <c r="F130" s="42"/>
      <c r="G130" s="42">
        <v>2.58</v>
      </c>
      <c r="H130" s="42">
        <v>1.94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1.94</v>
      </c>
      <c r="O130" s="42">
        <v>2.58</v>
      </c>
      <c r="P130" s="42">
        <v>0</v>
      </c>
      <c r="Q130" s="42">
        <v>0.94</v>
      </c>
      <c r="R130" s="43" t="str">
        <f t="shared" si="11"/>
        <v>SI</v>
      </c>
      <c r="S130" s="43" t="str">
        <f t="shared" si="10"/>
        <v>Sin Riesgo</v>
      </c>
      <c r="T130" s="18"/>
      <c r="U130" s="18"/>
      <c r="V130" s="18"/>
      <c r="W130" s="18"/>
    </row>
    <row r="131" spans="1:23" ht="30" customHeight="1" x14ac:dyDescent="0.2">
      <c r="A131" s="38" t="s">
        <v>32</v>
      </c>
      <c r="B131" s="39" t="s">
        <v>293</v>
      </c>
      <c r="C131" s="40" t="s">
        <v>190</v>
      </c>
      <c r="D131" s="41">
        <v>705</v>
      </c>
      <c r="E131" s="42"/>
      <c r="F131" s="42"/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17.7</v>
      </c>
      <c r="M131" s="42">
        <v>0</v>
      </c>
      <c r="N131" s="42">
        <v>0</v>
      </c>
      <c r="O131" s="42">
        <v>0</v>
      </c>
      <c r="P131" s="42">
        <v>0</v>
      </c>
      <c r="Q131" s="42">
        <v>2.04</v>
      </c>
      <c r="R131" s="43" t="str">
        <f t="shared" si="11"/>
        <v>SI</v>
      </c>
      <c r="S131" s="43" t="str">
        <f t="shared" si="10"/>
        <v>Sin Riesgo</v>
      </c>
      <c r="T131" s="18"/>
      <c r="U131" s="18"/>
      <c r="V131" s="18"/>
      <c r="W131" s="18"/>
    </row>
    <row r="132" spans="1:23" ht="30" customHeight="1" x14ac:dyDescent="0.2">
      <c r="A132" s="38" t="s">
        <v>11</v>
      </c>
      <c r="B132" s="39" t="s">
        <v>191</v>
      </c>
      <c r="C132" s="40" t="s">
        <v>63</v>
      </c>
      <c r="D132" s="41">
        <v>11003</v>
      </c>
      <c r="E132" s="42"/>
      <c r="F132" s="42"/>
      <c r="G132" s="42"/>
      <c r="H132" s="42"/>
      <c r="I132" s="42"/>
      <c r="J132" s="42"/>
      <c r="K132" s="42"/>
      <c r="L132" s="42">
        <v>4.6900000000000004</v>
      </c>
      <c r="M132" s="42"/>
      <c r="N132" s="42">
        <v>0</v>
      </c>
      <c r="O132" s="42">
        <v>0</v>
      </c>
      <c r="P132" s="42">
        <v>0</v>
      </c>
      <c r="Q132" s="42">
        <v>3</v>
      </c>
      <c r="R132" s="43" t="str">
        <f t="shared" si="11"/>
        <v>SI</v>
      </c>
      <c r="S132" s="43" t="str">
        <f t="shared" si="10"/>
        <v>Sin Riesgo</v>
      </c>
      <c r="T132" s="18"/>
      <c r="U132" s="18"/>
      <c r="V132" s="18"/>
      <c r="W132" s="18"/>
    </row>
    <row r="133" spans="1:23" ht="30" customHeight="1" x14ac:dyDescent="0.2">
      <c r="A133" s="38" t="s">
        <v>36</v>
      </c>
      <c r="B133" s="39" t="s">
        <v>192</v>
      </c>
      <c r="C133" s="40" t="s">
        <v>253</v>
      </c>
      <c r="D133" s="41">
        <v>1814</v>
      </c>
      <c r="E133" s="42"/>
      <c r="F133" s="42"/>
      <c r="G133" s="42">
        <v>0</v>
      </c>
      <c r="H133" s="42">
        <v>0</v>
      </c>
      <c r="I133" s="42">
        <v>0</v>
      </c>
      <c r="J133" s="42">
        <v>0</v>
      </c>
      <c r="K133" s="42">
        <v>8.85</v>
      </c>
      <c r="L133" s="42">
        <v>0</v>
      </c>
      <c r="M133" s="42">
        <v>0</v>
      </c>
      <c r="N133" s="42">
        <v>0</v>
      </c>
      <c r="O133" s="42">
        <v>6.5</v>
      </c>
      <c r="P133" s="42">
        <v>0</v>
      </c>
      <c r="Q133" s="42">
        <v>2.4</v>
      </c>
      <c r="R133" s="43" t="str">
        <f t="shared" si="11"/>
        <v>SI</v>
      </c>
      <c r="S133" s="43" t="str">
        <f t="shared" si="10"/>
        <v>Sin Riesgo</v>
      </c>
      <c r="T133" s="18"/>
      <c r="U133" s="18"/>
      <c r="V133" s="18"/>
      <c r="W133" s="18"/>
    </row>
    <row r="134" spans="1:23" ht="30" customHeight="1" x14ac:dyDescent="0.2">
      <c r="A134" s="38" t="s">
        <v>36</v>
      </c>
      <c r="B134" s="39" t="s">
        <v>192</v>
      </c>
      <c r="C134" s="40" t="s">
        <v>193</v>
      </c>
      <c r="D134" s="41">
        <v>145</v>
      </c>
      <c r="E134" s="42"/>
      <c r="F134" s="42"/>
      <c r="G134" s="42">
        <v>6.64</v>
      </c>
      <c r="H134" s="42">
        <v>13.55</v>
      </c>
      <c r="I134" s="42">
        <v>15.3</v>
      </c>
      <c r="J134" s="42">
        <v>8.85</v>
      </c>
      <c r="K134" s="42">
        <v>8.85</v>
      </c>
      <c r="L134" s="42">
        <v>19.350000000000001</v>
      </c>
      <c r="M134" s="42">
        <v>0</v>
      </c>
      <c r="N134" s="42">
        <v>6.13</v>
      </c>
      <c r="O134" s="42">
        <v>0</v>
      </c>
      <c r="P134" s="42">
        <v>9.68</v>
      </c>
      <c r="Q134" s="42">
        <v>7.77</v>
      </c>
      <c r="R134" s="43" t="str">
        <f t="shared" si="11"/>
        <v>NO</v>
      </c>
      <c r="S134" s="43" t="str">
        <f t="shared" si="10"/>
        <v>Bajo</v>
      </c>
      <c r="T134" s="18"/>
      <c r="U134" s="18"/>
      <c r="V134" s="18"/>
      <c r="W134" s="18"/>
    </row>
    <row r="135" spans="1:23" ht="30" customHeight="1" x14ac:dyDescent="0.2">
      <c r="A135" s="44" t="s">
        <v>19</v>
      </c>
      <c r="B135" s="39" t="s">
        <v>294</v>
      </c>
      <c r="C135" s="40" t="s">
        <v>194</v>
      </c>
      <c r="D135" s="41">
        <v>672</v>
      </c>
      <c r="E135" s="42"/>
      <c r="F135" s="42"/>
      <c r="G135" s="42">
        <v>41.48</v>
      </c>
      <c r="H135" s="42">
        <v>24.15</v>
      </c>
      <c r="I135" s="42">
        <v>8.85</v>
      </c>
      <c r="J135" s="42">
        <v>2.58</v>
      </c>
      <c r="K135" s="42">
        <v>0</v>
      </c>
      <c r="L135" s="42">
        <v>3.87</v>
      </c>
      <c r="M135" s="42">
        <v>3.53</v>
      </c>
      <c r="N135" s="42">
        <v>32.57</v>
      </c>
      <c r="O135" s="42">
        <v>18.57</v>
      </c>
      <c r="P135" s="42">
        <v>13.28</v>
      </c>
      <c r="Q135" s="42">
        <v>15.21</v>
      </c>
      <c r="R135" s="43" t="str">
        <f t="shared" si="11"/>
        <v>NO</v>
      </c>
      <c r="S135" s="43" t="str">
        <f t="shared" si="10"/>
        <v>Medio</v>
      </c>
      <c r="T135" s="18"/>
      <c r="U135" s="18"/>
      <c r="V135" s="18"/>
      <c r="W135" s="18"/>
    </row>
    <row r="136" spans="1:23" ht="30" customHeight="1" x14ac:dyDescent="0.2">
      <c r="A136" s="38" t="s">
        <v>33</v>
      </c>
      <c r="B136" s="39" t="s">
        <v>195</v>
      </c>
      <c r="C136" s="40" t="s">
        <v>196</v>
      </c>
      <c r="D136" s="41">
        <v>2365</v>
      </c>
      <c r="E136" s="42"/>
      <c r="F136" s="42"/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0.88</v>
      </c>
      <c r="M136" s="42">
        <v>0</v>
      </c>
      <c r="N136" s="42">
        <v>0</v>
      </c>
      <c r="O136" s="42">
        <v>0</v>
      </c>
      <c r="P136" s="42">
        <v>0</v>
      </c>
      <c r="Q136" s="42">
        <v>0.1</v>
      </c>
      <c r="R136" s="43" t="str">
        <f t="shared" si="11"/>
        <v>SI</v>
      </c>
      <c r="S136" s="43" t="str">
        <f t="shared" si="10"/>
        <v>Sin Riesgo</v>
      </c>
      <c r="T136" s="18"/>
      <c r="U136" s="18"/>
      <c r="V136" s="18"/>
      <c r="W136" s="18"/>
    </row>
    <row r="137" spans="1:23" ht="30" customHeight="1" x14ac:dyDescent="0.2">
      <c r="A137" s="38" t="s">
        <v>33</v>
      </c>
      <c r="B137" s="39" t="s">
        <v>197</v>
      </c>
      <c r="C137" s="40" t="s">
        <v>198</v>
      </c>
      <c r="D137" s="41">
        <v>598</v>
      </c>
      <c r="E137" s="42"/>
      <c r="F137" s="42"/>
      <c r="G137" s="42">
        <v>8.85</v>
      </c>
      <c r="H137" s="42">
        <v>7.1</v>
      </c>
      <c r="I137" s="42">
        <v>6.45</v>
      </c>
      <c r="J137" s="42">
        <v>32.450000000000003</v>
      </c>
      <c r="K137" s="42">
        <v>0</v>
      </c>
      <c r="L137" s="42">
        <v>0</v>
      </c>
      <c r="M137" s="42">
        <v>41.36</v>
      </c>
      <c r="N137" s="42">
        <v>84.16</v>
      </c>
      <c r="O137" s="42">
        <v>88.56</v>
      </c>
      <c r="P137" s="42">
        <v>97.71</v>
      </c>
      <c r="Q137" s="42">
        <v>35.31</v>
      </c>
      <c r="R137" s="43" t="str">
        <f t="shared" si="11"/>
        <v>NO</v>
      </c>
      <c r="S137" s="43" t="str">
        <f t="shared" si="10"/>
        <v>Alto</v>
      </c>
      <c r="T137" s="18"/>
      <c r="U137" s="18"/>
      <c r="V137" s="18"/>
      <c r="W137" s="18"/>
    </row>
    <row r="138" spans="1:23" ht="30" customHeight="1" x14ac:dyDescent="0.2">
      <c r="A138" s="38" t="s">
        <v>32</v>
      </c>
      <c r="B138" s="39" t="s">
        <v>199</v>
      </c>
      <c r="C138" s="40" t="s">
        <v>175</v>
      </c>
      <c r="D138" s="41">
        <v>1186</v>
      </c>
      <c r="E138" s="42"/>
      <c r="F138" s="42"/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3" t="str">
        <f t="shared" si="11"/>
        <v>SI</v>
      </c>
      <c r="S138" s="43" t="str">
        <f t="shared" si="10"/>
        <v>Sin Riesgo</v>
      </c>
      <c r="T138" s="18"/>
      <c r="U138" s="18"/>
      <c r="V138" s="18"/>
      <c r="W138" s="18"/>
    </row>
    <row r="139" spans="1:23" ht="30" customHeight="1" x14ac:dyDescent="0.2">
      <c r="A139" s="38" t="s">
        <v>19</v>
      </c>
      <c r="B139" s="39" t="s">
        <v>295</v>
      </c>
      <c r="C139" s="40" t="s">
        <v>54</v>
      </c>
      <c r="D139" s="41">
        <v>540</v>
      </c>
      <c r="E139" s="42"/>
      <c r="F139" s="42"/>
      <c r="G139" s="42">
        <v>16.13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1.33</v>
      </c>
      <c r="N139" s="42">
        <v>0</v>
      </c>
      <c r="O139" s="42">
        <v>0</v>
      </c>
      <c r="P139" s="42">
        <v>3.87</v>
      </c>
      <c r="Q139" s="42">
        <v>2.4500000000000002</v>
      </c>
      <c r="R139" s="43" t="str">
        <f t="shared" si="11"/>
        <v>SI</v>
      </c>
      <c r="S139" s="43" t="str">
        <f t="shared" ref="S139:S178" si="12">IF(Q139&lt;=5,"Sin Riesgo",IF(Q139 &lt;=14,"Bajo",IF(Q139&lt;=35,"Medio",IF(Q139&lt;=80,"Alto","Inviable Sanitariamente"))))</f>
        <v>Sin Riesgo</v>
      </c>
      <c r="T139" s="18"/>
      <c r="U139" s="18"/>
      <c r="V139" s="18"/>
      <c r="W139" s="18"/>
    </row>
    <row r="140" spans="1:23" ht="30" customHeight="1" x14ac:dyDescent="0.2">
      <c r="A140" s="38" t="s">
        <v>12</v>
      </c>
      <c r="B140" s="39" t="s">
        <v>296</v>
      </c>
      <c r="C140" s="40" t="s">
        <v>200</v>
      </c>
      <c r="D140" s="41">
        <v>1094</v>
      </c>
      <c r="E140" s="42"/>
      <c r="F140" s="42"/>
      <c r="G140" s="42">
        <v>97.59</v>
      </c>
      <c r="H140" s="42">
        <v>88.56</v>
      </c>
      <c r="I140" s="42">
        <v>96.39</v>
      </c>
      <c r="J140" s="42"/>
      <c r="K140" s="42">
        <v>97.27</v>
      </c>
      <c r="L140" s="42">
        <v>95.12</v>
      </c>
      <c r="M140" s="42">
        <v>80.680000000000007</v>
      </c>
      <c r="N140" s="42">
        <v>96.87</v>
      </c>
      <c r="O140" s="42">
        <v>88.35</v>
      </c>
      <c r="P140" s="42">
        <v>97.35</v>
      </c>
      <c r="Q140" s="42">
        <v>93.07</v>
      </c>
      <c r="R140" s="43" t="str">
        <f t="shared" si="11"/>
        <v>NO</v>
      </c>
      <c r="S140" s="43" t="str">
        <f t="shared" si="12"/>
        <v>Inviable Sanitariamente</v>
      </c>
      <c r="T140" s="18"/>
      <c r="U140" s="18"/>
      <c r="V140" s="18"/>
      <c r="W140" s="18"/>
    </row>
    <row r="141" spans="1:23" ht="30" customHeight="1" x14ac:dyDescent="0.2">
      <c r="A141" s="38" t="s">
        <v>33</v>
      </c>
      <c r="B141" s="39" t="s">
        <v>201</v>
      </c>
      <c r="C141" s="40" t="s">
        <v>202</v>
      </c>
      <c r="D141" s="41">
        <v>550</v>
      </c>
      <c r="E141" s="42"/>
      <c r="F141" s="42"/>
      <c r="G141" s="42">
        <v>7.1</v>
      </c>
      <c r="H141" s="42">
        <v>0</v>
      </c>
      <c r="I141" s="42">
        <v>0</v>
      </c>
      <c r="J141" s="42">
        <v>0.65</v>
      </c>
      <c r="K141" s="42">
        <v>0</v>
      </c>
      <c r="L141" s="42"/>
      <c r="M141" s="42">
        <v>0</v>
      </c>
      <c r="N141" s="42">
        <v>9.68</v>
      </c>
      <c r="O141" s="42">
        <v>17.7</v>
      </c>
      <c r="P141" s="42">
        <v>39.36</v>
      </c>
      <c r="Q141" s="42">
        <v>7.27</v>
      </c>
      <c r="R141" s="43" t="str">
        <f t="shared" si="11"/>
        <v>NO</v>
      </c>
      <c r="S141" s="43" t="str">
        <f t="shared" si="12"/>
        <v>Bajo</v>
      </c>
      <c r="T141" s="18"/>
      <c r="U141" s="18"/>
      <c r="V141" s="18"/>
      <c r="W141" s="18"/>
    </row>
    <row r="142" spans="1:23" ht="30" customHeight="1" x14ac:dyDescent="0.2">
      <c r="A142" s="38" t="s">
        <v>33</v>
      </c>
      <c r="B142" s="39" t="s">
        <v>201</v>
      </c>
      <c r="C142" s="40" t="s">
        <v>203</v>
      </c>
      <c r="D142" s="41">
        <v>955</v>
      </c>
      <c r="E142" s="42"/>
      <c r="F142" s="42"/>
      <c r="G142" s="42">
        <v>3.23</v>
      </c>
      <c r="H142" s="42">
        <v>23.6</v>
      </c>
      <c r="I142" s="42">
        <v>0</v>
      </c>
      <c r="J142" s="42">
        <v>0</v>
      </c>
      <c r="K142" s="42">
        <v>0</v>
      </c>
      <c r="L142" s="42"/>
      <c r="M142" s="42">
        <v>0</v>
      </c>
      <c r="N142" s="42">
        <v>3.87</v>
      </c>
      <c r="O142" s="42">
        <v>41.3</v>
      </c>
      <c r="P142" s="42">
        <v>9.68</v>
      </c>
      <c r="Q142" s="42">
        <v>9.64</v>
      </c>
      <c r="R142" s="43" t="str">
        <f t="shared" si="11"/>
        <v>NO</v>
      </c>
      <c r="S142" s="43" t="str">
        <f t="shared" si="12"/>
        <v>Bajo</v>
      </c>
      <c r="T142" s="18"/>
      <c r="U142" s="18"/>
      <c r="V142" s="18"/>
      <c r="W142" s="18"/>
    </row>
    <row r="143" spans="1:23" ht="30" customHeight="1" x14ac:dyDescent="0.2">
      <c r="A143" s="38" t="s">
        <v>19</v>
      </c>
      <c r="B143" s="39" t="s">
        <v>297</v>
      </c>
      <c r="C143" s="40" t="s">
        <v>54</v>
      </c>
      <c r="D143" s="41">
        <v>2530</v>
      </c>
      <c r="E143" s="42"/>
      <c r="F143" s="42"/>
      <c r="G143" s="42">
        <v>0.88</v>
      </c>
      <c r="H143" s="42">
        <v>0</v>
      </c>
      <c r="I143" s="42">
        <v>8.85</v>
      </c>
      <c r="J143" s="42">
        <v>0</v>
      </c>
      <c r="K143" s="42">
        <v>0</v>
      </c>
      <c r="L143" s="42">
        <v>0.59</v>
      </c>
      <c r="M143" s="42">
        <v>0</v>
      </c>
      <c r="N143" s="42">
        <v>0</v>
      </c>
      <c r="O143" s="42">
        <v>1.77</v>
      </c>
      <c r="P143" s="42">
        <v>0</v>
      </c>
      <c r="Q143" s="42">
        <v>1.25</v>
      </c>
      <c r="R143" s="43" t="str">
        <f t="shared" si="11"/>
        <v>SI</v>
      </c>
      <c r="S143" s="43" t="str">
        <f t="shared" si="12"/>
        <v>Sin Riesgo</v>
      </c>
      <c r="T143" s="18"/>
      <c r="U143" s="18"/>
      <c r="V143" s="18"/>
      <c r="W143" s="18"/>
    </row>
    <row r="144" spans="1:23" ht="30" customHeight="1" x14ac:dyDescent="0.2">
      <c r="A144" s="38" t="s">
        <v>12</v>
      </c>
      <c r="B144" s="39" t="s">
        <v>298</v>
      </c>
      <c r="C144" s="40" t="s">
        <v>204</v>
      </c>
      <c r="D144" s="41">
        <v>2231</v>
      </c>
      <c r="E144" s="42"/>
      <c r="F144" s="42"/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3" t="str">
        <f t="shared" si="11"/>
        <v>SI</v>
      </c>
      <c r="S144" s="43" t="str">
        <f t="shared" si="12"/>
        <v>Sin Riesgo</v>
      </c>
      <c r="T144" s="18"/>
      <c r="U144" s="18"/>
      <c r="V144" s="18"/>
      <c r="W144" s="18"/>
    </row>
    <row r="145" spans="1:23" ht="30" customHeight="1" x14ac:dyDescent="0.2">
      <c r="A145" s="38" t="s">
        <v>33</v>
      </c>
      <c r="B145" s="39" t="s">
        <v>205</v>
      </c>
      <c r="C145" s="40" t="s">
        <v>254</v>
      </c>
      <c r="D145" s="41">
        <v>2024</v>
      </c>
      <c r="E145" s="42"/>
      <c r="F145" s="42"/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9.68</v>
      </c>
      <c r="O145" s="42">
        <v>0</v>
      </c>
      <c r="P145" s="42">
        <v>0</v>
      </c>
      <c r="Q145" s="42">
        <v>0.72</v>
      </c>
      <c r="R145" s="43" t="str">
        <f t="shared" si="11"/>
        <v>SI</v>
      </c>
      <c r="S145" s="43" t="str">
        <f t="shared" si="12"/>
        <v>Sin Riesgo</v>
      </c>
      <c r="T145" s="18"/>
      <c r="U145" s="18"/>
      <c r="V145" s="18"/>
      <c r="W145" s="18"/>
    </row>
    <row r="146" spans="1:23" ht="30" customHeight="1" x14ac:dyDescent="0.2">
      <c r="A146" s="38" t="s">
        <v>44</v>
      </c>
      <c r="B146" s="39" t="s">
        <v>206</v>
      </c>
      <c r="C146" s="40" t="s">
        <v>207</v>
      </c>
      <c r="D146" s="41">
        <v>1432</v>
      </c>
      <c r="E146" s="42"/>
      <c r="F146" s="42"/>
      <c r="G146" s="42">
        <v>0</v>
      </c>
      <c r="H146" s="42">
        <v>0</v>
      </c>
      <c r="I146" s="42">
        <v>0</v>
      </c>
      <c r="J146" s="42">
        <v>23.6</v>
      </c>
      <c r="K146" s="42">
        <v>0</v>
      </c>
      <c r="L146" s="42">
        <v>0</v>
      </c>
      <c r="M146" s="42">
        <v>8.85</v>
      </c>
      <c r="N146" s="42">
        <v>0</v>
      </c>
      <c r="O146" s="42">
        <v>0</v>
      </c>
      <c r="P146" s="42">
        <v>0</v>
      </c>
      <c r="Q146" s="42">
        <v>3.48</v>
      </c>
      <c r="R146" s="43" t="str">
        <f t="shared" si="11"/>
        <v>SI</v>
      </c>
      <c r="S146" s="43" t="str">
        <f t="shared" si="12"/>
        <v>Sin Riesgo</v>
      </c>
      <c r="T146" s="18"/>
      <c r="U146" s="18"/>
      <c r="V146" s="18"/>
      <c r="W146" s="18"/>
    </row>
    <row r="147" spans="1:23" ht="30" customHeight="1" x14ac:dyDescent="0.2">
      <c r="A147" s="38" t="s">
        <v>33</v>
      </c>
      <c r="B147" s="39" t="s">
        <v>208</v>
      </c>
      <c r="C147" s="40" t="s">
        <v>209</v>
      </c>
      <c r="D147" s="41">
        <v>1773</v>
      </c>
      <c r="E147" s="42"/>
      <c r="F147" s="42"/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3" t="str">
        <f t="shared" si="11"/>
        <v>SI</v>
      </c>
      <c r="S147" s="43" t="str">
        <f t="shared" si="12"/>
        <v>Sin Riesgo</v>
      </c>
      <c r="T147" s="18"/>
      <c r="U147" s="18"/>
      <c r="V147" s="18"/>
      <c r="W147" s="18"/>
    </row>
    <row r="148" spans="1:23" ht="30" customHeight="1" x14ac:dyDescent="0.2">
      <c r="A148" s="38" t="s">
        <v>36</v>
      </c>
      <c r="B148" s="39" t="s">
        <v>210</v>
      </c>
      <c r="C148" s="40" t="s">
        <v>128</v>
      </c>
      <c r="D148" s="41">
        <v>3170</v>
      </c>
      <c r="E148" s="42"/>
      <c r="F148" s="42"/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3" t="str">
        <f t="shared" si="11"/>
        <v>SI</v>
      </c>
      <c r="S148" s="43" t="str">
        <f t="shared" si="12"/>
        <v>Sin Riesgo</v>
      </c>
      <c r="T148" s="18"/>
      <c r="U148" s="18"/>
      <c r="V148" s="18"/>
      <c r="W148" s="18"/>
    </row>
    <row r="149" spans="1:23" ht="30" customHeight="1" x14ac:dyDescent="0.2">
      <c r="A149" s="38" t="s">
        <v>19</v>
      </c>
      <c r="B149" s="39" t="s">
        <v>299</v>
      </c>
      <c r="C149" s="40" t="s">
        <v>54</v>
      </c>
      <c r="D149" s="41">
        <v>3749</v>
      </c>
      <c r="E149" s="42"/>
      <c r="F149" s="42"/>
      <c r="G149" s="42">
        <v>9.0299999999999994</v>
      </c>
      <c r="H149" s="42">
        <v>0</v>
      </c>
      <c r="I149" s="42">
        <v>1.18</v>
      </c>
      <c r="J149" s="42">
        <v>2.58</v>
      </c>
      <c r="K149" s="42">
        <v>0</v>
      </c>
      <c r="L149" s="42">
        <v>15.91</v>
      </c>
      <c r="M149" s="42">
        <v>0</v>
      </c>
      <c r="N149" s="42">
        <v>0</v>
      </c>
      <c r="O149" s="42">
        <v>2.35</v>
      </c>
      <c r="P149" s="42">
        <v>0</v>
      </c>
      <c r="Q149" s="42">
        <v>3.21</v>
      </c>
      <c r="R149" s="43" t="str">
        <f t="shared" si="11"/>
        <v>SI</v>
      </c>
      <c r="S149" s="43" t="str">
        <f t="shared" si="12"/>
        <v>Sin Riesgo</v>
      </c>
      <c r="T149" s="18"/>
      <c r="U149" s="18"/>
      <c r="V149" s="18"/>
      <c r="W149" s="18"/>
    </row>
    <row r="150" spans="1:23" ht="30" customHeight="1" x14ac:dyDescent="0.2">
      <c r="A150" s="38" t="s">
        <v>32</v>
      </c>
      <c r="B150" s="39" t="s">
        <v>300</v>
      </c>
      <c r="C150" s="40" t="s">
        <v>175</v>
      </c>
      <c r="D150" s="41">
        <v>3662</v>
      </c>
      <c r="E150" s="42"/>
      <c r="F150" s="42"/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3" t="str">
        <f t="shared" ref="R150:R178" si="13">IF(Q150&lt;=5,"SI","NO")</f>
        <v>SI</v>
      </c>
      <c r="S150" s="43" t="str">
        <f t="shared" si="12"/>
        <v>Sin Riesgo</v>
      </c>
      <c r="T150" s="18"/>
      <c r="U150" s="18"/>
      <c r="V150" s="18"/>
      <c r="W150" s="18"/>
    </row>
    <row r="151" spans="1:23" ht="30" customHeight="1" x14ac:dyDescent="0.2">
      <c r="A151" s="38" t="s">
        <v>44</v>
      </c>
      <c r="B151" s="39" t="s">
        <v>211</v>
      </c>
      <c r="C151" s="40" t="s">
        <v>212</v>
      </c>
      <c r="D151" s="41">
        <v>951</v>
      </c>
      <c r="E151" s="42"/>
      <c r="F151" s="42"/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3" t="str">
        <f t="shared" si="13"/>
        <v>SI</v>
      </c>
      <c r="S151" s="43" t="str">
        <f t="shared" si="12"/>
        <v>Sin Riesgo</v>
      </c>
      <c r="T151" s="18"/>
      <c r="U151" s="18"/>
      <c r="V151" s="18"/>
      <c r="W151" s="18"/>
    </row>
    <row r="152" spans="1:23" ht="30" customHeight="1" x14ac:dyDescent="0.2">
      <c r="A152" s="38" t="s">
        <v>44</v>
      </c>
      <c r="B152" s="39" t="s">
        <v>213</v>
      </c>
      <c r="C152" s="40" t="s">
        <v>214</v>
      </c>
      <c r="D152" s="41">
        <v>5633</v>
      </c>
      <c r="E152" s="42"/>
      <c r="F152" s="42"/>
      <c r="G152" s="42">
        <v>2.58</v>
      </c>
      <c r="H152" s="42">
        <v>15.48</v>
      </c>
      <c r="I152" s="42">
        <v>1.47</v>
      </c>
      <c r="J152" s="42">
        <v>34.22</v>
      </c>
      <c r="K152" s="42">
        <v>0</v>
      </c>
      <c r="L152" s="42">
        <v>2.65</v>
      </c>
      <c r="M152" s="42">
        <v>33.33</v>
      </c>
      <c r="N152" s="42">
        <v>2.4500000000000002</v>
      </c>
      <c r="O152" s="42">
        <v>0</v>
      </c>
      <c r="P152" s="42">
        <v>0</v>
      </c>
      <c r="Q152" s="42">
        <v>10.130000000000001</v>
      </c>
      <c r="R152" s="43" t="str">
        <f t="shared" si="13"/>
        <v>NO</v>
      </c>
      <c r="S152" s="43" t="str">
        <f t="shared" si="12"/>
        <v>Bajo</v>
      </c>
      <c r="T152" s="18"/>
      <c r="U152" s="18"/>
      <c r="V152" s="18"/>
      <c r="W152" s="18"/>
    </row>
    <row r="153" spans="1:23" ht="30" customHeight="1" x14ac:dyDescent="0.2">
      <c r="A153" s="38" t="s">
        <v>33</v>
      </c>
      <c r="B153" s="39" t="s">
        <v>301</v>
      </c>
      <c r="C153" s="40" t="s">
        <v>255</v>
      </c>
      <c r="D153" s="41">
        <v>4803</v>
      </c>
      <c r="E153" s="42"/>
      <c r="F153" s="42"/>
      <c r="G153" s="42">
        <v>0</v>
      </c>
      <c r="H153" s="42">
        <v>0</v>
      </c>
      <c r="I153" s="42">
        <v>0</v>
      </c>
      <c r="J153" s="42">
        <v>0</v>
      </c>
      <c r="K153" s="42">
        <v>8.85</v>
      </c>
      <c r="L153" s="42">
        <v>0</v>
      </c>
      <c r="M153" s="42">
        <v>0</v>
      </c>
      <c r="N153" s="42">
        <v>0</v>
      </c>
      <c r="O153" s="42">
        <v>0</v>
      </c>
      <c r="P153" s="42"/>
      <c r="Q153" s="42">
        <v>1.1000000000000001</v>
      </c>
      <c r="R153" s="43" t="str">
        <f t="shared" si="13"/>
        <v>SI</v>
      </c>
      <c r="S153" s="43" t="str">
        <f t="shared" si="12"/>
        <v>Sin Riesgo</v>
      </c>
      <c r="T153" s="18"/>
      <c r="U153" s="18"/>
      <c r="V153" s="18"/>
      <c r="W153" s="18"/>
    </row>
    <row r="154" spans="1:23" ht="30" customHeight="1" x14ac:dyDescent="0.2">
      <c r="A154" s="38" t="s">
        <v>33</v>
      </c>
      <c r="B154" s="39" t="s">
        <v>301</v>
      </c>
      <c r="C154" s="40" t="s">
        <v>215</v>
      </c>
      <c r="D154" s="4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v>0</v>
      </c>
      <c r="P154" s="42">
        <v>0</v>
      </c>
      <c r="Q154" s="42">
        <v>0</v>
      </c>
      <c r="R154" s="43" t="str">
        <f t="shared" si="13"/>
        <v>SI</v>
      </c>
      <c r="S154" s="43" t="str">
        <f t="shared" si="12"/>
        <v>Sin Riesgo</v>
      </c>
      <c r="T154" s="18"/>
      <c r="U154" s="18"/>
      <c r="V154" s="18"/>
      <c r="W154" s="18"/>
    </row>
    <row r="155" spans="1:23" ht="30" customHeight="1" x14ac:dyDescent="0.2">
      <c r="A155" s="38" t="s">
        <v>32</v>
      </c>
      <c r="B155" s="39" t="s">
        <v>302</v>
      </c>
      <c r="C155" s="40" t="s">
        <v>175</v>
      </c>
      <c r="D155" s="41">
        <v>1643</v>
      </c>
      <c r="E155" s="42"/>
      <c r="F155" s="42"/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3" t="str">
        <f t="shared" si="13"/>
        <v>SI</v>
      </c>
      <c r="S155" s="43" t="str">
        <f t="shared" si="12"/>
        <v>Sin Riesgo</v>
      </c>
      <c r="T155" s="18"/>
      <c r="U155" s="18"/>
      <c r="V155" s="18"/>
      <c r="W155" s="18"/>
    </row>
    <row r="156" spans="1:23" ht="30" customHeight="1" x14ac:dyDescent="0.2">
      <c r="A156" s="38" t="s">
        <v>36</v>
      </c>
      <c r="B156" s="39" t="s">
        <v>303</v>
      </c>
      <c r="C156" s="40" t="s">
        <v>216</v>
      </c>
      <c r="D156" s="41">
        <v>2145</v>
      </c>
      <c r="E156" s="42"/>
      <c r="F156" s="42"/>
      <c r="G156" s="42">
        <v>8.85</v>
      </c>
      <c r="H156" s="42">
        <v>6.45</v>
      </c>
      <c r="I156" s="42">
        <v>0</v>
      </c>
      <c r="J156" s="42">
        <v>6.45</v>
      </c>
      <c r="K156" s="42">
        <v>0</v>
      </c>
      <c r="L156" s="42">
        <v>0</v>
      </c>
      <c r="M156" s="42">
        <v>8.85</v>
      </c>
      <c r="N156" s="42">
        <v>0</v>
      </c>
      <c r="O156" s="42">
        <v>0</v>
      </c>
      <c r="P156" s="42">
        <v>0</v>
      </c>
      <c r="Q156" s="42">
        <v>3.17</v>
      </c>
      <c r="R156" s="43" t="str">
        <f t="shared" si="13"/>
        <v>SI</v>
      </c>
      <c r="S156" s="43" t="str">
        <f t="shared" si="12"/>
        <v>Sin Riesgo</v>
      </c>
      <c r="T156" s="18"/>
      <c r="U156" s="18"/>
      <c r="V156" s="18"/>
      <c r="W156" s="18"/>
    </row>
    <row r="157" spans="1:23" ht="30" customHeight="1" x14ac:dyDescent="0.2">
      <c r="A157" s="38" t="s">
        <v>38</v>
      </c>
      <c r="B157" s="39" t="s">
        <v>304</v>
      </c>
      <c r="C157" s="40" t="s">
        <v>171</v>
      </c>
      <c r="D157" s="41">
        <v>3139</v>
      </c>
      <c r="E157" s="42"/>
      <c r="F157" s="42"/>
      <c r="G157" s="42">
        <v>0</v>
      </c>
      <c r="H157" s="42">
        <v>0</v>
      </c>
      <c r="I157" s="42">
        <v>5.88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0.59</v>
      </c>
      <c r="P157" s="42">
        <v>0</v>
      </c>
      <c r="Q157" s="42">
        <v>0.72</v>
      </c>
      <c r="R157" s="43" t="str">
        <f t="shared" si="13"/>
        <v>SI</v>
      </c>
      <c r="S157" s="43" t="str">
        <f t="shared" si="12"/>
        <v>Sin Riesgo</v>
      </c>
      <c r="T157" s="18"/>
      <c r="U157" s="18"/>
      <c r="V157" s="18"/>
      <c r="W157" s="18"/>
    </row>
    <row r="158" spans="1:23" ht="30" customHeight="1" x14ac:dyDescent="0.2">
      <c r="A158" s="38" t="s">
        <v>36</v>
      </c>
      <c r="B158" s="39" t="s">
        <v>217</v>
      </c>
      <c r="C158" s="40" t="s">
        <v>256</v>
      </c>
      <c r="D158" s="41">
        <v>838</v>
      </c>
      <c r="E158" s="42"/>
      <c r="F158" s="42"/>
      <c r="G158" s="42">
        <v>8.85</v>
      </c>
      <c r="H158" s="42">
        <v>11.2</v>
      </c>
      <c r="I158" s="42">
        <v>0</v>
      </c>
      <c r="J158" s="42">
        <v>9.09</v>
      </c>
      <c r="K158" s="42">
        <v>0</v>
      </c>
      <c r="L158" s="42">
        <v>0</v>
      </c>
      <c r="M158" s="42">
        <v>0</v>
      </c>
      <c r="N158" s="42">
        <v>0</v>
      </c>
      <c r="O158" s="42">
        <v>8.85</v>
      </c>
      <c r="P158" s="42">
        <v>0</v>
      </c>
      <c r="Q158" s="42">
        <v>3.93</v>
      </c>
      <c r="R158" s="43" t="str">
        <f t="shared" si="13"/>
        <v>SI</v>
      </c>
      <c r="S158" s="43" t="str">
        <f t="shared" si="12"/>
        <v>Sin Riesgo</v>
      </c>
      <c r="T158" s="18"/>
      <c r="U158" s="18"/>
      <c r="V158" s="18"/>
      <c r="W158" s="18"/>
    </row>
    <row r="159" spans="1:23" ht="30" customHeight="1" x14ac:dyDescent="0.2">
      <c r="A159" s="38" t="s">
        <v>36</v>
      </c>
      <c r="B159" s="39" t="s">
        <v>218</v>
      </c>
      <c r="C159" s="40" t="s">
        <v>54</v>
      </c>
      <c r="D159" s="41">
        <v>1349</v>
      </c>
      <c r="E159" s="42"/>
      <c r="F159" s="42"/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3" t="str">
        <f t="shared" si="13"/>
        <v>SI</v>
      </c>
      <c r="S159" s="43" t="str">
        <f t="shared" si="12"/>
        <v>Sin Riesgo</v>
      </c>
      <c r="T159" s="18"/>
      <c r="U159" s="18"/>
      <c r="V159" s="18"/>
      <c r="W159" s="18"/>
    </row>
    <row r="160" spans="1:23" ht="30" customHeight="1" x14ac:dyDescent="0.2">
      <c r="A160" s="38" t="s">
        <v>36</v>
      </c>
      <c r="B160" s="39" t="s">
        <v>218</v>
      </c>
      <c r="C160" s="40" t="s">
        <v>257</v>
      </c>
      <c r="D160" s="41">
        <v>76</v>
      </c>
      <c r="E160" s="42"/>
      <c r="F160" s="42"/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8.85</v>
      </c>
      <c r="N160" s="42">
        <v>0</v>
      </c>
      <c r="O160" s="42">
        <v>0</v>
      </c>
      <c r="P160" s="42">
        <v>0</v>
      </c>
      <c r="Q160" s="42">
        <v>0.92</v>
      </c>
      <c r="R160" s="43" t="str">
        <f t="shared" si="13"/>
        <v>SI</v>
      </c>
      <c r="S160" s="43" t="str">
        <f t="shared" si="12"/>
        <v>Sin Riesgo</v>
      </c>
      <c r="T160" s="18"/>
      <c r="U160" s="18"/>
      <c r="V160" s="18"/>
      <c r="W160" s="18"/>
    </row>
    <row r="161" spans="1:23" ht="30" customHeight="1" x14ac:dyDescent="0.2">
      <c r="A161" s="38" t="s">
        <v>36</v>
      </c>
      <c r="B161" s="39" t="s">
        <v>218</v>
      </c>
      <c r="C161" s="40" t="s">
        <v>219</v>
      </c>
      <c r="D161" s="41">
        <v>121</v>
      </c>
      <c r="E161" s="42"/>
      <c r="F161" s="42"/>
      <c r="G161" s="42">
        <v>0</v>
      </c>
      <c r="H161" s="42">
        <v>6.45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0.67</v>
      </c>
      <c r="R161" s="43" t="str">
        <f t="shared" si="13"/>
        <v>SI</v>
      </c>
      <c r="S161" s="43" t="str">
        <f t="shared" si="12"/>
        <v>Sin Riesgo</v>
      </c>
      <c r="T161" s="18"/>
      <c r="U161" s="18"/>
      <c r="V161" s="18"/>
      <c r="W161" s="18"/>
    </row>
    <row r="162" spans="1:23" ht="30" customHeight="1" x14ac:dyDescent="0.2">
      <c r="A162" s="38" t="s">
        <v>19</v>
      </c>
      <c r="B162" s="39" t="s">
        <v>305</v>
      </c>
      <c r="C162" s="40" t="s">
        <v>220</v>
      </c>
      <c r="D162" s="41">
        <v>391</v>
      </c>
      <c r="E162" s="42"/>
      <c r="F162" s="42"/>
      <c r="G162" s="42">
        <v>96.87</v>
      </c>
      <c r="H162" s="42">
        <v>96.87</v>
      </c>
      <c r="I162" s="42"/>
      <c r="J162" s="42"/>
      <c r="K162" s="42"/>
      <c r="L162" s="42"/>
      <c r="M162" s="42"/>
      <c r="N162" s="42"/>
      <c r="O162" s="42">
        <v>96.03</v>
      </c>
      <c r="P162" s="42">
        <v>97.71</v>
      </c>
      <c r="Q162" s="42">
        <v>96.87</v>
      </c>
      <c r="R162" s="43" t="str">
        <f t="shared" si="13"/>
        <v>NO</v>
      </c>
      <c r="S162" s="43" t="str">
        <f t="shared" si="12"/>
        <v>Inviable Sanitariamente</v>
      </c>
      <c r="T162" s="18"/>
      <c r="U162" s="18"/>
      <c r="V162" s="18"/>
      <c r="W162" s="18"/>
    </row>
    <row r="163" spans="1:23" ht="30" customHeight="1" x14ac:dyDescent="0.2">
      <c r="A163" s="38" t="s">
        <v>12</v>
      </c>
      <c r="B163" s="39" t="s">
        <v>221</v>
      </c>
      <c r="C163" s="40" t="s">
        <v>222</v>
      </c>
      <c r="D163" s="41">
        <v>7974</v>
      </c>
      <c r="E163" s="42"/>
      <c r="F163" s="42"/>
      <c r="G163" s="42">
        <v>30.98</v>
      </c>
      <c r="H163" s="42">
        <v>24.52</v>
      </c>
      <c r="I163" s="42">
        <v>27.37</v>
      </c>
      <c r="J163" s="42">
        <v>0</v>
      </c>
      <c r="K163" s="42">
        <v>4.84</v>
      </c>
      <c r="L163" s="42">
        <v>3.87</v>
      </c>
      <c r="M163" s="42">
        <v>9.93</v>
      </c>
      <c r="N163" s="42">
        <v>3.87</v>
      </c>
      <c r="O163" s="42">
        <v>0.24</v>
      </c>
      <c r="P163" s="42">
        <v>6.78</v>
      </c>
      <c r="Q163" s="42">
        <v>11.05</v>
      </c>
      <c r="R163" s="43" t="str">
        <f t="shared" si="13"/>
        <v>NO</v>
      </c>
      <c r="S163" s="43" t="str">
        <f t="shared" si="12"/>
        <v>Bajo</v>
      </c>
      <c r="T163" s="18"/>
      <c r="U163" s="18"/>
      <c r="V163" s="18"/>
      <c r="W163" s="18"/>
    </row>
    <row r="164" spans="1:23" ht="30" customHeight="1" x14ac:dyDescent="0.2">
      <c r="A164" s="38" t="s">
        <v>32</v>
      </c>
      <c r="B164" s="39" t="s">
        <v>306</v>
      </c>
      <c r="C164" s="40" t="s">
        <v>223</v>
      </c>
      <c r="D164" s="41">
        <v>603</v>
      </c>
      <c r="E164" s="42"/>
      <c r="F164" s="42"/>
      <c r="G164" s="42">
        <v>0</v>
      </c>
      <c r="H164" s="42">
        <v>0</v>
      </c>
      <c r="I164" s="42">
        <v>0</v>
      </c>
      <c r="J164" s="42">
        <v>30.05</v>
      </c>
      <c r="K164" s="42">
        <v>0</v>
      </c>
      <c r="L164" s="42">
        <v>0</v>
      </c>
      <c r="M164" s="42">
        <v>8.85</v>
      </c>
      <c r="N164" s="42">
        <v>0</v>
      </c>
      <c r="O164" s="42">
        <v>0</v>
      </c>
      <c r="P164" s="42">
        <v>9.68</v>
      </c>
      <c r="Q164" s="42">
        <v>4.6900000000000004</v>
      </c>
      <c r="R164" s="43" t="str">
        <f t="shared" si="13"/>
        <v>SI</v>
      </c>
      <c r="S164" s="43" t="str">
        <f t="shared" si="12"/>
        <v>Sin Riesgo</v>
      </c>
      <c r="T164" s="18"/>
      <c r="U164" s="18"/>
      <c r="V164" s="18"/>
      <c r="W164" s="18"/>
    </row>
    <row r="165" spans="1:23" ht="30" customHeight="1" x14ac:dyDescent="0.2">
      <c r="A165" s="38" t="s">
        <v>32</v>
      </c>
      <c r="B165" s="39" t="s">
        <v>306</v>
      </c>
      <c r="C165" s="40" t="s">
        <v>224</v>
      </c>
      <c r="D165" s="41">
        <v>87</v>
      </c>
      <c r="E165" s="42"/>
      <c r="F165" s="42"/>
      <c r="G165" s="42">
        <v>6.45</v>
      </c>
      <c r="H165" s="42">
        <v>8</v>
      </c>
      <c r="I165" s="42">
        <v>6.45</v>
      </c>
      <c r="J165" s="42">
        <v>0</v>
      </c>
      <c r="K165" s="42">
        <v>8.85</v>
      </c>
      <c r="L165" s="42">
        <v>6.45</v>
      </c>
      <c r="M165" s="42">
        <v>8.85</v>
      </c>
      <c r="N165" s="42">
        <v>6.13</v>
      </c>
      <c r="O165" s="42">
        <v>15.3</v>
      </c>
      <c r="P165" s="42">
        <v>9.68</v>
      </c>
      <c r="Q165" s="42">
        <v>7.54</v>
      </c>
      <c r="R165" s="43" t="str">
        <f t="shared" si="13"/>
        <v>NO</v>
      </c>
      <c r="S165" s="43" t="str">
        <f t="shared" si="12"/>
        <v>Bajo</v>
      </c>
      <c r="T165" s="18"/>
      <c r="U165" s="18"/>
      <c r="V165" s="18"/>
      <c r="W165" s="18"/>
    </row>
    <row r="166" spans="1:23" ht="30" customHeight="1" x14ac:dyDescent="0.2">
      <c r="A166" s="38" t="s">
        <v>36</v>
      </c>
      <c r="B166" s="39" t="s">
        <v>225</v>
      </c>
      <c r="C166" s="40" t="s">
        <v>226</v>
      </c>
      <c r="D166" s="41">
        <v>4201</v>
      </c>
      <c r="E166" s="42"/>
      <c r="F166" s="42"/>
      <c r="G166" s="42">
        <v>0</v>
      </c>
      <c r="H166" s="42">
        <v>0</v>
      </c>
      <c r="I166" s="42">
        <v>6.45</v>
      </c>
      <c r="J166" s="42">
        <v>0</v>
      </c>
      <c r="K166" s="42">
        <v>6.45</v>
      </c>
      <c r="L166" s="42">
        <v>0</v>
      </c>
      <c r="M166" s="42">
        <v>0</v>
      </c>
      <c r="N166" s="42">
        <v>0</v>
      </c>
      <c r="O166" s="42">
        <v>1.77</v>
      </c>
      <c r="P166" s="42">
        <v>0</v>
      </c>
      <c r="Q166" s="42">
        <v>1.46</v>
      </c>
      <c r="R166" s="43" t="str">
        <f t="shared" si="13"/>
        <v>SI</v>
      </c>
      <c r="S166" s="43" t="str">
        <f t="shared" si="12"/>
        <v>Sin Riesgo</v>
      </c>
      <c r="T166" s="18"/>
      <c r="U166" s="18"/>
      <c r="V166" s="18"/>
      <c r="W166" s="18"/>
    </row>
    <row r="167" spans="1:23" ht="30" customHeight="1" x14ac:dyDescent="0.2">
      <c r="A167" s="38" t="s">
        <v>19</v>
      </c>
      <c r="B167" s="39" t="s">
        <v>227</v>
      </c>
      <c r="C167" s="40" t="s">
        <v>228</v>
      </c>
      <c r="D167" s="41">
        <v>876</v>
      </c>
      <c r="E167" s="42"/>
      <c r="F167" s="42"/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6.45</v>
      </c>
      <c r="O167" s="42">
        <v>8.85</v>
      </c>
      <c r="P167" s="42">
        <v>0</v>
      </c>
      <c r="Q167" s="42">
        <v>1.77</v>
      </c>
      <c r="R167" s="43" t="str">
        <f t="shared" si="13"/>
        <v>SI</v>
      </c>
      <c r="S167" s="43" t="str">
        <f t="shared" si="12"/>
        <v>Sin Riesgo</v>
      </c>
      <c r="T167" s="18"/>
      <c r="U167" s="18"/>
      <c r="V167" s="18"/>
      <c r="W167" s="18"/>
    </row>
    <row r="168" spans="1:23" ht="30" customHeight="1" x14ac:dyDescent="0.2">
      <c r="A168" s="38" t="s">
        <v>36</v>
      </c>
      <c r="B168" s="39" t="s">
        <v>307</v>
      </c>
      <c r="C168" s="40" t="s">
        <v>185</v>
      </c>
      <c r="D168" s="41">
        <v>1067</v>
      </c>
      <c r="E168" s="42"/>
      <c r="F168" s="42"/>
      <c r="G168" s="42"/>
      <c r="H168" s="42"/>
      <c r="I168" s="42"/>
      <c r="J168" s="42"/>
      <c r="K168" s="42"/>
      <c r="L168" s="42"/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3" t="str">
        <f t="shared" si="13"/>
        <v>SI</v>
      </c>
      <c r="S168" s="43" t="str">
        <f t="shared" si="12"/>
        <v>Sin Riesgo</v>
      </c>
      <c r="T168" s="18"/>
      <c r="U168" s="18"/>
      <c r="V168" s="18"/>
      <c r="W168" s="18"/>
    </row>
    <row r="169" spans="1:23" ht="30" customHeight="1" x14ac:dyDescent="0.2">
      <c r="A169" s="38" t="s">
        <v>44</v>
      </c>
      <c r="B169" s="39" t="s">
        <v>229</v>
      </c>
      <c r="C169" s="40" t="s">
        <v>230</v>
      </c>
      <c r="D169" s="41">
        <v>1870</v>
      </c>
      <c r="E169" s="42"/>
      <c r="F169" s="42"/>
      <c r="G169" s="42">
        <v>0</v>
      </c>
      <c r="H169" s="42">
        <v>0</v>
      </c>
      <c r="I169" s="42">
        <v>9.92</v>
      </c>
      <c r="J169" s="42">
        <v>9.0299999999999994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13.55</v>
      </c>
      <c r="Q169" s="42">
        <v>3.11</v>
      </c>
      <c r="R169" s="43" t="str">
        <f t="shared" si="13"/>
        <v>SI</v>
      </c>
      <c r="S169" s="43" t="str">
        <f t="shared" si="12"/>
        <v>Sin Riesgo</v>
      </c>
      <c r="T169" s="18"/>
      <c r="U169" s="18"/>
      <c r="V169" s="18"/>
      <c r="W169" s="18"/>
    </row>
    <row r="170" spans="1:23" ht="30" customHeight="1" x14ac:dyDescent="0.2">
      <c r="A170" s="38" t="s">
        <v>36</v>
      </c>
      <c r="B170" s="39" t="s">
        <v>231</v>
      </c>
      <c r="C170" s="40" t="s">
        <v>54</v>
      </c>
      <c r="D170" s="41">
        <v>1594</v>
      </c>
      <c r="E170" s="42"/>
      <c r="F170" s="42"/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3" t="str">
        <f t="shared" si="13"/>
        <v>SI</v>
      </c>
      <c r="S170" s="43" t="str">
        <f t="shared" si="12"/>
        <v>Sin Riesgo</v>
      </c>
      <c r="T170" s="18"/>
      <c r="U170" s="18"/>
      <c r="V170" s="18"/>
      <c r="W170" s="18"/>
    </row>
    <row r="171" spans="1:23" ht="30" customHeight="1" x14ac:dyDescent="0.2">
      <c r="A171" s="38" t="s">
        <v>12</v>
      </c>
      <c r="B171" s="39" t="s">
        <v>308</v>
      </c>
      <c r="C171" s="40" t="s">
        <v>232</v>
      </c>
      <c r="D171" s="41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 t="s">
        <v>248</v>
      </c>
      <c r="R171" s="43" t="str">
        <f t="shared" si="13"/>
        <v>NO</v>
      </c>
      <c r="S171" s="43" t="str">
        <f t="shared" si="12"/>
        <v>Inviable Sanitariamente</v>
      </c>
      <c r="T171" s="18"/>
      <c r="U171" s="18"/>
      <c r="V171" s="18"/>
      <c r="W171" s="18"/>
    </row>
    <row r="172" spans="1:23" ht="30" customHeight="1" x14ac:dyDescent="0.2">
      <c r="A172" s="38" t="s">
        <v>44</v>
      </c>
      <c r="B172" s="39" t="s">
        <v>309</v>
      </c>
      <c r="C172" s="40" t="s">
        <v>233</v>
      </c>
      <c r="D172" s="41">
        <v>917</v>
      </c>
      <c r="E172" s="42"/>
      <c r="F172" s="42"/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3" t="str">
        <f t="shared" si="13"/>
        <v>SI</v>
      </c>
      <c r="S172" s="43" t="str">
        <f t="shared" si="12"/>
        <v>Sin Riesgo</v>
      </c>
      <c r="T172" s="18"/>
      <c r="U172" s="18"/>
      <c r="V172" s="18"/>
      <c r="W172" s="18"/>
    </row>
    <row r="173" spans="1:23" ht="30" customHeight="1" x14ac:dyDescent="0.2">
      <c r="A173" s="38" t="s">
        <v>19</v>
      </c>
      <c r="B173" s="39" t="s">
        <v>310</v>
      </c>
      <c r="C173" s="40" t="s">
        <v>234</v>
      </c>
      <c r="D173" s="41">
        <v>6284</v>
      </c>
      <c r="E173" s="42"/>
      <c r="F173" s="42"/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3" t="str">
        <f t="shared" si="13"/>
        <v>SI</v>
      </c>
      <c r="S173" s="43" t="str">
        <f t="shared" si="12"/>
        <v>Sin Riesgo</v>
      </c>
      <c r="T173" s="18"/>
      <c r="U173" s="18"/>
      <c r="V173" s="18"/>
      <c r="W173" s="18"/>
    </row>
    <row r="174" spans="1:23" ht="30" customHeight="1" x14ac:dyDescent="0.2">
      <c r="A174" s="38" t="s">
        <v>19</v>
      </c>
      <c r="B174" s="39" t="s">
        <v>310</v>
      </c>
      <c r="C174" s="40" t="s">
        <v>235</v>
      </c>
      <c r="D174" s="41">
        <v>173</v>
      </c>
      <c r="E174" s="42"/>
      <c r="F174" s="42"/>
      <c r="G174" s="42">
        <v>17.7</v>
      </c>
      <c r="H174" s="42">
        <v>6.64</v>
      </c>
      <c r="I174" s="42">
        <v>29.47</v>
      </c>
      <c r="J174" s="42">
        <v>15.48</v>
      </c>
      <c r="K174" s="42">
        <v>5.42</v>
      </c>
      <c r="L174" s="42">
        <v>0</v>
      </c>
      <c r="M174" s="42">
        <v>3.23</v>
      </c>
      <c r="N174" s="42">
        <v>4.84</v>
      </c>
      <c r="O174" s="42">
        <v>12.14</v>
      </c>
      <c r="P174" s="42">
        <v>8.85</v>
      </c>
      <c r="Q174" s="42">
        <v>9.92</v>
      </c>
      <c r="R174" s="43" t="str">
        <f t="shared" si="13"/>
        <v>NO</v>
      </c>
      <c r="S174" s="43" t="str">
        <f t="shared" si="12"/>
        <v>Bajo</v>
      </c>
      <c r="T174" s="18"/>
      <c r="U174" s="18"/>
      <c r="V174" s="18"/>
      <c r="W174" s="18"/>
    </row>
    <row r="175" spans="1:23" ht="30" customHeight="1" x14ac:dyDescent="0.2">
      <c r="A175" s="38" t="s">
        <v>19</v>
      </c>
      <c r="B175" s="39" t="s">
        <v>310</v>
      </c>
      <c r="C175" s="40" t="s">
        <v>258</v>
      </c>
      <c r="D175" s="41">
        <v>100</v>
      </c>
      <c r="E175" s="42"/>
      <c r="F175" s="42"/>
      <c r="G175" s="42">
        <v>98.47</v>
      </c>
      <c r="H175" s="42">
        <v>62.23</v>
      </c>
      <c r="I175" s="42">
        <v>65.81</v>
      </c>
      <c r="J175" s="42"/>
      <c r="K175" s="42">
        <v>91.73</v>
      </c>
      <c r="L175" s="42">
        <v>27.06</v>
      </c>
      <c r="M175" s="42">
        <v>2.2799999999999998</v>
      </c>
      <c r="N175" s="42">
        <v>0</v>
      </c>
      <c r="O175" s="42">
        <v>15.29</v>
      </c>
      <c r="P175" s="42">
        <v>0</v>
      </c>
      <c r="Q175" s="42">
        <v>36.06</v>
      </c>
      <c r="R175" s="43" t="str">
        <f t="shared" si="13"/>
        <v>NO</v>
      </c>
      <c r="S175" s="43" t="str">
        <f t="shared" si="12"/>
        <v>Alto</v>
      </c>
      <c r="T175" s="18"/>
      <c r="U175" s="18"/>
      <c r="V175" s="18"/>
      <c r="W175" s="18"/>
    </row>
    <row r="176" spans="1:23" ht="30" customHeight="1" x14ac:dyDescent="0.2">
      <c r="A176" s="38" t="s">
        <v>44</v>
      </c>
      <c r="B176" s="39" t="s">
        <v>311</v>
      </c>
      <c r="C176" s="40" t="s">
        <v>236</v>
      </c>
      <c r="D176" s="41">
        <v>1536</v>
      </c>
      <c r="E176" s="42"/>
      <c r="F176" s="42"/>
      <c r="G176" s="42">
        <v>15.3</v>
      </c>
      <c r="H176" s="42">
        <v>0</v>
      </c>
      <c r="I176" s="42">
        <v>0.88</v>
      </c>
      <c r="J176" s="42">
        <v>0</v>
      </c>
      <c r="K176" s="42">
        <v>0.88</v>
      </c>
      <c r="L176" s="42"/>
      <c r="M176" s="42">
        <v>0</v>
      </c>
      <c r="N176" s="42">
        <v>0</v>
      </c>
      <c r="O176" s="42">
        <v>0</v>
      </c>
      <c r="P176" s="42">
        <v>0</v>
      </c>
      <c r="Q176" s="42">
        <v>2.0499999999999998</v>
      </c>
      <c r="R176" s="43" t="str">
        <f t="shared" si="13"/>
        <v>SI</v>
      </c>
      <c r="S176" s="43" t="str">
        <f t="shared" si="12"/>
        <v>Sin Riesgo</v>
      </c>
      <c r="T176" s="18"/>
      <c r="U176" s="18"/>
      <c r="V176" s="18"/>
      <c r="W176" s="18"/>
    </row>
    <row r="177" spans="1:23" ht="30" customHeight="1" x14ac:dyDescent="0.2">
      <c r="A177" s="38" t="s">
        <v>40</v>
      </c>
      <c r="B177" s="39" t="s">
        <v>312</v>
      </c>
      <c r="C177" s="40" t="s">
        <v>237</v>
      </c>
      <c r="D177" s="41">
        <v>1434</v>
      </c>
      <c r="E177" s="42"/>
      <c r="F177" s="42"/>
      <c r="G177" s="42">
        <v>0</v>
      </c>
      <c r="H177" s="42"/>
      <c r="I177" s="42">
        <v>2.58</v>
      </c>
      <c r="J177" s="42">
        <v>15.48</v>
      </c>
      <c r="K177" s="42">
        <v>2.58</v>
      </c>
      <c r="L177" s="42">
        <v>0</v>
      </c>
      <c r="M177" s="42"/>
      <c r="N177" s="42"/>
      <c r="O177" s="42"/>
      <c r="P177" s="42"/>
      <c r="Q177" s="42">
        <v>5.16</v>
      </c>
      <c r="R177" s="43" t="str">
        <f t="shared" si="13"/>
        <v>NO</v>
      </c>
      <c r="S177" s="43" t="str">
        <f t="shared" si="12"/>
        <v>Bajo</v>
      </c>
      <c r="T177" s="18"/>
      <c r="U177" s="18"/>
      <c r="V177" s="18"/>
      <c r="W177" s="18"/>
    </row>
    <row r="178" spans="1:23" ht="30" customHeight="1" x14ac:dyDescent="0.2">
      <c r="A178" s="38" t="s">
        <v>38</v>
      </c>
      <c r="B178" s="39" t="s">
        <v>238</v>
      </c>
      <c r="C178" s="40" t="s">
        <v>259</v>
      </c>
      <c r="D178" s="41">
        <v>2778</v>
      </c>
      <c r="E178" s="42"/>
      <c r="F178" s="42"/>
      <c r="G178" s="42"/>
      <c r="H178" s="42">
        <v>0</v>
      </c>
      <c r="I178" s="42">
        <v>0</v>
      </c>
      <c r="J178" s="42">
        <v>0</v>
      </c>
      <c r="K178" s="42">
        <v>0</v>
      </c>
      <c r="L178" s="42"/>
      <c r="M178" s="42"/>
      <c r="N178" s="42">
        <v>0</v>
      </c>
      <c r="O178" s="42">
        <v>0</v>
      </c>
      <c r="P178" s="42">
        <v>0</v>
      </c>
      <c r="Q178" s="42">
        <v>0</v>
      </c>
      <c r="R178" s="43" t="str">
        <f t="shared" si="13"/>
        <v>SI</v>
      </c>
      <c r="S178" s="43" t="str">
        <f t="shared" si="12"/>
        <v>Sin Riesgo</v>
      </c>
      <c r="T178" s="18"/>
      <c r="U178" s="18"/>
      <c r="V178" s="18"/>
      <c r="W178" s="18"/>
    </row>
    <row r="179" spans="1:23" x14ac:dyDescent="0.2">
      <c r="B179" s="21"/>
      <c r="C179" s="21"/>
      <c r="D179" s="17"/>
      <c r="E179" s="21"/>
      <c r="F179" s="21"/>
    </row>
    <row r="180" spans="1:23" ht="15" x14ac:dyDescent="0.2">
      <c r="A180" s="23" t="s">
        <v>239</v>
      </c>
      <c r="B180" s="23"/>
      <c r="C180" s="23"/>
      <c r="D180" s="31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23" x14ac:dyDescent="0.2">
      <c r="B181" s="24"/>
      <c r="C181" s="25"/>
      <c r="D181" s="32"/>
      <c r="E181" s="26"/>
      <c r="F181" s="26"/>
      <c r="J181" s="27"/>
      <c r="K181" s="27"/>
      <c r="L181" s="27"/>
      <c r="M181" s="27"/>
      <c r="N181" s="27"/>
      <c r="O181" s="27"/>
      <c r="P181" s="27"/>
      <c r="Q181" s="22" t="s">
        <v>240</v>
      </c>
    </row>
    <row r="182" spans="1:23" ht="14.25" x14ac:dyDescent="0.2">
      <c r="B182" s="47"/>
      <c r="C182" s="47"/>
      <c r="D182" s="47"/>
      <c r="E182" s="47"/>
      <c r="F182" s="47"/>
    </row>
    <row r="183" spans="1:23" x14ac:dyDescent="0.2">
      <c r="B183" s="21"/>
      <c r="C183" s="21"/>
      <c r="D183" s="17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23" x14ac:dyDescent="0.2">
      <c r="B184" s="21"/>
      <c r="C184" s="21"/>
      <c r="D184" s="17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23" x14ac:dyDescent="0.2">
      <c r="B185" s="21"/>
      <c r="C185" s="21"/>
      <c r="D185" s="17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23" x14ac:dyDescent="0.2">
      <c r="B186" s="21"/>
      <c r="C186" s="21"/>
      <c r="D186" s="17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23" x14ac:dyDescent="0.2">
      <c r="B187" s="21"/>
      <c r="C187" s="21"/>
      <c r="D187" s="17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23" ht="15.75" x14ac:dyDescent="0.25">
      <c r="B188" s="21"/>
      <c r="C188" s="21"/>
      <c r="D188" s="48"/>
      <c r="E188" s="49"/>
      <c r="F188" s="49"/>
      <c r="G188" s="49"/>
      <c r="H188" s="49"/>
      <c r="I188" s="49"/>
      <c r="J188" s="49"/>
      <c r="K188" s="49"/>
      <c r="L188" s="49"/>
      <c r="M188" s="49"/>
      <c r="N188" s="21"/>
      <c r="O188" s="21"/>
      <c r="P188" s="21"/>
    </row>
    <row r="189" spans="1:23" ht="15" x14ac:dyDescent="0.2">
      <c r="B189" s="21"/>
      <c r="C189" s="21"/>
      <c r="D189" s="45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21"/>
      <c r="P189" s="21"/>
    </row>
    <row r="190" spans="1:23" x14ac:dyDescent="0.2">
      <c r="B190" s="21"/>
      <c r="C190" s="21"/>
      <c r="D190" s="17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23" x14ac:dyDescent="0.2">
      <c r="B191" s="21"/>
      <c r="C191" s="21"/>
      <c r="D191" s="17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23" x14ac:dyDescent="0.2">
      <c r="B192" s="21"/>
      <c r="C192" s="21"/>
      <c r="D192" s="17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35" x14ac:dyDescent="0.2">
      <c r="B193" s="21"/>
      <c r="C193" s="21"/>
      <c r="D193" s="17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35" x14ac:dyDescent="0.2">
      <c r="B194" s="21"/>
      <c r="C194" s="21"/>
      <c r="D194" s="17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35" x14ac:dyDescent="0.2">
      <c r="B195" s="21"/>
      <c r="C195" s="21"/>
      <c r="D195" s="17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35" x14ac:dyDescent="0.2">
      <c r="B196" s="21"/>
      <c r="C196" s="21"/>
      <c r="D196" s="17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35" s="22" customFormat="1" x14ac:dyDescent="0.2">
      <c r="A197"/>
      <c r="B197" s="21"/>
      <c r="C197" s="21"/>
      <c r="D197" s="17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22" customFormat="1" x14ac:dyDescent="0.2">
      <c r="A198"/>
      <c r="B198" s="21"/>
      <c r="C198" s="21"/>
      <c r="D198" s="17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22" customFormat="1" x14ac:dyDescent="0.2">
      <c r="A199"/>
      <c r="B199" s="21"/>
      <c r="C199" s="21"/>
      <c r="D199" s="17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22" customFormat="1" x14ac:dyDescent="0.2">
      <c r="A200"/>
      <c r="B200" s="21"/>
      <c r="C200" s="21"/>
      <c r="D200" s="17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s="22" customFormat="1" x14ac:dyDescent="0.2">
      <c r="A201"/>
      <c r="B201" s="21"/>
      <c r="C201" s="21"/>
      <c r="D201" s="17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s="22" customFormat="1" x14ac:dyDescent="0.2">
      <c r="A202"/>
      <c r="B202" s="21"/>
      <c r="C202" s="21"/>
      <c r="D202" s="17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s="22" customFormat="1" x14ac:dyDescent="0.2">
      <c r="A203"/>
      <c r="B203" s="21"/>
      <c r="C203" s="21"/>
      <c r="D203" s="17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s="22" customFormat="1" x14ac:dyDescent="0.2">
      <c r="A204"/>
      <c r="B204" s="21"/>
      <c r="C204" s="21"/>
      <c r="D204" s="17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22" customFormat="1" x14ac:dyDescent="0.2">
      <c r="A205"/>
      <c r="B205" s="21"/>
      <c r="C205" s="21"/>
      <c r="D205" s="17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s="22" customFormat="1" x14ac:dyDescent="0.2">
      <c r="A206"/>
      <c r="B206" s="21"/>
      <c r="C206" s="21"/>
      <c r="D206" s="17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22" customFormat="1" x14ac:dyDescent="0.2">
      <c r="A207"/>
      <c r="B207" s="21"/>
      <c r="C207" s="21"/>
      <c r="D207" s="17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22" customFormat="1" x14ac:dyDescent="0.2">
      <c r="A208"/>
      <c r="B208" s="21"/>
      <c r="C208" s="21"/>
      <c r="D208" s="17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22" customFormat="1" x14ac:dyDescent="0.2">
      <c r="A209"/>
      <c r="B209" s="21"/>
      <c r="C209" s="21"/>
      <c r="D209" s="17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22" customFormat="1" x14ac:dyDescent="0.2">
      <c r="A210"/>
      <c r="B210" s="21"/>
      <c r="C210" s="21"/>
      <c r="D210" s="17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22" customFormat="1" x14ac:dyDescent="0.2">
      <c r="A211"/>
      <c r="B211" s="21"/>
      <c r="C211" s="21"/>
      <c r="D211" s="17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22" customFormat="1" x14ac:dyDescent="0.2">
      <c r="A212"/>
      <c r="B212" s="21"/>
      <c r="C212" s="21"/>
      <c r="D212" s="17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22" customFormat="1" x14ac:dyDescent="0.2">
      <c r="A213"/>
      <c r="B213" s="21"/>
      <c r="C213" s="21"/>
      <c r="D213" s="17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22" customFormat="1" x14ac:dyDescent="0.2">
      <c r="A214"/>
      <c r="B214" s="21"/>
      <c r="C214" s="21"/>
      <c r="D214" s="17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22" customFormat="1" x14ac:dyDescent="0.2">
      <c r="A215"/>
      <c r="B215" s="21"/>
      <c r="C215" s="21"/>
      <c r="D215" s="17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22" customFormat="1" x14ac:dyDescent="0.2">
      <c r="A216"/>
      <c r="B216" s="21"/>
      <c r="C216" s="21"/>
      <c r="D216" s="17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22" customFormat="1" x14ac:dyDescent="0.2">
      <c r="A217"/>
      <c r="B217" s="21"/>
      <c r="C217" s="21"/>
      <c r="D217" s="17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22" customFormat="1" x14ac:dyDescent="0.2">
      <c r="A218"/>
      <c r="B218" s="21"/>
      <c r="C218" s="21"/>
      <c r="D218" s="17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22" customFormat="1" x14ac:dyDescent="0.2">
      <c r="A219"/>
      <c r="B219" s="21"/>
      <c r="C219" s="21"/>
      <c r="D219" s="17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22" customFormat="1" x14ac:dyDescent="0.2">
      <c r="A220"/>
      <c r="B220" s="21"/>
      <c r="C220" s="21"/>
      <c r="D220" s="17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22" customFormat="1" x14ac:dyDescent="0.2">
      <c r="A221"/>
      <c r="B221" s="21"/>
      <c r="C221" s="21"/>
      <c r="D221" s="17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22" customFormat="1" x14ac:dyDescent="0.2">
      <c r="A222"/>
      <c r="B222" s="21"/>
      <c r="C222" s="21"/>
      <c r="D222" s="17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22" customFormat="1" x14ac:dyDescent="0.2">
      <c r="A223"/>
      <c r="B223" s="21"/>
      <c r="C223" s="21"/>
      <c r="D223" s="17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22" customFormat="1" x14ac:dyDescent="0.2">
      <c r="A224"/>
      <c r="B224" s="21"/>
      <c r="C224" s="21"/>
      <c r="D224" s="17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22" customFormat="1" x14ac:dyDescent="0.2">
      <c r="A225"/>
      <c r="B225" s="21"/>
      <c r="C225" s="21"/>
      <c r="D225" s="17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22" customFormat="1" x14ac:dyDescent="0.2">
      <c r="A226"/>
      <c r="B226" s="21"/>
      <c r="C226" s="21"/>
      <c r="D226" s="17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22" customFormat="1" x14ac:dyDescent="0.2">
      <c r="A227"/>
      <c r="B227" s="21"/>
      <c r="C227" s="21"/>
      <c r="D227" s="17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22" customFormat="1" x14ac:dyDescent="0.2">
      <c r="A228"/>
      <c r="B228" s="21"/>
      <c r="C228" s="21"/>
      <c r="D228" s="17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22" customFormat="1" x14ac:dyDescent="0.2">
      <c r="A229"/>
      <c r="B229" s="21"/>
      <c r="C229" s="21"/>
      <c r="D229" s="17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22" customFormat="1" x14ac:dyDescent="0.2">
      <c r="A230"/>
      <c r="B230" s="21"/>
      <c r="C230" s="21"/>
      <c r="D230" s="17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22" customFormat="1" x14ac:dyDescent="0.2">
      <c r="A231"/>
      <c r="B231" s="21"/>
      <c r="C231" s="21"/>
      <c r="D231" s="17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22" customFormat="1" x14ac:dyDescent="0.2">
      <c r="A232"/>
      <c r="B232" s="21"/>
      <c r="C232" s="21"/>
      <c r="D232" s="17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22" customFormat="1" x14ac:dyDescent="0.2">
      <c r="A233"/>
      <c r="B233" s="21"/>
      <c r="C233" s="21"/>
      <c r="D233" s="17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22" customFormat="1" x14ac:dyDescent="0.2">
      <c r="A234"/>
      <c r="B234" s="21"/>
      <c r="C234" s="21"/>
      <c r="D234" s="17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22" customFormat="1" x14ac:dyDescent="0.2">
      <c r="A235"/>
      <c r="B235" s="21"/>
      <c r="C235" s="21"/>
      <c r="D235" s="17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22" customFormat="1" x14ac:dyDescent="0.2">
      <c r="A236"/>
      <c r="B236" s="21"/>
      <c r="C236" s="21"/>
      <c r="D236" s="17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22" customFormat="1" x14ac:dyDescent="0.2">
      <c r="A237"/>
      <c r="B237" s="21"/>
      <c r="C237" s="21"/>
      <c r="D237" s="17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22" customFormat="1" x14ac:dyDescent="0.2">
      <c r="A238"/>
      <c r="B238" s="21"/>
      <c r="C238" s="21"/>
      <c r="D238" s="17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22" customFormat="1" x14ac:dyDescent="0.2">
      <c r="A239"/>
      <c r="B239" s="21"/>
      <c r="C239" s="21"/>
      <c r="D239" s="17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22" customFormat="1" x14ac:dyDescent="0.2">
      <c r="A240"/>
      <c r="B240" s="21"/>
      <c r="C240" s="21"/>
      <c r="D240" s="17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22" customFormat="1" x14ac:dyDescent="0.2">
      <c r="A241"/>
      <c r="B241" s="21"/>
      <c r="C241" s="21"/>
      <c r="D241" s="17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22" customFormat="1" x14ac:dyDescent="0.2">
      <c r="A242"/>
      <c r="B242" s="21"/>
      <c r="C242" s="21"/>
      <c r="D242" s="17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22" customFormat="1" x14ac:dyDescent="0.2">
      <c r="A243"/>
      <c r="B243" s="21"/>
      <c r="C243" s="21"/>
      <c r="D243" s="17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22" customFormat="1" x14ac:dyDescent="0.2">
      <c r="A244"/>
      <c r="B244" s="21"/>
      <c r="C244" s="21"/>
      <c r="D244" s="17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22" customFormat="1" x14ac:dyDescent="0.2">
      <c r="A245"/>
      <c r="B245" s="21"/>
      <c r="C245" s="21"/>
      <c r="D245" s="17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22" customFormat="1" x14ac:dyDescent="0.2">
      <c r="A246"/>
      <c r="B246" s="21"/>
      <c r="C246" s="21"/>
      <c r="D246" s="17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22" customFormat="1" x14ac:dyDescent="0.2">
      <c r="A247"/>
      <c r="B247" s="21"/>
      <c r="C247" s="21"/>
      <c r="D247" s="17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22" customFormat="1" x14ac:dyDescent="0.2">
      <c r="A248"/>
      <c r="B248" s="21"/>
      <c r="C248" s="21"/>
      <c r="D248" s="17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22" customFormat="1" x14ac:dyDescent="0.2">
      <c r="A249"/>
      <c r="B249" s="21"/>
      <c r="C249" s="21"/>
      <c r="D249" s="17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22" customFormat="1" x14ac:dyDescent="0.2">
      <c r="A250"/>
      <c r="B250" s="21"/>
      <c r="C250" s="21"/>
      <c r="D250" s="17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22" customFormat="1" x14ac:dyDescent="0.2">
      <c r="A251"/>
      <c r="B251" s="21"/>
      <c r="C251" s="21"/>
      <c r="D251" s="17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22" customFormat="1" x14ac:dyDescent="0.2">
      <c r="A252"/>
      <c r="B252" s="21"/>
      <c r="C252" s="21"/>
      <c r="D252" s="17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22" customFormat="1" x14ac:dyDescent="0.2">
      <c r="A253"/>
      <c r="B253" s="21"/>
      <c r="C253" s="21"/>
      <c r="D253" s="17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22" customFormat="1" x14ac:dyDescent="0.2">
      <c r="A254"/>
      <c r="B254" s="21"/>
      <c r="C254" s="21"/>
      <c r="D254" s="17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22" customFormat="1" x14ac:dyDescent="0.2">
      <c r="A255"/>
      <c r="B255" s="21"/>
      <c r="C255" s="21"/>
      <c r="D255" s="17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22" customFormat="1" x14ac:dyDescent="0.2">
      <c r="A256"/>
      <c r="B256" s="21"/>
      <c r="C256" s="21"/>
      <c r="D256" s="17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22" customFormat="1" x14ac:dyDescent="0.2">
      <c r="A257"/>
      <c r="B257" s="21"/>
      <c r="C257" s="21"/>
      <c r="D257" s="17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22" customFormat="1" x14ac:dyDescent="0.2">
      <c r="A258"/>
      <c r="B258" s="21"/>
      <c r="C258" s="21"/>
      <c r="D258" s="17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22" customFormat="1" x14ac:dyDescent="0.2">
      <c r="A259"/>
      <c r="B259" s="21"/>
      <c r="C259" s="21"/>
      <c r="D259" s="17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22" customFormat="1" x14ac:dyDescent="0.2">
      <c r="A260"/>
      <c r="B260" s="21"/>
      <c r="C260" s="21"/>
      <c r="D260" s="17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22" customFormat="1" x14ac:dyDescent="0.2">
      <c r="A261"/>
      <c r="B261" s="21"/>
      <c r="C261" s="21"/>
      <c r="D261" s="17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</sheetData>
  <dataConsolidate/>
  <mergeCells count="36">
    <mergeCell ref="V1:V5"/>
    <mergeCell ref="W1:W5"/>
    <mergeCell ref="X1:X5"/>
    <mergeCell ref="C5:C6"/>
    <mergeCell ref="L5:N6"/>
    <mergeCell ref="O5:Q6"/>
    <mergeCell ref="R5:S6"/>
    <mergeCell ref="B1:S1"/>
    <mergeCell ref="U1:U5"/>
    <mergeCell ref="AF1:AF5"/>
    <mergeCell ref="AG1:AG5"/>
    <mergeCell ref="AH1:AH5"/>
    <mergeCell ref="AI1:AI5"/>
    <mergeCell ref="B2:S2"/>
    <mergeCell ref="B3:S3"/>
    <mergeCell ref="Z1:Z5"/>
    <mergeCell ref="AA1:AA5"/>
    <mergeCell ref="AB1:AB5"/>
    <mergeCell ref="AC1:AC5"/>
    <mergeCell ref="AD1:AD5"/>
    <mergeCell ref="AE1:AE5"/>
    <mergeCell ref="Y1:Y5"/>
    <mergeCell ref="D5:E6"/>
    <mergeCell ref="F5:H6"/>
    <mergeCell ref="I5:K6"/>
    <mergeCell ref="A8:A9"/>
    <mergeCell ref="B8:B9"/>
    <mergeCell ref="C8:C9"/>
    <mergeCell ref="D8:D9"/>
    <mergeCell ref="E8:P8"/>
    <mergeCell ref="D189:N189"/>
    <mergeCell ref="B182:F182"/>
    <mergeCell ref="D188:M188"/>
    <mergeCell ref="R8:R9"/>
    <mergeCell ref="S8:S9"/>
    <mergeCell ref="Q8:Q9"/>
  </mergeCells>
  <conditionalFormatting sqref="S10:S178">
    <cfRule type="cellIs" dxfId="14" priority="43" stopIfTrue="1" operator="equal">
      <formula>"INVIABLE SANITARIAMENTE"</formula>
    </cfRule>
  </conditionalFormatting>
  <conditionalFormatting sqref="S10:S178">
    <cfRule type="containsText" dxfId="13" priority="38" stopIfTrue="1" operator="containsText" text="INVIABLE SANITARIAMENTE">
      <formula>NOT(ISERROR(SEARCH("INVIABLE SANITARIAMENTE",S10)))</formula>
    </cfRule>
    <cfRule type="containsText" dxfId="12" priority="39" stopIfTrue="1" operator="containsText" text="ALTO">
      <formula>NOT(ISERROR(SEARCH("ALTO",S10)))</formula>
    </cfRule>
    <cfRule type="containsText" dxfId="11" priority="40" stopIfTrue="1" operator="containsText" text="MEDIO">
      <formula>NOT(ISERROR(SEARCH("MEDIO",S10)))</formula>
    </cfRule>
    <cfRule type="containsText" dxfId="10" priority="41" stopIfTrue="1" operator="containsText" text="BAJO">
      <formula>NOT(ISERROR(SEARCH("BAJO",S10)))</formula>
    </cfRule>
    <cfRule type="containsText" dxfId="9" priority="42" stopIfTrue="1" operator="containsText" text="SIN RIESGO">
      <formula>NOT(ISERROR(SEARCH("SIN RIESGO",S10)))</formula>
    </cfRule>
  </conditionalFormatting>
  <conditionalFormatting sqref="S10:S178">
    <cfRule type="containsText" dxfId="8" priority="37" stopIfTrue="1" operator="containsText" text="SIN RIESGO">
      <formula>NOT(ISERROR(SEARCH("SIN RIESGO",S10)))</formula>
    </cfRule>
  </conditionalFormatting>
  <conditionalFormatting sqref="R10:R178">
    <cfRule type="cellIs" dxfId="7" priority="36" stopIfTrue="1" operator="equal">
      <formula>"NO"</formula>
    </cfRule>
  </conditionalFormatting>
  <conditionalFormatting sqref="E10:Q178">
    <cfRule type="containsBlanks" dxfId="6" priority="1" stopIfTrue="1">
      <formula>LEN(TRIM(E10))=0</formula>
    </cfRule>
    <cfRule type="cellIs" dxfId="5" priority="2" stopIfTrue="1" operator="between">
      <formula>80.1</formula>
      <formula>100</formula>
    </cfRule>
    <cfRule type="cellIs" dxfId="4" priority="3" stopIfTrue="1" operator="between">
      <formula>35.1</formula>
      <formula>80</formula>
    </cfRule>
    <cfRule type="cellIs" dxfId="3" priority="4" stopIfTrue="1" operator="between">
      <formula>14.1</formula>
      <formula>35</formula>
    </cfRule>
    <cfRule type="cellIs" dxfId="2" priority="5" stopIfTrue="1" operator="between">
      <formula>5.1</formula>
      <formula>14</formula>
    </cfRule>
    <cfRule type="cellIs" dxfId="1" priority="6" stopIfTrue="1" operator="between">
      <formula>0</formula>
      <formula>5</formula>
    </cfRule>
    <cfRule type="containsBlanks" dxfId="0" priority="7" stopIfTrue="1">
      <formula>LEN(TRIM(E10))=0</formula>
    </cfRule>
  </conditionalFormatting>
  <printOptions horizontalCentered="1"/>
  <pageMargins left="0.19685039370078741" right="0.19685039370078741" top="0.6692913385826772" bottom="0.62992125984251968" header="0.43307086614173229" footer="0.51181102362204722"/>
  <pageSetup paperSize="14" scale="55" firstPageNumber="0" orientation="landscape" r:id="rId1"/>
  <headerFooter alignWithMargins="0">
    <oddFooter>&amp;L                                    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2013</vt:lpstr>
      <vt:lpstr>'2013'!Títulos_a_imprimir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WILLIAM TABARES MORALES</dc:creator>
  <cp:lastModifiedBy>JHON WILLIAM TABARES MORALES</cp:lastModifiedBy>
  <dcterms:created xsi:type="dcterms:W3CDTF">2018-02-27T21:47:05Z</dcterms:created>
  <dcterms:modified xsi:type="dcterms:W3CDTF">2018-04-20T16:37:57Z</dcterms:modified>
</cp:coreProperties>
</file>