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JTABARESM\Desktop\ACTUALIZACION PUBLICACION AGUAS 2023 - 19.05.2023\"/>
    </mc:Choice>
  </mc:AlternateContent>
  <xr:revisionPtr revIDLastSave="0" documentId="13_ncr:1_{1EA9DBCF-AF7F-4747-A72B-DD8837267D04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2023" sheetId="1" r:id="rId1"/>
  </sheets>
  <definedNames>
    <definedName name="_xlnm._FilterDatabase" localSheetId="0" hidden="1">'2023'!$A$9:$AI$190</definedName>
    <definedName name="solver_typ" localSheetId="0" hidden="1">2</definedName>
    <definedName name="solver_ver" localSheetId="0" hidden="1">17</definedName>
    <definedName name="_xlnm.Print_Titles" localSheetId="0">'2023'!$1:$9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S71" i="1" l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R80" i="1" l="1"/>
  <c r="R100" i="1"/>
  <c r="R101" i="1"/>
  <c r="R102" i="1"/>
  <c r="R103" i="1"/>
  <c r="R104" i="1"/>
  <c r="R105" i="1"/>
  <c r="R106" i="1"/>
  <c r="R111" i="1" l="1"/>
  <c r="R65" i="1"/>
  <c r="R60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0" i="1"/>
  <c r="R109" i="1"/>
  <c r="R108" i="1"/>
  <c r="R107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4" i="1"/>
  <c r="R63" i="1"/>
  <c r="R62" i="1"/>
  <c r="R61" i="1"/>
  <c r="R59" i="1"/>
  <c r="R58" i="1"/>
  <c r="R57" i="1"/>
  <c r="R56" i="1"/>
  <c r="R55" i="1"/>
  <c r="R54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V7" i="1"/>
  <c r="V8" i="1"/>
  <c r="V9" i="1"/>
  <c r="V10" i="1"/>
  <c r="V11" i="1"/>
  <c r="V12" i="1"/>
  <c r="V13" i="1"/>
  <c r="V14" i="1"/>
  <c r="S12" i="1"/>
  <c r="S14" i="1"/>
  <c r="S15" i="1"/>
  <c r="S10" i="1"/>
  <c r="S11" i="1"/>
  <c r="S13" i="1"/>
  <c r="R15" i="1"/>
  <c r="R14" i="1"/>
  <c r="R13" i="1"/>
  <c r="R12" i="1"/>
  <c r="R11" i="1"/>
  <c r="R10" i="1"/>
  <c r="X6" i="1" l="1"/>
  <c r="X11" i="1"/>
  <c r="AB8" i="1"/>
  <c r="AB14" i="1"/>
  <c r="Z7" i="1"/>
  <c r="X8" i="1"/>
  <c r="AD7" i="1"/>
  <c r="AB6" i="1"/>
  <c r="AC6" i="1" s="1"/>
  <c r="AD11" i="1"/>
  <c r="Z9" i="1"/>
  <c r="X12" i="1"/>
  <c r="X7" i="1"/>
  <c r="Z8" i="1"/>
  <c r="AA8" i="1" s="1"/>
  <c r="AF8" i="1"/>
  <c r="AB7" i="1"/>
  <c r="AF7" i="1"/>
  <c r="AG7" i="1" s="1"/>
  <c r="X13" i="1"/>
  <c r="Y13" i="1" s="1"/>
  <c r="AD9" i="1"/>
  <c r="AF12" i="1"/>
  <c r="AD8" i="1"/>
  <c r="AE8" i="1" s="1"/>
  <c r="Z12" i="1"/>
  <c r="AA12" i="1" s="1"/>
  <c r="Z10" i="1"/>
  <c r="AA10" i="1" s="1"/>
  <c r="AF13" i="1"/>
  <c r="AG13" i="1" s="1"/>
  <c r="AD13" i="1"/>
  <c r="AE13" i="1" s="1"/>
  <c r="AB9" i="1"/>
  <c r="AC9" i="1" s="1"/>
  <c r="AD14" i="1"/>
  <c r="AE14" i="1" s="1"/>
  <c r="AB12" i="1"/>
  <c r="AC12" i="1" s="1"/>
  <c r="Z11" i="1"/>
  <c r="AA11" i="1" s="1"/>
  <c r="AF11" i="1"/>
  <c r="AG11" i="1" s="1"/>
  <c r="AB11" i="1"/>
  <c r="AC11" i="1" s="1"/>
  <c r="Z6" i="1"/>
  <c r="X9" i="1"/>
  <c r="AD12" i="1"/>
  <c r="AE12" i="1" s="1"/>
  <c r="X10" i="1"/>
  <c r="Y10" i="1" s="1"/>
  <c r="AF14" i="1"/>
  <c r="AF10" i="1"/>
  <c r="AG10" i="1" s="1"/>
  <c r="AF6" i="1"/>
  <c r="AG6" i="1" s="1"/>
  <c r="AF9" i="1"/>
  <c r="AG9" i="1" s="1"/>
  <c r="AD10" i="1"/>
  <c r="AD6" i="1"/>
  <c r="AE6" i="1" s="1"/>
  <c r="AB10" i="1"/>
  <c r="AC10" i="1" s="1"/>
  <c r="Z14" i="1"/>
  <c r="AA14" i="1" s="1"/>
  <c r="AB13" i="1"/>
  <c r="Z13" i="1"/>
  <c r="AA13" i="1" s="1"/>
  <c r="X14" i="1"/>
  <c r="Y7" i="1"/>
  <c r="AC8" i="1"/>
  <c r="Y6" i="1"/>
  <c r="Y8" i="1"/>
  <c r="AE7" i="1"/>
  <c r="Y11" i="1"/>
  <c r="AC7" i="1"/>
  <c r="AC14" i="1"/>
  <c r="AA9" i="1"/>
  <c r="AE11" i="1"/>
  <c r="AG8" i="1"/>
  <c r="AE9" i="1"/>
  <c r="AA7" i="1"/>
  <c r="Y12" i="1"/>
  <c r="AG12" i="1"/>
  <c r="V15" i="1"/>
  <c r="W6" i="1" l="1"/>
  <c r="W15" i="1"/>
  <c r="AH7" i="1"/>
  <c r="AI7" i="1" s="1"/>
  <c r="AH8" i="1"/>
  <c r="AI8" i="1" s="1"/>
  <c r="AH11" i="1"/>
  <c r="AI11" i="1" s="1"/>
  <c r="AH9" i="1"/>
  <c r="AI9" i="1" s="1"/>
  <c r="Y9" i="1"/>
  <c r="AH12" i="1"/>
  <c r="AI12" i="1" s="1"/>
  <c r="AB15" i="1"/>
  <c r="AC15" i="1" s="1"/>
  <c r="AH10" i="1"/>
  <c r="AI10" i="1" s="1"/>
  <c r="AF15" i="1"/>
  <c r="AG15" i="1" s="1"/>
  <c r="AH6" i="1"/>
  <c r="AI6" i="1" s="1"/>
  <c r="AG14" i="1"/>
  <c r="AE10" i="1"/>
  <c r="AA6" i="1"/>
  <c r="AD15" i="1"/>
  <c r="AE15" i="1" s="1"/>
  <c r="AH14" i="1"/>
  <c r="AI14" i="1" s="1"/>
  <c r="AC13" i="1"/>
  <c r="AH13" i="1"/>
  <c r="AI13" i="1" s="1"/>
  <c r="Z15" i="1"/>
  <c r="AA15" i="1" s="1"/>
  <c r="Y14" i="1"/>
  <c r="X15" i="1"/>
  <c r="Y15" i="1" s="1"/>
  <c r="W8" i="1"/>
  <c r="W11" i="1"/>
  <c r="W14" i="1"/>
  <c r="W12" i="1"/>
  <c r="W10" i="1"/>
  <c r="W13" i="1"/>
  <c r="W9" i="1"/>
  <c r="W7" i="1"/>
  <c r="AH15" i="1" l="1"/>
  <c r="AI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JHON WILLIAM TABARES MORALES</author>
    <author>Usuario</author>
  </authors>
  <commentList>
    <comment ref="C67" authorId="0" shapeId="0" xr:uid="{00000000-0006-0000-0000-000001000000}">
      <text>
        <r>
          <rPr>
            <b/>
            <sz val="12"/>
            <color indexed="81"/>
            <rFont val="Arial"/>
            <family val="2"/>
          </rPr>
          <t>JHON WILLIAM TABARES MORALES:</t>
        </r>
        <r>
          <rPr>
            <sz val="12"/>
            <color indexed="81"/>
            <rFont val="Arial"/>
            <family val="2"/>
          </rPr>
          <t xml:space="preserve">
Opera el sistema urbano desde julio de 2015</t>
        </r>
      </text>
    </comment>
    <comment ref="C12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No existe sistema de acueducto comunitario - solo abastos individuales de aguas lluvias.</t>
        </r>
      </text>
    </comment>
  </commentList>
</comments>
</file>

<file path=xl/sharedStrings.xml><?xml version="1.0" encoding="utf-8"?>
<sst xmlns="http://schemas.openxmlformats.org/spreadsheetml/2006/main" count="602" uniqueCount="342">
  <si>
    <t>SECRETARIA SECCIONAL DE SALUD Y PROTECCION SOCIAL DE ANTIOQUIA</t>
  </si>
  <si>
    <t>Regional</t>
  </si>
  <si>
    <t>Numero Sistemas</t>
  </si>
  <si>
    <t>%</t>
  </si>
  <si>
    <t>Sin Riesgo</t>
  </si>
  <si>
    <t>Riesgo Bajo</t>
  </si>
  <si>
    <t>Riesgo Medio</t>
  </si>
  <si>
    <t>Riesgo Alto</t>
  </si>
  <si>
    <t>Inviable Sanitariamente</t>
  </si>
  <si>
    <t>Sin Dato</t>
  </si>
  <si>
    <t>SUBSECRETARIA DE SALUD PUBLICA</t>
  </si>
  <si>
    <t>DIRECCION SALUD AMBIENTAL Y FACTORES DE RIESGO</t>
  </si>
  <si>
    <t>PROGRAMA DE VIGILANCIA DE LA CALIDAD DEL AGUA PARA CONSUMO HUMANO Y USO RECREATIVO</t>
  </si>
  <si>
    <t>Valle de Aburra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</si>
  <si>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</si>
  <si>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</si>
  <si>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</si>
  <si>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</si>
  <si>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</si>
  <si>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</si>
  <si>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 xml:space="preserve">Uraba (*) </t>
  </si>
  <si>
    <t>REGIONAL</t>
  </si>
  <si>
    <t>MUNICIPIO</t>
  </si>
  <si>
    <t>PERSONA  PRESTADORA DEL SERVICIO</t>
  </si>
  <si>
    <t>NUMERO DE SUSCRIPTORES RESIDENCIALES</t>
  </si>
  <si>
    <t>AGUA APTA PARA EL CONSUMO HUMANO</t>
  </si>
  <si>
    <t>NIVEL DE RIESGO</t>
  </si>
  <si>
    <t>Norte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</si>
  <si>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</si>
  <si>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</si>
  <si>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</si>
  <si>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</si>
  <si>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</si>
  <si>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</si>
  <si>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</si>
  <si>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</si>
  <si>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</si>
  <si>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</si>
  <si>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</si>
  <si>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</si>
  <si>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Occidente</t>
  </si>
  <si>
    <t>Oriente</t>
  </si>
  <si>
    <t>Abejorral</t>
  </si>
  <si>
    <t>Empresas Públicas de Abejorral- EPA  E.S.P. - Sistema Angostura</t>
  </si>
  <si>
    <t>Suroeste</t>
  </si>
  <si>
    <t>Empresas Públicas de Abejorral-EPA - E.S.P. - Sistema San Antonio</t>
  </si>
  <si>
    <t>Bajo Cauca</t>
  </si>
  <si>
    <t>Abriaqui</t>
  </si>
  <si>
    <t xml:space="preserve">Unidad de Servicios Públicos Domiciliarios </t>
  </si>
  <si>
    <t>Magdalena Medio</t>
  </si>
  <si>
    <t>Alejandria</t>
  </si>
  <si>
    <t>Unidad de Servicios Públicos Domiciliarios de Alejandría</t>
  </si>
  <si>
    <t xml:space="preserve">Nordeste </t>
  </si>
  <si>
    <t>Amaga</t>
  </si>
  <si>
    <t>Empresas Públicas de Amagá  - EPAMA  S.A E.S.P.</t>
  </si>
  <si>
    <t>Nordeste</t>
  </si>
  <si>
    <t>Amalfi</t>
  </si>
  <si>
    <t>Acueductos y Alcantarillados Sostenibles S.A. E.S.P -Sistema San Ignacio</t>
  </si>
  <si>
    <t>Total</t>
  </si>
  <si>
    <t>Acueductos y Alcantarillados Sostenibles S.A. E.S.P -Guayabito</t>
  </si>
  <si>
    <t>Andes</t>
  </si>
  <si>
    <t>Empresa de Servicios Públicos de Andes - EEPPA  S.A. E.S.P   - Maria Auxiliadora</t>
  </si>
  <si>
    <t>Empresa de Servicios Públicos de Andes - EEPPA  S.A. E.S.P - La Palmera</t>
  </si>
  <si>
    <t>Angelopolis</t>
  </si>
  <si>
    <t>Dirección de Servicios Públicos Domiciliarios de Angelópolis</t>
  </si>
  <si>
    <t>Angostura</t>
  </si>
  <si>
    <t>Empresas de Servicios Públicos Domiciliarios de Angostura S.A.  E.S.P.</t>
  </si>
  <si>
    <t>Anori</t>
  </si>
  <si>
    <t xml:space="preserve"> Empresa de Servicios Públlicos de Anori S:A E.S.P</t>
  </si>
  <si>
    <t>Anza</t>
  </si>
  <si>
    <t>Unidad de Servicios Públicos de Anzá</t>
  </si>
  <si>
    <t>Uraba</t>
  </si>
  <si>
    <t>Aguas Regionales E.P.M.  S.A.  E.S.P</t>
  </si>
  <si>
    <t>Arboletes</t>
  </si>
  <si>
    <t>Acueductos y Alcantarillados Sostenibles S.A. E.S.P.</t>
  </si>
  <si>
    <t>ESP de Argelia de Maria  ESPAM S.A.</t>
  </si>
  <si>
    <t>Armenia</t>
  </si>
  <si>
    <t>Acueductos y Alcantarillados Sostenibles S.A. E.S.P</t>
  </si>
  <si>
    <t>Barbosa</t>
  </si>
  <si>
    <t>Empress Públicas de  Medellín E.S.P.</t>
  </si>
  <si>
    <t>Bello</t>
  </si>
  <si>
    <t>Belmira</t>
  </si>
  <si>
    <t>Empresas Públicas de Belmira E.S.P.</t>
  </si>
  <si>
    <t>Betania</t>
  </si>
  <si>
    <t>Empresas Públicas Municipales de Betania S.A. E.S.P.</t>
  </si>
  <si>
    <t>Betulia</t>
  </si>
  <si>
    <t>Empresas Públicas de Betulia S.A. E.S.P.</t>
  </si>
  <si>
    <t>Briceño</t>
  </si>
  <si>
    <t>Empresas Públicas de Briceño S.A. E.S.P.</t>
  </si>
  <si>
    <t>Buritica</t>
  </si>
  <si>
    <t>Empresa de Servicios Públicos Domiciliarios-SER Buriticá S.A E.S.P.</t>
  </si>
  <si>
    <t>Aguascol  Arbelaez S.A. E.S.P.</t>
  </si>
  <si>
    <t>Caicedo</t>
  </si>
  <si>
    <t>Unidad Municipal de Servicios Públicos Domiciliarios de Caicedo</t>
  </si>
  <si>
    <t>Caldas</t>
  </si>
  <si>
    <t>Asociación de Suscriptores del Acueducto La Rápida "ASDAR"</t>
  </si>
  <si>
    <t>Asociación de Suscriptores de Acueducto y Alcantarillado Mandalay</t>
  </si>
  <si>
    <t>Campamento</t>
  </si>
  <si>
    <t>Unidad de Servicios Públicos Domiciliarios  de Campamento</t>
  </si>
  <si>
    <t>Cañasgordas</t>
  </si>
  <si>
    <t>Empresas Públicas  de Cañasgordas S.A. E.S.P</t>
  </si>
  <si>
    <t>Caracoli</t>
  </si>
  <si>
    <t>Empresas de Servicios Públicos Domiciliarios de Caracolí S.A E.S.P</t>
  </si>
  <si>
    <t>Caramanta</t>
  </si>
  <si>
    <t xml:space="preserve">Empresas Públicas de Caramanta S.A.S. E.S.P. </t>
  </si>
  <si>
    <t>Carepa</t>
  </si>
  <si>
    <t>Carolina del Principe</t>
  </si>
  <si>
    <t xml:space="preserve">Unidad Administrativa Especial de Servicios Públicos DomiciliarIos de Carolina del Príncipe </t>
  </si>
  <si>
    <t>Caucasia</t>
  </si>
  <si>
    <t>Aguascol  Arbelaez S.A. E.S.P.. - Sistema Rio Man</t>
  </si>
  <si>
    <t>Aguascol  Arbelaez S.A. E.S.P.. - Sistema Pozo 7</t>
  </si>
  <si>
    <t>Aguascol  Arbelaez S.A. E.S.P. - Sistema Pozo 8</t>
  </si>
  <si>
    <t>Aguascol  Arbelaez S.A. E.S.P. - Sistema Pozo 10</t>
  </si>
  <si>
    <t>Aguascol  Arbelaez S.A. E.S.P.. - Sistema Pozo 11</t>
  </si>
  <si>
    <t>Chigorodo</t>
  </si>
  <si>
    <t>Cisneros</t>
  </si>
  <si>
    <t>Empresa de Servicios Públicos Domiciliarios S.A. E.S.P - Sistema Algarrobo - El Caney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</si>
  <si>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</si>
  <si>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</si>
  <si>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</si>
  <si>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</si>
  <si>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Ciudad Bolivar</t>
  </si>
  <si>
    <t>Asociación Acolinda</t>
  </si>
  <si>
    <t xml:space="preserve">Ingeniería Total S.A.  E.S.P. </t>
  </si>
  <si>
    <t>Asociación Usuarios Acueducto Multiveredal Bolívar Arriba - AMBA</t>
  </si>
  <si>
    <t>Cocorna</t>
  </si>
  <si>
    <t>Empresa de Servicios Públicos de Cocorná E.S.P.</t>
  </si>
  <si>
    <t>Concepción</t>
  </si>
  <si>
    <t>Oficina de Servicios Públicos Domiciliarios de Concepción</t>
  </si>
  <si>
    <t>Concordia</t>
  </si>
  <si>
    <t>Empresas Públicas Municipales de Concordia E.S.P.</t>
  </si>
  <si>
    <t>Copacabana</t>
  </si>
  <si>
    <t>Dabeiba</t>
  </si>
  <si>
    <t>Empresas Públicas de Dabeiba S.A.S. E.S.P. Barrio Bernardo Guerra</t>
  </si>
  <si>
    <t>Ebejico</t>
  </si>
  <si>
    <t>Empresa de Servicios Públicos de Ebejico E.S.P</t>
  </si>
  <si>
    <t>El Bagre</t>
  </si>
  <si>
    <t>Empresa Municipal de Acueducto, Alcantarillado y Aseo de El Bagre S.A.  E.S.P</t>
  </si>
  <si>
    <t>Acueducto Mineros  Aluvial S.A</t>
  </si>
  <si>
    <t>El Carmen de Viboral</t>
  </si>
  <si>
    <t xml:space="preserve"> La Cimarrona E.S.P.  S.A</t>
  </si>
  <si>
    <t>El Santuario</t>
  </si>
  <si>
    <t>Empresas Públicas del Municipio de El Santuario E.S.P.</t>
  </si>
  <si>
    <t xml:space="preserve">Asociación de Usuarios Acueducto Barrio Monseñor </t>
  </si>
  <si>
    <t>Asociación de Usuarios Acueducto Barrio Alto del Calvario</t>
  </si>
  <si>
    <t>Entrerrios</t>
  </si>
  <si>
    <t>Unidad de Servicios Públicos Domiciliarios de Entrerríos E.S.P.</t>
  </si>
  <si>
    <t>Envigado</t>
  </si>
  <si>
    <t>Fredonia</t>
  </si>
  <si>
    <t>Operadores de Servicios S.A  E.S.P.</t>
  </si>
  <si>
    <t>Frontino</t>
  </si>
  <si>
    <t>Empresa de Servicios Públicos de Frontino E.S.P - Cabecera</t>
  </si>
  <si>
    <t>Empresa de Servicios Públicos de Frontino E.S.P-Sistema Manguruma</t>
  </si>
  <si>
    <t>Giraldo</t>
  </si>
  <si>
    <t>Empresa de Servicios Públicos Domiciliarios  de Giraldo S.A E.S.P - EMPUGI S.A. E.S.P</t>
  </si>
  <si>
    <t>Junta de Acción Comunal Barrio El Carmelo</t>
  </si>
  <si>
    <t>Girardota</t>
  </si>
  <si>
    <t>Unidad de Servicios Públicos Domiciliarios de Gómez Plata</t>
  </si>
  <si>
    <t>Granada</t>
  </si>
  <si>
    <t xml:space="preserve">Empresa de Servicios Públicos de Granada - ESPG  E.S.P. </t>
  </si>
  <si>
    <t>Guadalupe</t>
  </si>
  <si>
    <t>Empresa de Servicios Públicos de Guadalupe S.A.S. E.S.P.</t>
  </si>
  <si>
    <t>Guarne</t>
  </si>
  <si>
    <t>Guatape</t>
  </si>
  <si>
    <t>Empresa de Servicios Públicos de Guatapé  S.A.S E.SP</t>
  </si>
  <si>
    <t>Heliconia</t>
  </si>
  <si>
    <t>Aguas de Heliconia S.A E.S.P.</t>
  </si>
  <si>
    <t>Hispania</t>
  </si>
  <si>
    <t>Empresas Públicas de Hispania S.A. E.S.P.</t>
  </si>
  <si>
    <t>Itagui</t>
  </si>
  <si>
    <t>Ituango</t>
  </si>
  <si>
    <t>Empresa de Servicios Públicos Domiciliariosde Ituango - SERVITUANGO  S.A. E.S.P</t>
  </si>
  <si>
    <t>Junta Administradora Chapinero</t>
  </si>
  <si>
    <t>Jardin</t>
  </si>
  <si>
    <t>Ingeniería Total  Servicios Pùblicos  S.A. E.S.P.</t>
  </si>
  <si>
    <t>Jerico</t>
  </si>
  <si>
    <t>Empresas Públicas de Jericó Antioquia S.A.  E.S.P.</t>
  </si>
  <si>
    <t>La Ceja</t>
  </si>
  <si>
    <t>Empresas Públicas de La Ceja E.S.P. - Sistema Fátima</t>
  </si>
  <si>
    <t>Empresas Públicas de La Ceja E.S.P. - Sistema Palo Santo</t>
  </si>
  <si>
    <t>Empresas Públicas de La Ceja E.S.P. - Sistema La Milagrosa</t>
  </si>
  <si>
    <t>La Estrella</t>
  </si>
  <si>
    <t>La Pintada</t>
  </si>
  <si>
    <t>Asociación de Usuarios Acueducto Calle Vieja</t>
  </si>
  <si>
    <t>Empresas Públicas de La Pintada S.A. E.S.P. EPPI</t>
  </si>
  <si>
    <t>La Unión</t>
  </si>
  <si>
    <t>Empresa de Servicios Públicos de La Union S.A.  E.S.P.</t>
  </si>
  <si>
    <t>Liborina</t>
  </si>
  <si>
    <t>Empresa de Servicios Públicos Domiciliarios de Liborina S.A E.S.P</t>
  </si>
  <si>
    <t>Maceo</t>
  </si>
  <si>
    <t>Empresa de Servicio Públicos de Maceo S.A.S  E.S.P.</t>
  </si>
  <si>
    <t>Marinilla</t>
  </si>
  <si>
    <t>Empresa de Servicios Públicos de San José de Marinilla  E.S.P</t>
  </si>
  <si>
    <t>Corporación de Servicios Públicos de Belén - CORBELÉN</t>
  </si>
  <si>
    <t>EE. PP Medellín -Villa Hermosa</t>
  </si>
  <si>
    <t>EE. PP Medellín-Corporación de Asociados del Acueducto ISAAC GAVIRIA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</si>
  <si>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</si>
  <si>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</si>
  <si>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</si>
  <si>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</si>
  <si>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</si>
  <si>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</si>
  <si>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</si>
  <si>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</si>
  <si>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Montebello</t>
  </si>
  <si>
    <t>Oficina de Servicios Públicos de Montebello</t>
  </si>
  <si>
    <t>Murindo</t>
  </si>
  <si>
    <t>Municipio de Murindó</t>
  </si>
  <si>
    <t>Mutata</t>
  </si>
  <si>
    <t>Nariño</t>
  </si>
  <si>
    <t>Unidad de Servicios Públicos Domiciliarios de Nariño - Sistema Santa Clara</t>
  </si>
  <si>
    <t>Unidad de Servicios Públicos Domiciliarios de Nariño -  Sistema Cabuyo</t>
  </si>
  <si>
    <t>Nechi</t>
  </si>
  <si>
    <t>Necocli</t>
  </si>
  <si>
    <t xml:space="preserve"> Municipio Necocli </t>
  </si>
  <si>
    <t>Olaya</t>
  </si>
  <si>
    <t>Aguas Regionales E.P.M. S.A E.S.P</t>
  </si>
  <si>
    <t>Peñol</t>
  </si>
  <si>
    <t>Aguas y Aseo del Peñol  E.S.P.</t>
  </si>
  <si>
    <t>Peque</t>
  </si>
  <si>
    <t>Unidad de Servicios Públicos Domiciliarios  de Peque</t>
  </si>
  <si>
    <t>Pueblorico</t>
  </si>
  <si>
    <t>Empresa Pueblorriqueña de Acueducto, Alcantarillado y Aseo -  S.A E.S.P</t>
  </si>
  <si>
    <t>Puerto Berrio</t>
  </si>
  <si>
    <t>Aguas del Puerto S.A E.S.P</t>
  </si>
  <si>
    <t>Puerto Nare</t>
  </si>
  <si>
    <t>Empresas Públicas de Puerto Nare E.S.P</t>
  </si>
  <si>
    <t>Puerto Triunfo</t>
  </si>
  <si>
    <t>Remedios</t>
  </si>
  <si>
    <t>Aguas y Servicios del Ité S.A.S.  E.S.P</t>
  </si>
  <si>
    <t>El Retiro</t>
  </si>
  <si>
    <t>Aguas del Oriente Antioqueño S.A. E.S.P.</t>
  </si>
  <si>
    <t>Corporación de Acueducto del Barrio El  Plan -Aguaplan -</t>
  </si>
  <si>
    <t>Rionegro</t>
  </si>
  <si>
    <t>Empresas Públicas de Medellin E:S.P</t>
  </si>
  <si>
    <t>Sabanalarga</t>
  </si>
  <si>
    <t>Empresa de Servicios Públicos Domiciliarios de  Sabanalarga S.A E.S.P</t>
  </si>
  <si>
    <t>Sabaneta</t>
  </si>
  <si>
    <t>Salgar</t>
  </si>
  <si>
    <t>Empresas Públicas de Salgar S.A  E.S.P</t>
  </si>
  <si>
    <t>Asociacion Usuarios del Acueducto Barrio  La Habana</t>
  </si>
  <si>
    <t>San Andres de Cuerquia</t>
  </si>
  <si>
    <t>Empresas Públicas de San Andrés de Cuerquia  S.A. E.S.P.</t>
  </si>
  <si>
    <t>San Carlos</t>
  </si>
  <si>
    <t>Unidad de Servicios Públicos de Aguas y Aseo del Tabor</t>
  </si>
  <si>
    <t>San Francisco</t>
  </si>
  <si>
    <t>Empresa de Servicios Públicos de San Francisco</t>
  </si>
  <si>
    <t>San Jeronimo</t>
  </si>
  <si>
    <t>Aguas Regionales E.P.M S.A E.S.P</t>
  </si>
  <si>
    <t>San Jose de la Montaña</t>
  </si>
  <si>
    <t>San Juan de Uraba</t>
  </si>
  <si>
    <t>San Luis</t>
  </si>
  <si>
    <t>Empresas Públicas de San Luis S.A. E.S.P. - Sistema La Cristalina</t>
  </si>
  <si>
    <t>Empresas Publicas de San Luis  S.A. E.S.P. - Sistema La Risaralda</t>
  </si>
  <si>
    <t>San Pedro de los Milagros</t>
  </si>
  <si>
    <t>Acueductos y Alcantarillados Sostenibles S.A.  E.S.P</t>
  </si>
  <si>
    <t>San Pedro de Uraba</t>
  </si>
  <si>
    <t>Sistemas Públicos   S.A. E.S.P.</t>
  </si>
  <si>
    <t>San Rafael</t>
  </si>
  <si>
    <t>Empresas Públicas de San Rafael S.A. E.S.P</t>
  </si>
  <si>
    <t>San Roque</t>
  </si>
  <si>
    <t>Empresas Públicas de San Roque S.A.S.  E.S.P.</t>
  </si>
  <si>
    <t>San Vicente Ferrer</t>
  </si>
  <si>
    <t>Secretaria de Servicios Públicos de San Vicente Ferrer</t>
  </si>
  <si>
    <t>Santa Barbara</t>
  </si>
  <si>
    <t>Santa Rosa de Osos</t>
  </si>
  <si>
    <t>Santa fe de Antioquia</t>
  </si>
  <si>
    <t>Santo Domingo</t>
  </si>
  <si>
    <t>Empresa de Servicios Públicos Domiciliarios de Santo Domingo  S.A.  E.S.P</t>
  </si>
  <si>
    <t>Segovia</t>
  </si>
  <si>
    <t>Aguas de Pocuné S.A.S.  E.S.P</t>
  </si>
  <si>
    <t>Sonsón</t>
  </si>
  <si>
    <t>Aguas del Páramo S.A.S.  E.S.P.</t>
  </si>
  <si>
    <t>Sopetran</t>
  </si>
  <si>
    <t>Aguas Regionales E.P.M  S.A.  E.S.P</t>
  </si>
  <si>
    <t>Tamesis</t>
  </si>
  <si>
    <t>Empresa de Servicios Públicos Domiciliarios de Támesis S.A.S.  E.S.P.</t>
  </si>
  <si>
    <t>Taraza</t>
  </si>
  <si>
    <t>Aguascol Arbelaez S.A E.S.P</t>
  </si>
  <si>
    <t>Junta de Acción Comunal El Bosque</t>
  </si>
  <si>
    <t>Asociación de Usuarios del Barrio El Mirador II</t>
  </si>
  <si>
    <t>Junta Acción Comunal El Turista</t>
  </si>
  <si>
    <t>Tarso</t>
  </si>
  <si>
    <t>Empresa de Servicios Públicos de Tarso  S.A. E.S.P</t>
  </si>
  <si>
    <t>Titiribi</t>
  </si>
  <si>
    <t xml:space="preserve">Asociación Junta Administradora Acueducto Comunitario Las Isazas </t>
  </si>
  <si>
    <t>Toledo</t>
  </si>
  <si>
    <t>Unidad de Servicios Públicos Domiciliarios E.S.P.</t>
  </si>
  <si>
    <t>Uramita</t>
  </si>
  <si>
    <t>Empresa de  Servicios Públicos de Uramita S.A.S. E.S.P- Sistema El Oso</t>
  </si>
  <si>
    <t>Empresa de  Servicios Públicos de Uramita S.A.S. E.S.P- Sistema El Churimo</t>
  </si>
  <si>
    <t>Urrao</t>
  </si>
  <si>
    <t>Empresas Públicas de Urrao  E.S.P.</t>
  </si>
  <si>
    <t>Valdivia</t>
  </si>
  <si>
    <t>Empresas Públicas de Valdivia  S.A.  E.S.P.</t>
  </si>
  <si>
    <t>Valparaiso</t>
  </si>
  <si>
    <t xml:space="preserve">Empresa de Servicios Públicos Domiciliarios de Valparaíso S.A.S.  E.S.P. </t>
  </si>
  <si>
    <t>Vegachi</t>
  </si>
  <si>
    <t>Empresas Públicas de Vegachí S.A.  E.S.P.</t>
  </si>
  <si>
    <t>Venecia</t>
  </si>
  <si>
    <t>Acueductos y Alcantarillados Sostenibles S.A.  E.S.P.</t>
  </si>
  <si>
    <t>Vigia del Fuerte</t>
  </si>
  <si>
    <t>Municipio de Vigía del Fuerte</t>
  </si>
  <si>
    <t>Yali</t>
  </si>
  <si>
    <t>Empresa de Servicios Públicos de Yalí S.A. E.S.P</t>
  </si>
  <si>
    <t>Yarumal</t>
  </si>
  <si>
    <t xml:space="preserve">Aguas del Norte Antioqueño S.A E.S.P                                       </t>
  </si>
  <si>
    <t>Junta de Acción Comunal Acueducto La Inmaculada No. 1</t>
  </si>
  <si>
    <t>Yolombo</t>
  </si>
  <si>
    <t>Empresa de Servicios Públicos de Yolombó S.A E.S.P</t>
  </si>
  <si>
    <t>Aguas y Aseo de Yondó S.A. E.S.P</t>
  </si>
  <si>
    <t>Zaragoza</t>
  </si>
  <si>
    <t>Municipio de Zaragoza - Sistema La Balsita</t>
  </si>
  <si>
    <t>Municipio de Zaragoza - Sistema La Temperatura</t>
  </si>
  <si>
    <r>
      <rPr>
        <b/>
        <sz val="12"/>
        <color indexed="8"/>
        <rFont val="Arial Narrow"/>
        <family val="2"/>
      </rPr>
      <t>Indice de Riesgo de Calidad del Agua Potable - IRCA- (Promedio Anual)</t>
    </r>
    <r>
      <rPr>
        <sz val="12"/>
        <color indexed="8"/>
        <rFont val="Arial Narrow"/>
        <family val="2"/>
      </rPr>
      <t xml:space="preserve">: Certifica la Calidad del Agua para Consumo Humano Suministrada. </t>
    </r>
  </si>
  <si>
    <t xml:space="preserve"> </t>
  </si>
  <si>
    <t>Acueducto Multiveredal Barrio Nuevo</t>
  </si>
  <si>
    <t>Empresas Públicas de Dabeiba S.A.S. E.S.P. Cabecera Municipal - Antado</t>
  </si>
  <si>
    <t>Empresas Públicas de Dabeiba S.A.S. E.S.P. - El Jague</t>
  </si>
  <si>
    <t xml:space="preserve">Empresa de servicios publicos domiciliarios del municipio de Guarne  E.S.P. </t>
  </si>
  <si>
    <t>Junta de Acción Comunal Barrio JUAN XXIII</t>
  </si>
  <si>
    <t>Acueducto comunal el pedrero</t>
  </si>
  <si>
    <t>ASUAC - Barrio La Inmaculada # 1</t>
  </si>
  <si>
    <t>LA ESTRELLA S.A E.S.P - La Muerte</t>
  </si>
  <si>
    <t>LA ESTRELLA S.A E.S.P - Mira Flores</t>
  </si>
  <si>
    <t>LA ESTRELLA S.A E.S.P - Pueblo Viejo</t>
  </si>
  <si>
    <t>LA ESTRELLA S.A E.S.P - Sagrada Familia</t>
  </si>
  <si>
    <t>LA ESTRELLA S.A E.S.P - San Miguel</t>
  </si>
  <si>
    <t>Uraba.</t>
  </si>
  <si>
    <t xml:space="preserve">Sin Dato </t>
  </si>
  <si>
    <t>CONSOLIDADO  INDICE DE RIESGO DE CALIDAD DEL AGUA PARA CONSUMO HUMANO - IRCA MENSUAL ACUEDUCTOS URBANOS -  ANTIOQUIA 2023</t>
  </si>
  <si>
    <t>Argelia de María</t>
  </si>
  <si>
    <t>Distrito Especial de Ciencia, Tecnología e Innovación de Medellín</t>
  </si>
  <si>
    <t>Distrito Portuario, Logístico, Industrial, Turístico y Comercial de Turbo</t>
  </si>
  <si>
    <t>Donmatías</t>
  </si>
  <si>
    <t>Cáceres</t>
  </si>
  <si>
    <t>Servidonmatías E.S.P. S.A.S.</t>
  </si>
  <si>
    <t>Gómez Plata</t>
  </si>
  <si>
    <t>Yondó</t>
  </si>
  <si>
    <t>Apartadó</t>
  </si>
  <si>
    <t>(*): El municipio de Murindo para la vigencia 2023 no contaban con sistemas de acueducto operando en el casco urbano.</t>
  </si>
  <si>
    <t>% IRCA PROMEDIO ENERO - DIC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</si>
</sst>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 [$€-2]\ * #,##0.00_ ;_ [$€-2]\ * \-#,##0.00_ ;_ [$€-2]\ * \-??_ 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2" fillId="0" borderId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3" fillId="0" borderId="0" xfId="0" applyFont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11" borderId="2" xfId="0" applyFont="1" applyFill="1" applyBorder="1" applyAlignment="1">
      <alignment horizontal="center" vertical="center" wrapText="1"/>
    </xf>
    <xf numFmtId="2" fontId="6" fillId="10" borderId="2" xfId="0" applyNumberFormat="1" applyFont="1" applyFill="1" applyBorder="1" applyAlignment="1">
      <alignment horizontal="center" vertical="center"/>
    </xf>
    <xf numFmtId="2" fontId="4" fillId="10" borderId="2" xfId="0" applyNumberFormat="1" applyFont="1" applyFill="1" applyBorder="1" applyAlignment="1">
      <alignment horizontal="center" vertical="center"/>
    </xf>
    <xf numFmtId="164" fontId="6" fillId="9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6" fillId="10" borderId="11" xfId="0" applyNumberFormat="1" applyFont="1" applyFill="1" applyBorder="1" applyAlignment="1">
      <alignment horizontal="center" vertical="center"/>
    </xf>
    <xf numFmtId="2" fontId="4" fillId="10" borderId="1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6" fillId="10" borderId="12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164" fontId="6" fillId="9" borderId="7" xfId="0" applyNumberFormat="1" applyFont="1" applyFill="1" applyBorder="1" applyAlignment="1">
      <alignment horizontal="center" vertical="center"/>
    </xf>
    <xf numFmtId="2" fontId="6" fillId="10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4" fillId="12" borderId="2" xfId="0" applyNumberFormat="1" applyFont="1" applyFill="1" applyBorder="1" applyAlignment="1">
      <alignment horizontal="center" vertical="center"/>
    </xf>
    <xf numFmtId="2" fontId="6" fillId="12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 wrapText="1" readingOrder="1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2" fontId="0" fillId="0" borderId="0" xfId="0" applyNumberFormat="1"/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13" xfId="0" applyBorder="1"/>
    <xf numFmtId="2" fontId="15" fillId="0" borderId="9" xfId="0" applyNumberFormat="1" applyFont="1" applyBorder="1" applyAlignment="1">
      <alignment horizontal="center" vertical="center" wrapText="1"/>
    </xf>
    <xf numFmtId="165" fontId="6" fillId="0" borderId="2" xfId="1" applyFont="1" applyFill="1" applyBorder="1" applyAlignment="1" applyProtection="1">
      <alignment horizontal="left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12" fillId="9" borderId="9" xfId="0" applyNumberFormat="1" applyFont="1" applyFill="1" applyBorder="1" applyAlignment="1">
      <alignment horizontal="center" vertical="center" wrapText="1"/>
    </xf>
    <xf numFmtId="2" fontId="12" fillId="9" borderId="2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1" fillId="9" borderId="2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2">
    <cellStyle name="Euro" xfId="1" xr:uid="{00000000-0005-0000-0000-000000000000}"/>
    <cellStyle name="Normal" xfId="0" builtinId="0"/>
  </cellStyles>
  <dxfs count="74"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urbanos por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Antioquia - Colombia 2023</a:t>
            </a:r>
          </a:p>
        </c:rich>
      </c:tx>
      <c:layout>
        <c:manualLayout>
          <c:xMode val="edge"/>
          <c:yMode val="edge"/>
          <c:x val="0.13091543044298951"/>
          <c:y val="5.3234119392364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93443768246902E-2"/>
          <c:y val="0.15239307086614176"/>
          <c:w val="0.81179506407852864"/>
          <c:h val="0.62542261417322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'2023'!$V$1:$V$5</c:f>
              <c:strCache>
                <c:ptCount val="5"/>
                <c:pt idx="0">
                  <c:v>Numero Sistemas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'2023'!$V$6:$V$14</c:f>
              <c:numCache>
                <c:formatCode>General</c:formatCode>
                <c:ptCount val="9"/>
                <c:pt idx="0">
                  <c:v>28</c:v>
                </c:pt>
                <c:pt idx="1">
                  <c:v>10</c:v>
                </c:pt>
                <c:pt idx="2">
                  <c:v>19</c:v>
                </c:pt>
                <c:pt idx="3">
                  <c:v>25</c:v>
                </c:pt>
                <c:pt idx="4">
                  <c:v>29</c:v>
                </c:pt>
                <c:pt idx="5">
                  <c:v>15</c:v>
                </c:pt>
                <c:pt idx="6">
                  <c:v>6</c:v>
                </c:pt>
                <c:pt idx="7">
                  <c:v>15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C-46DF-BB26-D7AF04DB0158}"/>
            </c:ext>
          </c:extLst>
        </c:ser>
        <c:ser>
          <c:idx val="1"/>
          <c:order val="1"/>
          <c:tx>
            <c:strRef>
              <c:f>'2023'!$W$1:$W$5</c:f>
              <c:strCache>
                <c:ptCount val="5"/>
                <c:pt idx="0">
                  <c:v>%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'2023'!$W$6:$W$14</c:f>
              <c:numCache>
                <c:formatCode>0.0</c:formatCode>
                <c:ptCount val="9"/>
                <c:pt idx="0">
                  <c:v>15.555555555555555</c:v>
                </c:pt>
                <c:pt idx="1">
                  <c:v>5.5555555555555554</c:v>
                </c:pt>
                <c:pt idx="2">
                  <c:v>10.555555555555555</c:v>
                </c:pt>
                <c:pt idx="3">
                  <c:v>13.888888888888889</c:v>
                </c:pt>
                <c:pt idx="4">
                  <c:v>16.111111111111111</c:v>
                </c:pt>
                <c:pt idx="5">
                  <c:v>8.3333333333333321</c:v>
                </c:pt>
                <c:pt idx="6">
                  <c:v>3.3333333333333335</c:v>
                </c:pt>
                <c:pt idx="7">
                  <c:v>8.3333333333333321</c:v>
                </c:pt>
                <c:pt idx="8">
                  <c:v>18.333333333333332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C-46DF-BB26-D7AF04DB0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9"/>
        <c:axId val="-1483143488"/>
        <c:axId val="-1483156544"/>
      </c:barChart>
      <c:catAx>
        <c:axId val="-14831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-1483156544"/>
        <c:crossesAt val="0"/>
        <c:auto val="1"/>
        <c:lblAlgn val="ctr"/>
        <c:lblOffset val="100"/>
        <c:noMultiLvlLbl val="0"/>
      </c:catAx>
      <c:valAx>
        <c:axId val="-1483156544"/>
        <c:scaling>
          <c:orientation val="minMax"/>
          <c:max val="35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-1483143488"/>
        <c:crosses val="autoZero"/>
        <c:crossBetween val="between"/>
        <c:majorUnit val="5"/>
        <c:minorUnit val="1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plotVisOnly val="1"/>
    <c:dispBlanksAs val="gap"/>
    <c:showDLblsOverMax val="0"/>
  </c:chart>
  <c:spPr>
    <a:ln w="6350">
      <a:noFill/>
    </a:ln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.Número y  porcentaje de acueductos urbanos por  nivel de riesgo sanitario - Antioquia  -  Colombia  2023</a:t>
            </a:r>
          </a:p>
        </c:rich>
      </c:tx>
      <c:layout>
        <c:manualLayout>
          <c:xMode val="edge"/>
          <c:yMode val="edge"/>
          <c:x val="0.1268859267284464"/>
          <c:y val="4.7078961677104937E-2"/>
        </c:manualLayout>
      </c:layout>
      <c:overlay val="0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5202838004546534"/>
          <c:y val="0.15346832120767526"/>
          <c:w val="0.72867981896865686"/>
          <c:h val="0.6583285497309137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1"/>
              <c:spPr>
                <a:solidFill>
                  <a:srgbClr val="00B050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72D-480E-8A89-A9D93E96051B}"/>
                </c:ext>
              </c:extLst>
            </c:dLbl>
            <c:dLbl>
              <c:idx val="2"/>
              <c:spPr>
                <a:solidFill>
                  <a:srgbClr val="FFFF00"/>
                </a:solidFill>
                <a:ln w="25400">
                  <a:solidFill>
                    <a:srgbClr val="FFFF00"/>
                  </a:solidFill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72D-480E-8A89-A9D93E96051B}"/>
                </c:ext>
              </c:extLst>
            </c:dLbl>
            <c:dLbl>
              <c:idx val="3"/>
              <c:spPr>
                <a:solidFill>
                  <a:srgbClr val="FFC000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72D-480E-8A89-A9D93E96051B}"/>
                </c:ext>
              </c:extLst>
            </c:dLbl>
            <c:dLbl>
              <c:idx val="4"/>
              <c:spPr>
                <a:solidFill>
                  <a:srgbClr val="FF0000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72D-480E-8A89-A9D93E960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('2023'!$X$1:$X$5,'2023'!$Z$1:$Z$5,'2023'!$AB$1:$AB$5,'2023'!$AD$1:$AD$5,'2023'!$AF$1:$AF$5,'2023'!$AH$1:$AH$5)</c:f>
              <c:strCache>
                <c:ptCount val="6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('2023'!$Y$15,'2023'!$AA$15,'2023'!$AC$15,'2023'!$AE$15,'2023'!$AG$15,'2023'!$AI$15)</c:f>
              <c:numCache>
                <c:formatCode>0.0</c:formatCode>
                <c:ptCount val="6"/>
                <c:pt idx="0">
                  <c:v>86.111111111111114</c:v>
                </c:pt>
                <c:pt idx="1">
                  <c:v>5.5555555555555554</c:v>
                </c:pt>
                <c:pt idx="2">
                  <c:v>1.1111111111111112</c:v>
                </c:pt>
                <c:pt idx="3">
                  <c:v>3.8888888888888888</c:v>
                </c:pt>
                <c:pt idx="4">
                  <c:v>3.3333333333333335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8E-4C73-AB42-B757924A0E23}"/>
            </c:ext>
          </c:extLst>
        </c:ser>
        <c:ser>
          <c:idx val="1"/>
          <c:order val="1"/>
          <c:tx>
            <c:v>Numero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('2023'!$X$1:$X$5,'2023'!$Z$1:$Z$5,'2023'!$AB$1:$AB$5,'2023'!$AD$1:$AD$5,'2023'!$AF$1:$AF$5,'2023'!$AH$1:$AH$5)</c:f>
              <c:strCache>
                <c:ptCount val="6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('2023'!$X$15,'2023'!$Z$15,'2023'!$AB$15,'2023'!$AD$15,'2023'!$AF$15,'2023'!$AH$15)</c:f>
              <c:numCache>
                <c:formatCode>General</c:formatCode>
                <c:ptCount val="6"/>
                <c:pt idx="0">
                  <c:v>155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8E-4C73-AB42-B757924A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-1483149472"/>
        <c:axId val="-1483150016"/>
      </c:barChart>
      <c:catAx>
        <c:axId val="-148314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83150016"/>
        <c:crosses val="autoZero"/>
        <c:auto val="1"/>
        <c:lblAlgn val="ctr"/>
        <c:lblOffset val="100"/>
        <c:noMultiLvlLbl val="0"/>
      </c:catAx>
      <c:valAx>
        <c:axId val="-1483150016"/>
        <c:scaling>
          <c:orientation val="minMax"/>
        </c:scaling>
        <c:delete val="0"/>
        <c:axPos val="r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-1483149472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dTable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9525">
      <a:noFill/>
    </a:ln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187052</xdr:colOff>
      <xdr:row>0</xdr:row>
      <xdr:rowOff>35718</xdr:rowOff>
    </xdr:from>
    <xdr:to>
      <xdr:col>1</xdr:col>
      <xdr:colOff>2406398</xdr:colOff>
      <xdr:row>6</xdr:row>
      <xdr:rowOff>369093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98491F-E48D-45FC-92D9-3868C5863B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100"/>
        <a:stretch/>
      </xdr:blipFill>
      <xdr:spPr>
        <a:xfrm>
          <a:off x="187052" y="35718"/>
          <a:ext cx="3862409" cy="1833563"/>
        </a:xfrm>
        <a:prstGeom prst="rect">
          <a:avLst/>
        </a:prstGeom>
      </xdr:spPr>
    </xdr:pic>
    <xdr:clientData/>
  </xdr:twoCellAnchor>
  <xdr:twoCellAnchor editAs="oneCell">
    <xdr:from>
      <xdr:col>20</xdr:col>
      <xdr:colOff>5441</xdr:colOff>
      <xdr:row>16</xdr:row>
      <xdr:rowOff>5443</xdr:rowOff>
    </xdr:from>
    <xdr:to>
      <xdr:col>29</xdr:col>
      <xdr:colOff>354268</xdr:colOff>
      <xdr:row>36</xdr:row>
      <xdr:rowOff>27441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651401E-054F-4E20-ACDD-C4CC9BF3D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91762" y="5802086"/>
          <a:ext cx="7097970" cy="9274855"/>
        </a:xfrm>
        <a:prstGeom prst="rect">
          <a:avLst/>
        </a:prstGeom>
      </xdr:spPr>
    </xdr:pic>
    <xdr:clientData/>
  </xdr:twoCellAnchor>
  <xdr:twoCellAnchor>
    <xdr:from>
      <xdr:col>29</xdr:col>
      <xdr:colOff>379524</xdr:colOff>
      <xdr:row>16</xdr:row>
      <xdr:rowOff>10886</xdr:rowOff>
    </xdr:from>
    <xdr:to>
      <xdr:col>39</xdr:col>
      <xdr:colOff>517072</xdr:colOff>
      <xdr:row>35</xdr:row>
      <xdr:rowOff>451304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549389</xdr:colOff>
      <xdr:row>16</xdr:row>
      <xdr:rowOff>3061</xdr:rowOff>
    </xdr:from>
    <xdr:to>
      <xdr:col>48</xdr:col>
      <xdr:colOff>742950</xdr:colOff>
      <xdr:row>35</xdr:row>
      <xdr:rowOff>449036</xdr:rowOff>
    </xdr:to>
    <xdr:graphicFrame macro="">
      <xdr:nvGraphicFramePr>
        <xdr:cNvPr id="4" name="40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0.95425</cdr:x>
      <cdr:y>0.867</cdr:y>
    </cdr:from>
    <cdr:to>
      <cdr:x>0.95425</cdr:x>
      <cdr:y>0.86725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0.95725</cdr:x>
      <cdr:y>0.867</cdr:y>
    </cdr:from>
    <cdr:to>
      <cdr:x>0.95725</cdr:x>
      <cdr:y>0.86725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0.79528</cdr:x>
      <cdr:y>0.40154</cdr:y>
    </cdr:from>
    <cdr:to>
      <cdr:x>0.96117</cdr:x>
      <cdr:y>0.61735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0.81628</cdr:x>
      <cdr:y>0.46488</cdr:y>
    </cdr:from>
    <cdr:to>
      <cdr:x>0.97855</cdr:x>
      <cdr:y>0.71405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0.89495</cdr:x>
      <cdr:y>0.58173</cdr:y>
    </cdr:from>
    <cdr:to>
      <cdr:x>0.99248</cdr:x>
      <cdr:y>0.75106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0.85366</cdr:x>
      <cdr:y>0.76278</cdr:y>
    </cdr:from>
    <cdr:to>
      <cdr:x>0.9517</cdr:x>
      <cdr:y>0.92153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3"/>
  <sheetViews>
    <sheetView tabSelected="1" zoomScale="70" zoomScaleNormal="70" zoomScalePageLayoutView="40" workbookViewId="0">
      <selection activeCell="AL14" sqref="AL14"/>
    </sheetView>
  </sheetViews>
  <sheetFormatPr baseColWidth="10" defaultRowHeight="12.75" x14ac:dyDescent="0.2"/>
  <cols>
    <col min="1" max="1" width="24.7109375" customWidth="1"/>
    <col min="2" max="2" width="41.85546875" style="1" customWidth="1"/>
    <col min="3" max="3" width="60.140625" style="57" customWidth="1"/>
    <col min="4" max="4" width="18.28515625" customWidth="1"/>
    <col min="5" max="16" width="8.7109375" customWidth="1"/>
    <col min="17" max="17" width="18.85546875" style="52" customWidth="1"/>
    <col min="18" max="18" width="18.5703125" customWidth="1"/>
    <col min="19" max="19" width="28" customWidth="1"/>
    <col min="20" max="20" width="2" customWidth="1"/>
    <col min="21" max="21" width="22.85546875" customWidth="1"/>
    <col min="22" max="35" width="9.7109375" customWidth="1"/>
  </cols>
  <sheetData>
    <row r="1" spans="1:35" ht="18" customHeight="1" x14ac:dyDescent="0.25">
      <c r="A1" s="104"/>
      <c r="B1" s="104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00" t="s">
        <v>1</v>
      </c>
      <c r="V1" s="99" t="s">
        <v>2</v>
      </c>
      <c r="W1" s="100" t="s">
        <v>3</v>
      </c>
      <c r="X1" s="99" t="s">
        <v>4</v>
      </c>
      <c r="Y1" s="100" t="s">
        <v>3</v>
      </c>
      <c r="Z1" s="99" t="s">
        <v>5</v>
      </c>
      <c r="AA1" s="100" t="s">
        <v>3</v>
      </c>
      <c r="AB1" s="99" t="s">
        <v>6</v>
      </c>
      <c r="AC1" s="100" t="s">
        <v>3</v>
      </c>
      <c r="AD1" s="99" t="s">
        <v>7</v>
      </c>
      <c r="AE1" s="100" t="s">
        <v>3</v>
      </c>
      <c r="AF1" s="99" t="s">
        <v>8</v>
      </c>
      <c r="AG1" s="100" t="s">
        <v>3</v>
      </c>
      <c r="AH1" s="99" t="s">
        <v>9</v>
      </c>
      <c r="AI1" s="100" t="s">
        <v>3</v>
      </c>
    </row>
    <row r="2" spans="1:35" ht="18" x14ac:dyDescent="0.2">
      <c r="A2" s="104"/>
      <c r="B2" s="104"/>
      <c r="C2" s="101" t="s">
        <v>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U2" s="100"/>
      <c r="V2" s="99"/>
      <c r="W2" s="100"/>
      <c r="X2" s="99"/>
      <c r="Y2" s="100"/>
      <c r="Z2" s="99"/>
      <c r="AA2" s="100"/>
      <c r="AB2" s="99"/>
      <c r="AC2" s="100"/>
      <c r="AD2" s="99"/>
      <c r="AE2" s="100"/>
      <c r="AF2" s="99"/>
      <c r="AG2" s="100"/>
      <c r="AH2" s="99"/>
      <c r="AI2" s="100"/>
    </row>
    <row r="3" spans="1:35" ht="15" customHeight="1" x14ac:dyDescent="0.2">
      <c r="A3" s="104"/>
      <c r="B3" s="104"/>
      <c r="C3" s="105" t="s">
        <v>11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  <c r="U3" s="100"/>
      <c r="V3" s="99"/>
      <c r="W3" s="100"/>
      <c r="X3" s="99"/>
      <c r="Y3" s="100"/>
      <c r="Z3" s="99"/>
      <c r="AA3" s="100"/>
      <c r="AB3" s="99"/>
      <c r="AC3" s="100"/>
      <c r="AD3" s="99"/>
      <c r="AE3" s="100"/>
      <c r="AF3" s="99"/>
      <c r="AG3" s="100"/>
      <c r="AH3" s="99"/>
      <c r="AI3" s="100"/>
    </row>
    <row r="4" spans="1:35" ht="22.5" customHeight="1" x14ac:dyDescent="0.2">
      <c r="A4" s="104"/>
      <c r="B4" s="104"/>
      <c r="C4" s="105" t="s">
        <v>12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  <c r="U4" s="100"/>
      <c r="V4" s="99"/>
      <c r="W4" s="100"/>
      <c r="X4" s="99"/>
      <c r="Y4" s="100"/>
      <c r="Z4" s="99"/>
      <c r="AA4" s="100"/>
      <c r="AB4" s="99"/>
      <c r="AC4" s="100"/>
      <c r="AD4" s="99"/>
      <c r="AE4" s="100"/>
      <c r="AF4" s="99"/>
      <c r="AG4" s="100"/>
      <c r="AH4" s="99"/>
      <c r="AI4" s="100"/>
    </row>
    <row r="5" spans="1:35" ht="22.5" customHeight="1" x14ac:dyDescent="0.2">
      <c r="A5" s="104"/>
      <c r="B5" s="104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U5" s="100"/>
      <c r="V5" s="99"/>
      <c r="W5" s="100"/>
      <c r="X5" s="99"/>
      <c r="Y5" s="100"/>
      <c r="Z5" s="99"/>
      <c r="AA5" s="100"/>
      <c r="AB5" s="99"/>
      <c r="AC5" s="100"/>
      <c r="AD5" s="99"/>
      <c r="AE5" s="100"/>
      <c r="AF5" s="99"/>
      <c r="AG5" s="100"/>
      <c r="AH5" s="99"/>
      <c r="AI5" s="100"/>
    </row>
    <row r="6" spans="1:35" ht="22.5" customHeight="1" x14ac:dyDescent="0.2">
      <c r="A6" s="104"/>
      <c r="B6" s="104"/>
      <c r="C6" s="101" t="s">
        <v>330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  <c r="U6" s="3" t="s">
        <v>13</v>
      </c>
      <c r="V6" s="4">
        <f>COUNTIF('2023'!A:A, "Valle de Aburra")-COUNTIFS('2023'!A:A,"Valle de Aburra",'2023'!C:C,"")</f>
        <v>28</v>
      </c>
      <c r="W6" s="5">
        <f>(V6/$V$15)*100</f>
        <v>15.555555555555555</v>
      </c>
      <c r="X6" s="4">
        <f>COUNTIFS('2023'!A:A,"Valle de Aburra",'2023'!S:S,"Sin Riesgo")</f>
        <v>27</v>
      </c>
      <c r="Y6" s="5">
        <f>(X6/V6)*100</f>
        <v>96.428571428571431</v>
      </c>
      <c r="Z6" s="4">
        <f>COUNTIFS('2023'!A:A,"Valle de Aburra",'2023'!S:S,"Bajo")</f>
        <v>1</v>
      </c>
      <c r="AA6" s="5">
        <f>(Z6/V6)*100</f>
        <v>3.5714285714285712</v>
      </c>
      <c r="AB6" s="4">
        <f>COUNTIFS('2023'!A:A,"Valle de Aburra",'2023'!S:S,"Medio")</f>
        <v>0</v>
      </c>
      <c r="AC6" s="5">
        <f>(AB6/V6)*100</f>
        <v>0</v>
      </c>
      <c r="AD6" s="4">
        <f>COUNTIFS('2023'!A:A,"Valle de Aburra",'2023'!S:S,"Alto")</f>
        <v>0</v>
      </c>
      <c r="AE6" s="5">
        <f>(AD6/V6)*100</f>
        <v>0</v>
      </c>
      <c r="AF6" s="4">
        <f>COUNTIFS('2023'!A:A,"Valle de Aburra",'2023'!S:S,"Inviable Sanitariamente")</f>
        <v>0</v>
      </c>
      <c r="AG6" s="5">
        <f>(AF6/V6)*100</f>
        <v>0</v>
      </c>
      <c r="AH6" s="6">
        <f>V6-(X6+Z6+AB6+AD6+AF6)</f>
        <v>0</v>
      </c>
      <c r="AI6" s="5">
        <f>(AH6/V6)*100</f>
        <v>0</v>
      </c>
    </row>
    <row r="7" spans="1:35" ht="33" customHeight="1" x14ac:dyDescent="0.2">
      <c r="B7" s="7"/>
      <c r="C7" s="63" t="s">
        <v>14</v>
      </c>
      <c r="D7" s="76" t="s">
        <v>329</v>
      </c>
      <c r="E7" s="77"/>
      <c r="F7" s="78" t="s">
        <v>15</v>
      </c>
      <c r="G7" s="79"/>
      <c r="H7" s="80"/>
      <c r="I7" s="81" t="s">
        <v>16</v>
      </c>
      <c r="J7" s="82"/>
      <c r="K7" s="83"/>
      <c r="L7" s="84" t="s">
        <v>17</v>
      </c>
      <c r="M7" s="85"/>
      <c r="N7" s="86"/>
      <c r="O7" s="87" t="s">
        <v>18</v>
      </c>
      <c r="P7" s="88"/>
      <c r="Q7" s="89"/>
      <c r="R7" s="70" t="s">
        <v>19</v>
      </c>
      <c r="S7" s="71"/>
      <c r="U7" s="8" t="s">
        <v>20</v>
      </c>
      <c r="V7" s="4">
        <f>COUNTIF('2023'!A:A, "Uraba")-COUNTIFS('2023'!A:A,"Uraba",'2023'!C:C,"")</f>
        <v>10</v>
      </c>
      <c r="W7" s="5">
        <f t="shared" ref="W7:W14" si="0">(V7/$V$15)*100</f>
        <v>5.5555555555555554</v>
      </c>
      <c r="X7" s="4">
        <f>COUNTIFS('2023'!A:A,"Uraba",'2023'!S:S,"Sin Riesgo")</f>
        <v>7</v>
      </c>
      <c r="Y7" s="5">
        <f t="shared" ref="Y7:Y15" si="1">(X7/V7)*100</f>
        <v>70</v>
      </c>
      <c r="Z7" s="4">
        <f>COUNTIFS('2023'!A:A,"Uraba",'2023'!S:S,"Bajo")</f>
        <v>2</v>
      </c>
      <c r="AA7" s="5">
        <f t="shared" ref="AA7:AA15" si="2">(Z7/V7)*100</f>
        <v>20</v>
      </c>
      <c r="AB7" s="4">
        <f>COUNTIFS('2023'!A:A,"Uraba",'2023'!S:S,"Medio")</f>
        <v>1</v>
      </c>
      <c r="AC7" s="5">
        <f t="shared" ref="AC7:AC15" si="3">(AB7/V7)*100</f>
        <v>10</v>
      </c>
      <c r="AD7" s="4">
        <f>COUNTIFS('2023'!A:A,"Uraba",'2023'!S:S,"Alto")</f>
        <v>0</v>
      </c>
      <c r="AE7" s="5">
        <f t="shared" ref="AE7:AE15" si="4">(AD7/V7)*100</f>
        <v>0</v>
      </c>
      <c r="AF7" s="4">
        <f>COUNTIFS('2023'!A:A,"Uraba",'2023'!S:S,"Inviable Sanitariamente")</f>
        <v>0</v>
      </c>
      <c r="AG7" s="5">
        <f t="shared" ref="AG7:AG15" si="5">(AF7/V7)*100</f>
        <v>0</v>
      </c>
      <c r="AH7" s="6">
        <f t="shared" ref="AH7:AH15" si="6">V7-(X7+Z7+AB7+AD7+AF7)</f>
        <v>0</v>
      </c>
      <c r="AI7" s="5">
        <f t="shared" ref="AI7:AI15" si="7">(AH7/V7)*100</f>
        <v>0</v>
      </c>
    </row>
    <row r="8" spans="1:35" ht="24.95" customHeight="1" x14ac:dyDescent="0.2">
      <c r="A8" s="92" t="s">
        <v>21</v>
      </c>
      <c r="B8" s="93" t="s">
        <v>22</v>
      </c>
      <c r="C8" s="74" t="s">
        <v>23</v>
      </c>
      <c r="D8" s="94" t="s">
        <v>24</v>
      </c>
      <c r="E8" s="96">
        <v>2023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68" t="s">
        <v>341</v>
      </c>
      <c r="R8" s="72" t="s">
        <v>25</v>
      </c>
      <c r="S8" s="74" t="s">
        <v>26</v>
      </c>
      <c r="T8" s="9"/>
      <c r="U8" s="10" t="s">
        <v>27</v>
      </c>
      <c r="V8" s="4">
        <f>COUNTIF('2023'!A:A, "Norte")-COUNTIFS('2023'!A:A,"Norte",'2023'!C:C,"")</f>
        <v>19</v>
      </c>
      <c r="W8" s="5">
        <f t="shared" si="0"/>
        <v>10.555555555555555</v>
      </c>
      <c r="X8" s="4">
        <f>COUNTIFS('2023'!A:A,"Norte",'2023'!S:S,"Sin Riesgo")</f>
        <v>16</v>
      </c>
      <c r="Y8" s="5">
        <f t="shared" si="1"/>
        <v>84.210526315789465</v>
      </c>
      <c r="Z8" s="4">
        <f>COUNTIFS('2023'!A:A,"Norte",'2023'!S:S,"Bajo")</f>
        <v>2</v>
      </c>
      <c r="AA8" s="5">
        <f t="shared" si="2"/>
        <v>10.526315789473683</v>
      </c>
      <c r="AB8" s="4">
        <f>COUNTIFS('2023'!A:A,"Norte",'2023'!S:S,"Medio")</f>
        <v>0</v>
      </c>
      <c r="AC8" s="5">
        <f t="shared" si="3"/>
        <v>0</v>
      </c>
      <c r="AD8" s="4">
        <f>COUNTIFS('2023'!A:A,"Norte",'2023'!S:S,"Alto")</f>
        <v>1</v>
      </c>
      <c r="AE8" s="5">
        <f t="shared" si="4"/>
        <v>5.2631578947368416</v>
      </c>
      <c r="AF8" s="4">
        <f>COUNTIFS('2023'!A:A,"Norte",'2023'!S:S,"Inviable Sanitariamente")</f>
        <v>0</v>
      </c>
      <c r="AG8" s="5">
        <f t="shared" si="5"/>
        <v>0</v>
      </c>
      <c r="AH8" s="6">
        <f t="shared" si="6"/>
        <v>0</v>
      </c>
      <c r="AI8" s="5">
        <f t="shared" si="7"/>
        <v>0</v>
      </c>
    </row>
    <row r="9" spans="1:35" ht="24.75" customHeight="1" x14ac:dyDescent="0.2">
      <c r="A9" s="92"/>
      <c r="B9" s="92"/>
      <c r="C9" s="75"/>
      <c r="D9" s="95"/>
      <c r="E9" s="11" t="s">
        <v>28</v>
      </c>
      <c r="F9" s="11" t="s">
        <v>29</v>
      </c>
      <c r="G9" s="11" t="s">
        <v>30</v>
      </c>
      <c r="H9" s="11" t="s">
        <v>31</v>
      </c>
      <c r="I9" s="11" t="s">
        <v>32</v>
      </c>
      <c r="J9" s="11" t="s">
        <v>33</v>
      </c>
      <c r="K9" s="11" t="s">
        <v>34</v>
      </c>
      <c r="L9" s="11" t="s">
        <v>35</v>
      </c>
      <c r="M9" s="11" t="s">
        <v>36</v>
      </c>
      <c r="N9" s="11" t="s">
        <v>37</v>
      </c>
      <c r="O9" s="11" t="s">
        <v>38</v>
      </c>
      <c r="P9" s="11" t="s">
        <v>39</v>
      </c>
      <c r="Q9" s="69"/>
      <c r="R9" s="73"/>
      <c r="S9" s="75"/>
      <c r="T9" s="9"/>
      <c r="U9" s="10" t="s">
        <v>40</v>
      </c>
      <c r="V9" s="4">
        <f>COUNTIF('2023'!A:A, "Occidente")-COUNTIFS('2023'!A:A,"Occidente",'2023'!C:C,"")</f>
        <v>25</v>
      </c>
      <c r="W9" s="5">
        <f t="shared" si="0"/>
        <v>13.888888888888889</v>
      </c>
      <c r="X9" s="4">
        <f>COUNTIFS('2023'!A:A,"Occidente",'2023'!S:S,"Sin Riesgo")</f>
        <v>22</v>
      </c>
      <c r="Y9" s="5">
        <f t="shared" si="1"/>
        <v>88</v>
      </c>
      <c r="Z9" s="4">
        <f>COUNTIFS('2023'!A:A,"Occidente",'2023'!S:S,"Bajo")</f>
        <v>1</v>
      </c>
      <c r="AA9" s="5">
        <f t="shared" si="2"/>
        <v>4</v>
      </c>
      <c r="AB9" s="4">
        <f>COUNTIFS('2023'!A:A,"Occidente",'2023'!S:S,"Medio")</f>
        <v>0</v>
      </c>
      <c r="AC9" s="5">
        <f t="shared" si="3"/>
        <v>0</v>
      </c>
      <c r="AD9" s="4">
        <f>COUNTIFS('2023'!A:A,"Occidente",'2023'!S:S,"Alto")</f>
        <v>1</v>
      </c>
      <c r="AE9" s="5">
        <f t="shared" si="4"/>
        <v>4</v>
      </c>
      <c r="AF9" s="4">
        <f>COUNTIFS('2023'!A:A,"Occidente",'2023'!S:S,"Inviable Sanitariamente")</f>
        <v>1</v>
      </c>
      <c r="AG9" s="5">
        <f t="shared" si="5"/>
        <v>4</v>
      </c>
      <c r="AH9" s="6">
        <f t="shared" si="6"/>
        <v>0</v>
      </c>
      <c r="AI9" s="5">
        <f t="shared" si="7"/>
        <v>0</v>
      </c>
    </row>
    <row r="10" spans="1:35" ht="36" customHeight="1" x14ac:dyDescent="0.2">
      <c r="A10" s="12" t="s">
        <v>41</v>
      </c>
      <c r="B10" s="12" t="s">
        <v>42</v>
      </c>
      <c r="C10" s="10" t="s">
        <v>43</v>
      </c>
      <c r="D10" s="13">
        <v>3164</v>
      </c>
      <c r="E10" s="14">
        <v>0</v>
      </c>
      <c r="F10" s="14">
        <v>0</v>
      </c>
      <c r="G10" s="14">
        <v>0</v>
      </c>
      <c r="H10" s="14">
        <v>0</v>
      </c>
      <c r="I10" s="14">
        <v>0.88</v>
      </c>
      <c r="J10" s="14">
        <v>1.53</v>
      </c>
      <c r="K10" s="14">
        <v>0</v>
      </c>
      <c r="L10" s="14">
        <v>0</v>
      </c>
      <c r="M10" s="14">
        <v>0</v>
      </c>
      <c r="N10" s="14">
        <v>0.8</v>
      </c>
      <c r="O10" s="14">
        <v>0</v>
      </c>
      <c r="P10" s="14">
        <v>0</v>
      </c>
      <c r="Q10" s="15">
        <v>0.2</v>
      </c>
      <c r="R10" s="16" t="str">
        <f>IF(Q10&lt;=5,"SI","NO")</f>
        <v>SI</v>
      </c>
      <c r="S10" s="16" t="str">
        <f>IF(Q10&lt;=5,"Sin Riesgo",IF(Q10 &lt;=14,"Bajo",IF(Q10&lt;=35,"Medio",IF(Q10&lt;=80,"Alto","Inviable Sanitariamente"))))</f>
        <v>Sin Riesgo</v>
      </c>
      <c r="T10" s="17"/>
      <c r="U10" s="10" t="s">
        <v>44</v>
      </c>
      <c r="V10" s="4">
        <f>COUNTIF('2023'!A:A, "Suroeste")-COUNTIFS('2023'!A:A,"Suroeste",'2023'!C:C,"")</f>
        <v>29</v>
      </c>
      <c r="W10" s="5">
        <f t="shared" si="0"/>
        <v>16.111111111111111</v>
      </c>
      <c r="X10" s="4">
        <f>COUNTIFS('2023'!A:A,"Suroeste",'2023'!S:S,"Sin Riesgo")</f>
        <v>26</v>
      </c>
      <c r="Y10" s="5">
        <f t="shared" si="1"/>
        <v>89.65517241379311</v>
      </c>
      <c r="Z10" s="4">
        <f>COUNTIFS('2023'!A:A,"Suroeste",'2023'!S:S,"Bajo")</f>
        <v>2</v>
      </c>
      <c r="AA10" s="5">
        <f t="shared" si="2"/>
        <v>6.8965517241379306</v>
      </c>
      <c r="AB10" s="4">
        <f>COUNTIFS('2023'!A:A,"Suroeste",'2023'!S:S,"Medio")</f>
        <v>1</v>
      </c>
      <c r="AC10" s="5">
        <f t="shared" si="3"/>
        <v>3.4482758620689653</v>
      </c>
      <c r="AD10" s="4">
        <f>COUNTIFS('2023'!A:A,"Suroeste",'2023'!S:S,"Alto")</f>
        <v>0</v>
      </c>
      <c r="AE10" s="5">
        <f t="shared" si="4"/>
        <v>0</v>
      </c>
      <c r="AF10" s="4">
        <f>COUNTIFS('2023'!A:A,"Suroeste",'2023'!S:S,"Inviable Sanitariamente")</f>
        <v>0</v>
      </c>
      <c r="AG10" s="5">
        <f t="shared" si="5"/>
        <v>0</v>
      </c>
      <c r="AH10" s="6">
        <f t="shared" si="6"/>
        <v>0</v>
      </c>
      <c r="AI10" s="5">
        <f t="shared" si="7"/>
        <v>0</v>
      </c>
    </row>
    <row r="11" spans="1:35" ht="36" customHeight="1" x14ac:dyDescent="0.2">
      <c r="A11" s="12" t="s">
        <v>41</v>
      </c>
      <c r="B11" s="12" t="s">
        <v>42</v>
      </c>
      <c r="C11" s="10" t="s">
        <v>45</v>
      </c>
      <c r="D11" s="13">
        <v>66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8.85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0.74</v>
      </c>
      <c r="R11" s="16" t="str">
        <f t="shared" ref="R11:R75" si="8">IF(Q11&lt;=5,"SI","NO")</f>
        <v>SI</v>
      </c>
      <c r="S11" s="16" t="str">
        <f t="shared" ref="S11:S75" si="9">IF(Q11&lt;=5,"Sin Riesgo",IF(Q11 &lt;=14,"Bajo",IF(Q11&lt;=35,"Medio",IF(Q11&lt;=80,"Alto","Inviable Sanitariamente"))))</f>
        <v>Sin Riesgo</v>
      </c>
      <c r="T11" s="17"/>
      <c r="U11" s="10" t="s">
        <v>46</v>
      </c>
      <c r="V11" s="4">
        <f>COUNTIF('2023'!A:A, "Bajo Cauca")-COUNTIFS('2023'!A:A,"Bajo Cauca",'2023'!C:C,"")</f>
        <v>15</v>
      </c>
      <c r="W11" s="5">
        <f t="shared" si="0"/>
        <v>8.3333333333333321</v>
      </c>
      <c r="X11" s="4">
        <f>COUNTIFS('2023'!A:A,"Bajo Cauca",'2023'!S:S,"Sin Riesgo")</f>
        <v>10</v>
      </c>
      <c r="Y11" s="5">
        <f t="shared" si="1"/>
        <v>66.666666666666657</v>
      </c>
      <c r="Z11" s="4">
        <f>COUNTIFS('2023'!A:A,"Bajo Cauca",'2023'!S:S,"Bajo")</f>
        <v>0</v>
      </c>
      <c r="AA11" s="5">
        <f t="shared" si="2"/>
        <v>0</v>
      </c>
      <c r="AB11" s="4">
        <f>COUNTIFS('2023'!A:A,"Bajo Cauca",'2023'!S:S,"Medio")</f>
        <v>0</v>
      </c>
      <c r="AC11" s="5">
        <f t="shared" si="3"/>
        <v>0</v>
      </c>
      <c r="AD11" s="4">
        <f>COUNTIFS('2023'!A:A,"Bajo Cauca",'2023'!S:S,"Alto")</f>
        <v>1</v>
      </c>
      <c r="AE11" s="5">
        <f t="shared" si="4"/>
        <v>6.666666666666667</v>
      </c>
      <c r="AF11" s="4">
        <f>COUNTIFS('2023'!A:A,"Bajo Cauca",'2023'!S:S,"Inviable Sanitariamente")</f>
        <v>4</v>
      </c>
      <c r="AG11" s="5">
        <f t="shared" si="5"/>
        <v>26.666666666666668</v>
      </c>
      <c r="AH11" s="6">
        <f t="shared" si="6"/>
        <v>0</v>
      </c>
      <c r="AI11" s="5">
        <f t="shared" si="7"/>
        <v>0</v>
      </c>
    </row>
    <row r="12" spans="1:35" ht="36" customHeight="1" x14ac:dyDescent="0.2">
      <c r="A12" s="12" t="s">
        <v>40</v>
      </c>
      <c r="B12" s="12" t="s">
        <v>47</v>
      </c>
      <c r="C12" s="10" t="s">
        <v>48</v>
      </c>
      <c r="D12" s="13">
        <v>410</v>
      </c>
      <c r="E12" s="14">
        <v>0</v>
      </c>
      <c r="F12" s="14">
        <v>1.18</v>
      </c>
      <c r="G12" s="14">
        <v>0</v>
      </c>
      <c r="H12" s="14">
        <v>0</v>
      </c>
      <c r="I12" s="14">
        <v>38.9</v>
      </c>
      <c r="J12" s="14">
        <v>0</v>
      </c>
      <c r="K12" s="14">
        <v>38.9</v>
      </c>
      <c r="L12" s="14">
        <v>8.85</v>
      </c>
      <c r="M12" s="14">
        <v>17.2</v>
      </c>
      <c r="N12" s="14">
        <v>17.2</v>
      </c>
      <c r="O12" s="14">
        <v>0</v>
      </c>
      <c r="P12" s="14">
        <v>0</v>
      </c>
      <c r="Q12" s="15">
        <v>10.19</v>
      </c>
      <c r="R12" s="16" t="str">
        <f t="shared" si="8"/>
        <v>NO</v>
      </c>
      <c r="S12" s="16" t="str">
        <f t="shared" si="9"/>
        <v>Bajo</v>
      </c>
      <c r="T12" s="17"/>
      <c r="U12" s="10" t="s">
        <v>49</v>
      </c>
      <c r="V12" s="4">
        <f>COUNTIF('2023'!A:A, "Magdalena Medio")-COUNTIFS('2023'!A:A,"Magdalena Medio",'2023'!C:C,"")</f>
        <v>6</v>
      </c>
      <c r="W12" s="5">
        <f t="shared" si="0"/>
        <v>3.3333333333333335</v>
      </c>
      <c r="X12" s="4">
        <f>COUNTIFS('2023'!A:A,"Magdalena Medio",'2023'!S:S,"Sin Riesgo")</f>
        <v>6</v>
      </c>
      <c r="Y12" s="5">
        <f t="shared" si="1"/>
        <v>100</v>
      </c>
      <c r="Z12" s="4">
        <f>COUNTIFS('2023'!A:A,"Magdalena Medio",'2023'!S:S,"Bajo")</f>
        <v>0</v>
      </c>
      <c r="AA12" s="5">
        <f t="shared" si="2"/>
        <v>0</v>
      </c>
      <c r="AB12" s="4">
        <f>COUNTIFS('2023'!A:A,"Magdalena Medio",'2023'!S:S,"Medio")</f>
        <v>0</v>
      </c>
      <c r="AC12" s="5">
        <f t="shared" si="3"/>
        <v>0</v>
      </c>
      <c r="AD12" s="4">
        <f>COUNTIFS('2023'!A:A,"Magdalena Medio",'2023'!S:S,"Alto")</f>
        <v>0</v>
      </c>
      <c r="AE12" s="5">
        <f t="shared" si="4"/>
        <v>0</v>
      </c>
      <c r="AF12" s="4">
        <f>COUNTIFS('2023'!A:A,"Magdalena Medio",'2023'!S:S,"Inviable Sanitariamente")</f>
        <v>0</v>
      </c>
      <c r="AG12" s="5">
        <f t="shared" si="5"/>
        <v>0</v>
      </c>
      <c r="AH12" s="6">
        <f t="shared" si="6"/>
        <v>0</v>
      </c>
      <c r="AI12" s="5">
        <f t="shared" si="7"/>
        <v>0</v>
      </c>
    </row>
    <row r="13" spans="1:35" ht="36" customHeight="1" x14ac:dyDescent="0.2">
      <c r="A13" s="12" t="s">
        <v>41</v>
      </c>
      <c r="B13" s="12" t="s">
        <v>50</v>
      </c>
      <c r="C13" s="10" t="s">
        <v>51</v>
      </c>
      <c r="D13" s="13">
        <v>1241</v>
      </c>
      <c r="E13" s="14">
        <v>0</v>
      </c>
      <c r="F13" s="14">
        <v>0</v>
      </c>
      <c r="G13" s="14">
        <v>9.0299999999999994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5">
        <v>0.75</v>
      </c>
      <c r="R13" s="16" t="str">
        <f t="shared" si="8"/>
        <v>SI</v>
      </c>
      <c r="S13" s="16" t="str">
        <f t="shared" si="9"/>
        <v>Sin Riesgo</v>
      </c>
      <c r="T13" s="17"/>
      <c r="U13" s="10" t="s">
        <v>52</v>
      </c>
      <c r="V13" s="4">
        <f>COUNTIF('2023'!A:A, "Nordeste")-COUNTIFS('2023'!A:A,"Nordeste",'2023'!C:C,"")</f>
        <v>15</v>
      </c>
      <c r="W13" s="5">
        <f t="shared" si="0"/>
        <v>8.3333333333333321</v>
      </c>
      <c r="X13" s="4">
        <f>COUNTIFS('2023'!A:A,"Nordeste",'2023'!S:S,"Sin Riesgo")</f>
        <v>11</v>
      </c>
      <c r="Y13" s="5">
        <f t="shared" si="1"/>
        <v>73.333333333333329</v>
      </c>
      <c r="Z13" s="4">
        <f>COUNTIFS('2023'!A:A,"Nordeste",'2023'!S:S,"Bajo")</f>
        <v>0</v>
      </c>
      <c r="AA13" s="5">
        <f t="shared" si="2"/>
        <v>0</v>
      </c>
      <c r="AB13" s="4">
        <f>COUNTIFS('2023'!A:A,"Nordeste",'2023'!S:S,"Medio")</f>
        <v>0</v>
      </c>
      <c r="AC13" s="5">
        <f t="shared" si="3"/>
        <v>0</v>
      </c>
      <c r="AD13" s="4">
        <f>COUNTIFS('2023'!A:A,"Nordeste",'2023'!S:S,"Alto")</f>
        <v>3</v>
      </c>
      <c r="AE13" s="5">
        <f t="shared" si="4"/>
        <v>20</v>
      </c>
      <c r="AF13" s="4">
        <f>COUNTIFS('2023'!A:A,"Nordeste",'2023'!S:S,"Inviable Sanitariamente")</f>
        <v>1</v>
      </c>
      <c r="AG13" s="5">
        <f t="shared" si="5"/>
        <v>6.666666666666667</v>
      </c>
      <c r="AH13" s="6">
        <f t="shared" si="6"/>
        <v>0</v>
      </c>
      <c r="AI13" s="5">
        <f t="shared" si="7"/>
        <v>0</v>
      </c>
    </row>
    <row r="14" spans="1:35" ht="36" customHeight="1" x14ac:dyDescent="0.2">
      <c r="A14" s="12" t="s">
        <v>44</v>
      </c>
      <c r="B14" s="12" t="s">
        <v>53</v>
      </c>
      <c r="C14" s="10" t="s">
        <v>54</v>
      </c>
      <c r="D14" s="18">
        <v>5112</v>
      </c>
      <c r="E14" s="14">
        <v>1.18</v>
      </c>
      <c r="F14" s="14">
        <v>1.18</v>
      </c>
      <c r="G14" s="14">
        <v>1.18</v>
      </c>
      <c r="H14" s="14">
        <v>0</v>
      </c>
      <c r="I14" s="14">
        <v>0</v>
      </c>
      <c r="J14" s="14">
        <v>1.18</v>
      </c>
      <c r="K14" s="14">
        <v>0</v>
      </c>
      <c r="L14" s="14">
        <v>1.18</v>
      </c>
      <c r="M14" s="14">
        <v>1.18</v>
      </c>
      <c r="N14" s="14">
        <v>1.18</v>
      </c>
      <c r="O14" s="14">
        <v>0</v>
      </c>
      <c r="P14" s="14">
        <v>0</v>
      </c>
      <c r="Q14" s="15">
        <v>0.69</v>
      </c>
      <c r="R14" s="16" t="str">
        <f t="shared" si="8"/>
        <v>SI</v>
      </c>
      <c r="S14" s="16" t="str">
        <f t="shared" si="9"/>
        <v>Sin Riesgo</v>
      </c>
      <c r="T14" s="17"/>
      <c r="U14" s="10" t="s">
        <v>41</v>
      </c>
      <c r="V14" s="4">
        <f>COUNTIF('2023'!A:A, "Oriente")-COUNTIFS('2023'!A:A,"Oriente",'2023'!C:C,"")</f>
        <v>33</v>
      </c>
      <c r="W14" s="5">
        <f t="shared" si="0"/>
        <v>18.333333333333332</v>
      </c>
      <c r="X14" s="4">
        <f>COUNTIFS('2023'!A:A,"Oriente",'2023'!S:S,"Sin Riesgo")</f>
        <v>30</v>
      </c>
      <c r="Y14" s="5">
        <f t="shared" si="1"/>
        <v>90.909090909090907</v>
      </c>
      <c r="Z14" s="4">
        <f>COUNTIFS('2023'!A:A,"Oriente",'2023'!S:S,"Bajo")</f>
        <v>2</v>
      </c>
      <c r="AA14" s="5">
        <f t="shared" si="2"/>
        <v>6.0606060606060606</v>
      </c>
      <c r="AB14" s="4">
        <f>COUNTIFS('2023'!A:A,"Oriente",'2023'!S:S,"Medio")</f>
        <v>0</v>
      </c>
      <c r="AC14" s="5">
        <f t="shared" si="3"/>
        <v>0</v>
      </c>
      <c r="AD14" s="4">
        <f>COUNTIFS('2023'!A:A,"Oriente",'2023'!S:S,"Alto")</f>
        <v>1</v>
      </c>
      <c r="AE14" s="5">
        <f t="shared" si="4"/>
        <v>3.0303030303030303</v>
      </c>
      <c r="AF14" s="4">
        <f>COUNTIFS('2023'!A:A,"Oriente",'2023'!S:S,"Inviable Sanitariamente")</f>
        <v>0</v>
      </c>
      <c r="AG14" s="5">
        <f t="shared" si="5"/>
        <v>0</v>
      </c>
      <c r="AH14" s="6">
        <f t="shared" si="6"/>
        <v>0</v>
      </c>
      <c r="AI14" s="5">
        <f t="shared" si="7"/>
        <v>0</v>
      </c>
    </row>
    <row r="15" spans="1:35" ht="36" customHeight="1" x14ac:dyDescent="0.2">
      <c r="A15" s="12" t="s">
        <v>55</v>
      </c>
      <c r="B15" s="12" t="s">
        <v>56</v>
      </c>
      <c r="C15" s="10" t="s">
        <v>57</v>
      </c>
      <c r="D15" s="18">
        <v>1530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0</v>
      </c>
      <c r="R15" s="16" t="str">
        <f t="shared" si="8"/>
        <v>SI</v>
      </c>
      <c r="S15" s="16" t="str">
        <f t="shared" si="9"/>
        <v>Sin Riesgo</v>
      </c>
      <c r="T15" s="17"/>
      <c r="U15" s="19" t="s">
        <v>58</v>
      </c>
      <c r="V15" s="20">
        <f>SUM(V6:V14)</f>
        <v>180</v>
      </c>
      <c r="W15" s="21">
        <f>(V15/$V$15)*100</f>
        <v>100</v>
      </c>
      <c r="X15" s="20">
        <f>SUM(X6:X14)</f>
        <v>155</v>
      </c>
      <c r="Y15" s="21">
        <f t="shared" si="1"/>
        <v>86.111111111111114</v>
      </c>
      <c r="Z15" s="20">
        <f>SUM(Z6:Z14)</f>
        <v>10</v>
      </c>
      <c r="AA15" s="21">
        <f t="shared" si="2"/>
        <v>5.5555555555555554</v>
      </c>
      <c r="AB15" s="20">
        <f>SUM(AB6:AB14)</f>
        <v>2</v>
      </c>
      <c r="AC15" s="21">
        <f t="shared" si="3"/>
        <v>1.1111111111111112</v>
      </c>
      <c r="AD15" s="20">
        <f>SUM(AD6:AD14)</f>
        <v>7</v>
      </c>
      <c r="AE15" s="21">
        <f t="shared" si="4"/>
        <v>3.8888888888888888</v>
      </c>
      <c r="AF15" s="20">
        <f>SUM(AF6:AF14)</f>
        <v>6</v>
      </c>
      <c r="AG15" s="21">
        <f t="shared" si="5"/>
        <v>3.3333333333333335</v>
      </c>
      <c r="AH15" s="20">
        <f t="shared" si="6"/>
        <v>0</v>
      </c>
      <c r="AI15" s="21">
        <f t="shared" si="7"/>
        <v>0</v>
      </c>
    </row>
    <row r="16" spans="1:35" ht="36" customHeight="1" x14ac:dyDescent="0.2">
      <c r="A16" s="12" t="s">
        <v>55</v>
      </c>
      <c r="B16" s="12" t="s">
        <v>56</v>
      </c>
      <c r="C16" s="10" t="s">
        <v>59</v>
      </c>
      <c r="D16" s="18">
        <v>3520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5">
        <v>0</v>
      </c>
      <c r="R16" s="16" t="str">
        <f t="shared" si="8"/>
        <v>SI</v>
      </c>
      <c r="S16" s="16" t="str">
        <f t="shared" si="9"/>
        <v>Sin Riesgo</v>
      </c>
      <c r="T16" s="17"/>
      <c r="U16" s="64" t="s">
        <v>340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ht="36" customHeight="1" x14ac:dyDescent="0.2">
      <c r="A17" s="12" t="s">
        <v>44</v>
      </c>
      <c r="B17" s="12" t="s">
        <v>60</v>
      </c>
      <c r="C17" s="10" t="s">
        <v>61</v>
      </c>
      <c r="D17" s="18">
        <v>4920</v>
      </c>
      <c r="E17" s="14">
        <v>0.39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0.71</v>
      </c>
      <c r="M17" s="14">
        <v>0</v>
      </c>
      <c r="N17" s="14">
        <v>0</v>
      </c>
      <c r="O17" s="14">
        <v>0.39</v>
      </c>
      <c r="P17" s="14">
        <v>0</v>
      </c>
      <c r="Q17" s="15">
        <v>0.12</v>
      </c>
      <c r="R17" s="16" t="str">
        <f t="shared" si="8"/>
        <v>SI</v>
      </c>
      <c r="S17" s="16" t="str">
        <f t="shared" si="9"/>
        <v>Sin Riesgo</v>
      </c>
      <c r="T17" s="17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36" customHeight="1" x14ac:dyDescent="0.2">
      <c r="A18" s="12" t="s">
        <v>44</v>
      </c>
      <c r="B18" s="12" t="s">
        <v>60</v>
      </c>
      <c r="C18" s="10" t="s">
        <v>62</v>
      </c>
      <c r="D18" s="18">
        <v>3280</v>
      </c>
      <c r="E18" s="14">
        <v>0</v>
      </c>
      <c r="F18" s="14">
        <v>0</v>
      </c>
      <c r="G18" s="14">
        <v>0</v>
      </c>
      <c r="H18" s="14">
        <v>0</v>
      </c>
      <c r="I18" s="14">
        <v>9.0299999999999994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v>0.75</v>
      </c>
      <c r="R18" s="16" t="str">
        <f t="shared" si="8"/>
        <v>SI</v>
      </c>
      <c r="S18" s="16" t="str">
        <f t="shared" si="9"/>
        <v>Sin Riesgo</v>
      </c>
      <c r="T18" s="17"/>
      <c r="U18" s="17"/>
      <c r="V18" s="17"/>
      <c r="W18" s="17"/>
      <c r="X18" s="22"/>
      <c r="Y18" s="22"/>
      <c r="Z18" s="22"/>
    </row>
    <row r="19" spans="1:35" ht="36" customHeight="1" x14ac:dyDescent="0.2">
      <c r="A19" s="12" t="s">
        <v>44</v>
      </c>
      <c r="B19" s="12" t="s">
        <v>63</v>
      </c>
      <c r="C19" s="10" t="s">
        <v>64</v>
      </c>
      <c r="D19" s="18">
        <v>1062</v>
      </c>
      <c r="E19" s="14">
        <v>0</v>
      </c>
      <c r="F19" s="14">
        <v>0</v>
      </c>
      <c r="G19" s="14">
        <v>0</v>
      </c>
      <c r="H19" s="14">
        <v>0</v>
      </c>
      <c r="I19" s="14">
        <v>8.85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v>0.74</v>
      </c>
      <c r="R19" s="16" t="str">
        <f t="shared" si="8"/>
        <v>SI</v>
      </c>
      <c r="S19" s="16" t="str">
        <f t="shared" si="9"/>
        <v>Sin Riesgo</v>
      </c>
      <c r="T19" s="23"/>
      <c r="U19" s="23"/>
      <c r="V19" s="23"/>
      <c r="W19" s="23"/>
      <c r="X19" s="22"/>
      <c r="Y19" s="22"/>
      <c r="Z19" s="22"/>
    </row>
    <row r="20" spans="1:35" ht="36" customHeight="1" x14ac:dyDescent="0.2">
      <c r="A20" s="12" t="s">
        <v>27</v>
      </c>
      <c r="B20" s="12" t="s">
        <v>65</v>
      </c>
      <c r="C20" s="10" t="s">
        <v>66</v>
      </c>
      <c r="D20" s="18">
        <v>1037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v>0</v>
      </c>
      <c r="R20" s="16" t="str">
        <f t="shared" si="8"/>
        <v>SI</v>
      </c>
      <c r="S20" s="16" t="str">
        <f t="shared" si="9"/>
        <v>Sin Riesgo</v>
      </c>
      <c r="T20" s="23"/>
      <c r="U20" s="23"/>
      <c r="V20" s="23"/>
      <c r="W20" s="23"/>
      <c r="X20" s="22"/>
      <c r="Y20" s="22"/>
      <c r="Z20" s="22"/>
    </row>
    <row r="21" spans="1:35" ht="36" customHeight="1" x14ac:dyDescent="0.2">
      <c r="A21" s="12" t="s">
        <v>55</v>
      </c>
      <c r="B21" s="12" t="s">
        <v>67</v>
      </c>
      <c r="C21" s="10" t="s">
        <v>68</v>
      </c>
      <c r="D21" s="18">
        <v>3001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1.18</v>
      </c>
      <c r="M21" s="14">
        <v>0</v>
      </c>
      <c r="N21" s="14">
        <v>2.58</v>
      </c>
      <c r="O21" s="14">
        <v>0</v>
      </c>
      <c r="P21" s="14">
        <v>0</v>
      </c>
      <c r="Q21" s="15">
        <v>0.31</v>
      </c>
      <c r="R21" s="16" t="str">
        <f t="shared" si="8"/>
        <v>SI</v>
      </c>
      <c r="S21" s="16" t="str">
        <f t="shared" si="9"/>
        <v>Sin Riesgo</v>
      </c>
      <c r="T21" s="23"/>
      <c r="U21" s="23"/>
      <c r="V21" s="23"/>
      <c r="W21" s="23"/>
      <c r="X21" s="24"/>
      <c r="Y21" s="24"/>
      <c r="Z21" s="24"/>
    </row>
    <row r="22" spans="1:35" ht="36" customHeight="1" x14ac:dyDescent="0.2">
      <c r="A22" s="12" t="s">
        <v>40</v>
      </c>
      <c r="B22" s="12" t="s">
        <v>69</v>
      </c>
      <c r="C22" s="10" t="s">
        <v>70</v>
      </c>
      <c r="D22" s="18">
        <v>520</v>
      </c>
      <c r="E22" s="14">
        <v>0</v>
      </c>
      <c r="F22" s="14">
        <v>0</v>
      </c>
      <c r="G22" s="14">
        <v>8.85</v>
      </c>
      <c r="H22" s="14">
        <v>0</v>
      </c>
      <c r="I22" s="14">
        <v>0</v>
      </c>
      <c r="J22" s="14">
        <v>8.85</v>
      </c>
      <c r="K22" s="14">
        <v>1.18</v>
      </c>
      <c r="L22" s="14">
        <v>0</v>
      </c>
      <c r="M22" s="14">
        <v>0</v>
      </c>
      <c r="N22" s="14">
        <v>0</v>
      </c>
      <c r="O22" s="14">
        <v>0</v>
      </c>
      <c r="P22" s="14">
        <v>17.690000000000001</v>
      </c>
      <c r="Q22" s="15">
        <v>3.05</v>
      </c>
      <c r="R22" s="16" t="str">
        <f t="shared" si="8"/>
        <v>SI</v>
      </c>
      <c r="S22" s="16" t="str">
        <f t="shared" si="9"/>
        <v>Sin Riesgo</v>
      </c>
      <c r="T22" s="23"/>
      <c r="U22" s="23"/>
      <c r="V22" s="23"/>
      <c r="W22" s="23"/>
      <c r="X22" s="22"/>
      <c r="Y22" s="22"/>
      <c r="Z22" s="22"/>
    </row>
    <row r="23" spans="1:35" ht="36" customHeight="1" x14ac:dyDescent="0.2">
      <c r="A23" s="12" t="s">
        <v>71</v>
      </c>
      <c r="B23" s="12" t="s">
        <v>339</v>
      </c>
      <c r="C23" s="10" t="s">
        <v>72</v>
      </c>
      <c r="D23" s="18">
        <v>34557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v>0</v>
      </c>
      <c r="R23" s="16" t="str">
        <f t="shared" si="8"/>
        <v>SI</v>
      </c>
      <c r="S23" s="16" t="str">
        <f t="shared" si="9"/>
        <v>Sin Riesgo</v>
      </c>
      <c r="T23" s="23"/>
      <c r="U23" s="23"/>
      <c r="V23" s="23"/>
      <c r="W23" s="23"/>
      <c r="X23" s="22"/>
      <c r="Y23" s="22"/>
      <c r="Z23" s="22"/>
    </row>
    <row r="24" spans="1:35" ht="36" customHeight="1" x14ac:dyDescent="0.2">
      <c r="A24" s="12" t="s">
        <v>71</v>
      </c>
      <c r="B24" s="12" t="s">
        <v>73</v>
      </c>
      <c r="C24" s="10" t="s">
        <v>74</v>
      </c>
      <c r="D24" s="18">
        <v>3963</v>
      </c>
      <c r="E24" s="29">
        <v>0</v>
      </c>
      <c r="F24" s="29">
        <v>4.28</v>
      </c>
      <c r="G24" s="14">
        <v>0</v>
      </c>
      <c r="H24" s="29">
        <v>0</v>
      </c>
      <c r="I24" s="34">
        <v>0</v>
      </c>
      <c r="J24" s="14">
        <v>7.06</v>
      </c>
      <c r="K24" s="14">
        <v>0</v>
      </c>
      <c r="L24" s="14">
        <v>0</v>
      </c>
      <c r="M24" s="34">
        <v>0</v>
      </c>
      <c r="N24" s="34">
        <v>0</v>
      </c>
      <c r="O24" s="14">
        <v>0</v>
      </c>
      <c r="P24" s="34">
        <v>0</v>
      </c>
      <c r="Q24" s="27">
        <v>0.94</v>
      </c>
      <c r="R24" s="16" t="str">
        <f t="shared" si="8"/>
        <v>SI</v>
      </c>
      <c r="S24" s="16" t="str">
        <f t="shared" si="9"/>
        <v>Sin Riesgo</v>
      </c>
      <c r="T24" s="23"/>
      <c r="U24" s="23"/>
      <c r="V24" s="23"/>
      <c r="W24" s="23"/>
    </row>
    <row r="25" spans="1:35" ht="36" customHeight="1" x14ac:dyDescent="0.2">
      <c r="A25" s="12" t="s">
        <v>41</v>
      </c>
      <c r="B25" s="28" t="s">
        <v>331</v>
      </c>
      <c r="C25" s="10" t="s">
        <v>75</v>
      </c>
      <c r="D25" s="18">
        <v>1616</v>
      </c>
      <c r="E25" s="14">
        <v>0</v>
      </c>
      <c r="F25" s="14">
        <v>0</v>
      </c>
      <c r="G25" s="14">
        <v>0</v>
      </c>
      <c r="H25" s="14">
        <v>0</v>
      </c>
      <c r="I25" s="14">
        <v>8.85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v>0.74</v>
      </c>
      <c r="R25" s="16" t="str">
        <f t="shared" si="8"/>
        <v>SI</v>
      </c>
      <c r="S25" s="16" t="str">
        <f t="shared" si="9"/>
        <v>Sin Riesgo</v>
      </c>
      <c r="T25" s="23"/>
      <c r="U25" s="23"/>
      <c r="V25" s="23"/>
      <c r="W25" s="23"/>
    </row>
    <row r="26" spans="1:35" ht="36" customHeight="1" x14ac:dyDescent="0.2">
      <c r="A26" s="12" t="s">
        <v>40</v>
      </c>
      <c r="B26" s="12" t="s">
        <v>76</v>
      </c>
      <c r="C26" s="10" t="s">
        <v>77</v>
      </c>
      <c r="D26" s="18">
        <v>1330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v>0</v>
      </c>
      <c r="R26" s="16" t="str">
        <f t="shared" si="8"/>
        <v>SI</v>
      </c>
      <c r="S26" s="16" t="str">
        <f t="shared" si="9"/>
        <v>Sin Riesgo</v>
      </c>
      <c r="T26" s="23"/>
      <c r="U26" s="23"/>
      <c r="V26" s="23"/>
      <c r="W26" s="23"/>
    </row>
    <row r="27" spans="1:35" ht="36" customHeight="1" x14ac:dyDescent="0.2">
      <c r="A27" s="12" t="s">
        <v>13</v>
      </c>
      <c r="B27" s="12" t="s">
        <v>78</v>
      </c>
      <c r="C27" s="10" t="s">
        <v>79</v>
      </c>
      <c r="D27" s="18">
        <v>7129</v>
      </c>
      <c r="E27" s="29">
        <v>0.71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0.88</v>
      </c>
      <c r="Q27" s="30">
        <v>0.13</v>
      </c>
      <c r="R27" s="16" t="str">
        <f t="shared" si="8"/>
        <v>SI</v>
      </c>
      <c r="S27" s="16" t="str">
        <f t="shared" si="9"/>
        <v>Sin Riesgo</v>
      </c>
      <c r="T27" s="23"/>
      <c r="U27" s="23"/>
      <c r="V27" s="23"/>
      <c r="W27" s="23"/>
    </row>
    <row r="28" spans="1:35" ht="36" customHeight="1" x14ac:dyDescent="0.2">
      <c r="A28" s="12" t="s">
        <v>13</v>
      </c>
      <c r="B28" s="12" t="s">
        <v>80</v>
      </c>
      <c r="C28" s="10" t="s">
        <v>79</v>
      </c>
      <c r="D28" s="18">
        <v>154406</v>
      </c>
      <c r="E28" s="14"/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/>
      <c r="O28" s="14"/>
      <c r="P28" s="14">
        <v>0.03</v>
      </c>
      <c r="Q28" s="15">
        <v>0</v>
      </c>
      <c r="R28" s="16" t="str">
        <f t="shared" si="8"/>
        <v>SI</v>
      </c>
      <c r="S28" s="16" t="str">
        <f t="shared" si="9"/>
        <v>Sin Riesgo</v>
      </c>
      <c r="T28" s="23"/>
      <c r="U28" s="23"/>
      <c r="V28" s="23"/>
      <c r="W28" s="23"/>
    </row>
    <row r="29" spans="1:35" ht="36" customHeight="1" x14ac:dyDescent="0.2">
      <c r="A29" s="12" t="s">
        <v>27</v>
      </c>
      <c r="B29" s="12" t="s">
        <v>81</v>
      </c>
      <c r="C29" s="10" t="s">
        <v>82</v>
      </c>
      <c r="D29" s="18">
        <v>603</v>
      </c>
      <c r="E29" s="14">
        <v>0</v>
      </c>
      <c r="F29" s="14">
        <v>0</v>
      </c>
      <c r="G29" s="14">
        <v>0</v>
      </c>
      <c r="H29" s="14">
        <v>0</v>
      </c>
      <c r="I29" s="14">
        <v>3.55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5">
        <v>0.3</v>
      </c>
      <c r="R29" s="16" t="str">
        <f t="shared" si="8"/>
        <v>SI</v>
      </c>
      <c r="S29" s="16" t="str">
        <f t="shared" si="9"/>
        <v>Sin Riesgo</v>
      </c>
      <c r="T29" s="23"/>
      <c r="U29" s="23"/>
      <c r="V29" s="23"/>
      <c r="W29" s="23"/>
    </row>
    <row r="30" spans="1:35" ht="36" customHeight="1" x14ac:dyDescent="0.2">
      <c r="A30" s="12" t="s">
        <v>44</v>
      </c>
      <c r="B30" s="12" t="s">
        <v>83</v>
      </c>
      <c r="C30" s="10" t="s">
        <v>84</v>
      </c>
      <c r="D30" s="18">
        <v>1563</v>
      </c>
      <c r="E30" s="14">
        <v>0</v>
      </c>
      <c r="F30" s="14">
        <v>0</v>
      </c>
      <c r="G30" s="14">
        <v>0</v>
      </c>
      <c r="H30" s="14">
        <v>0</v>
      </c>
      <c r="I30" s="14">
        <v>2.58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5">
        <v>0.22</v>
      </c>
      <c r="R30" s="16" t="str">
        <f t="shared" si="8"/>
        <v>SI</v>
      </c>
      <c r="S30" s="16" t="str">
        <f t="shared" si="9"/>
        <v>Sin Riesgo</v>
      </c>
      <c r="T30" s="23"/>
      <c r="U30" s="23"/>
      <c r="V30" s="23"/>
      <c r="W30" s="23"/>
    </row>
    <row r="31" spans="1:35" ht="36" customHeight="1" x14ac:dyDescent="0.2">
      <c r="A31" s="12" t="s">
        <v>44</v>
      </c>
      <c r="B31" s="12" t="s">
        <v>85</v>
      </c>
      <c r="C31" s="10" t="s">
        <v>86</v>
      </c>
      <c r="D31" s="18">
        <v>1860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v>0</v>
      </c>
      <c r="R31" s="16" t="str">
        <f t="shared" si="8"/>
        <v>SI</v>
      </c>
      <c r="S31" s="16" t="str">
        <f t="shared" si="9"/>
        <v>Sin Riesgo</v>
      </c>
      <c r="T31" s="23"/>
      <c r="U31" s="23"/>
      <c r="V31" s="23"/>
      <c r="W31" s="23"/>
    </row>
    <row r="32" spans="1:35" ht="36" customHeight="1" x14ac:dyDescent="0.2">
      <c r="A32" s="12" t="s">
        <v>27</v>
      </c>
      <c r="B32" s="12" t="s">
        <v>87</v>
      </c>
      <c r="C32" s="10" t="s">
        <v>88</v>
      </c>
      <c r="D32" s="18">
        <v>1276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6.45</v>
      </c>
      <c r="K32" s="14">
        <v>13.27</v>
      </c>
      <c r="L32" s="14">
        <v>5.92</v>
      </c>
      <c r="M32" s="14">
        <v>0</v>
      </c>
      <c r="N32" s="14">
        <v>8.85</v>
      </c>
      <c r="O32" s="14">
        <v>0</v>
      </c>
      <c r="P32" s="14">
        <v>8.85</v>
      </c>
      <c r="Q32" s="15">
        <v>3.61</v>
      </c>
      <c r="R32" s="16" t="str">
        <f t="shared" si="8"/>
        <v>SI</v>
      </c>
      <c r="S32" s="16" t="str">
        <f t="shared" si="9"/>
        <v>Sin Riesgo</v>
      </c>
      <c r="T32" s="23"/>
      <c r="U32" s="23"/>
      <c r="V32" s="23"/>
      <c r="W32" s="23"/>
    </row>
    <row r="33" spans="1:23" ht="36" customHeight="1" x14ac:dyDescent="0.2">
      <c r="A33" s="12" t="s">
        <v>40</v>
      </c>
      <c r="B33" s="12" t="s">
        <v>89</v>
      </c>
      <c r="C33" s="10" t="s">
        <v>90</v>
      </c>
      <c r="D33" s="18">
        <v>1086</v>
      </c>
      <c r="E33" s="14">
        <v>0</v>
      </c>
      <c r="F33" s="14">
        <v>0</v>
      </c>
      <c r="G33" s="14">
        <v>0</v>
      </c>
      <c r="H33" s="14">
        <v>0</v>
      </c>
      <c r="I33" s="14">
        <v>17.7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v>1.61</v>
      </c>
      <c r="R33" s="16" t="str">
        <f t="shared" si="8"/>
        <v>SI</v>
      </c>
      <c r="S33" s="16" t="str">
        <f t="shared" si="9"/>
        <v>Sin Riesgo</v>
      </c>
      <c r="T33" s="23"/>
      <c r="U33" s="23"/>
      <c r="V33" s="23"/>
      <c r="W33" s="23"/>
    </row>
    <row r="34" spans="1:23" ht="36" customHeight="1" x14ac:dyDescent="0.2">
      <c r="A34" s="12" t="s">
        <v>46</v>
      </c>
      <c r="B34" s="12" t="s">
        <v>335</v>
      </c>
      <c r="C34" s="10" t="s">
        <v>91</v>
      </c>
      <c r="D34" s="18">
        <v>1819</v>
      </c>
      <c r="E34" s="31">
        <v>0</v>
      </c>
      <c r="F34" s="31">
        <v>0</v>
      </c>
      <c r="G34" s="31"/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8.84</v>
      </c>
      <c r="Q34" s="32">
        <v>0.8</v>
      </c>
      <c r="R34" s="16" t="str">
        <f t="shared" si="8"/>
        <v>SI</v>
      </c>
      <c r="S34" s="16" t="str">
        <f t="shared" si="9"/>
        <v>Sin Riesgo</v>
      </c>
      <c r="T34" s="23"/>
      <c r="U34" s="23"/>
      <c r="V34" s="23"/>
      <c r="W34" s="23"/>
    </row>
    <row r="35" spans="1:23" ht="36" customHeight="1" x14ac:dyDescent="0.2">
      <c r="A35" s="12" t="s">
        <v>40</v>
      </c>
      <c r="B35" s="12" t="s">
        <v>92</v>
      </c>
      <c r="C35" s="10" t="s">
        <v>93</v>
      </c>
      <c r="D35" s="33">
        <v>860</v>
      </c>
      <c r="E35" s="34">
        <v>8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27">
        <v>0.67</v>
      </c>
      <c r="R35" s="16" t="str">
        <f t="shared" si="8"/>
        <v>SI</v>
      </c>
      <c r="S35" s="16" t="str">
        <f t="shared" si="9"/>
        <v>Sin Riesgo</v>
      </c>
      <c r="T35" s="23"/>
      <c r="U35" s="23"/>
      <c r="V35" s="23"/>
      <c r="W35" s="23"/>
    </row>
    <row r="36" spans="1:23" ht="36" customHeight="1" x14ac:dyDescent="0.2">
      <c r="A36" s="12" t="s">
        <v>13</v>
      </c>
      <c r="B36" s="42" t="s">
        <v>94</v>
      </c>
      <c r="C36" s="10" t="s">
        <v>79</v>
      </c>
      <c r="D36" s="33">
        <v>20486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/>
      <c r="K36" s="35"/>
      <c r="L36" s="35"/>
      <c r="M36" s="35"/>
      <c r="N36" s="35"/>
      <c r="O36" s="35"/>
      <c r="P36" s="35"/>
      <c r="Q36" s="36">
        <v>0</v>
      </c>
      <c r="R36" s="16" t="str">
        <f t="shared" si="8"/>
        <v>SI</v>
      </c>
      <c r="S36" s="16" t="str">
        <f t="shared" si="9"/>
        <v>Sin Riesgo</v>
      </c>
      <c r="T36" s="23"/>
      <c r="U36" s="23"/>
      <c r="V36" s="23"/>
      <c r="W36" s="23"/>
    </row>
    <row r="37" spans="1:23" ht="36" customHeight="1" x14ac:dyDescent="0.2">
      <c r="A37" s="12" t="s">
        <v>13</v>
      </c>
      <c r="B37" s="42" t="s">
        <v>94</v>
      </c>
      <c r="C37" s="10" t="s">
        <v>95</v>
      </c>
      <c r="D37" s="33">
        <v>255</v>
      </c>
      <c r="E37" s="25"/>
      <c r="F37" s="14"/>
      <c r="G37" s="14"/>
      <c r="H37" s="14">
        <v>0</v>
      </c>
      <c r="I37" s="14"/>
      <c r="J37" s="26"/>
      <c r="K37" s="14"/>
      <c r="L37" s="25"/>
      <c r="M37" s="25"/>
      <c r="N37" s="26"/>
      <c r="O37" s="26"/>
      <c r="P37" s="14"/>
      <c r="Q37" s="27">
        <v>0</v>
      </c>
      <c r="R37" s="37" t="str">
        <f t="shared" si="8"/>
        <v>SI</v>
      </c>
      <c r="S37" s="16" t="str">
        <f t="shared" si="9"/>
        <v>Sin Riesgo</v>
      </c>
      <c r="T37" s="23"/>
      <c r="U37" s="23"/>
      <c r="V37" s="23"/>
      <c r="W37" s="23"/>
    </row>
    <row r="38" spans="1:23" ht="36" customHeight="1" x14ac:dyDescent="0.2">
      <c r="A38" s="12" t="s">
        <v>13</v>
      </c>
      <c r="B38" s="42" t="s">
        <v>94</v>
      </c>
      <c r="C38" s="10" t="s">
        <v>96</v>
      </c>
      <c r="D38" s="18">
        <v>1200</v>
      </c>
      <c r="E38" s="25"/>
      <c r="F38" s="58"/>
      <c r="G38" s="39"/>
      <c r="H38" s="39">
        <v>8.7200000000000006</v>
      </c>
      <c r="I38" s="38">
        <v>0</v>
      </c>
      <c r="J38" s="39"/>
      <c r="K38" s="58"/>
      <c r="L38" s="38"/>
      <c r="M38" s="38"/>
      <c r="N38" s="39"/>
      <c r="O38" s="38"/>
      <c r="P38" s="58"/>
      <c r="Q38" s="40">
        <v>4.3600000000000003</v>
      </c>
      <c r="R38" s="16" t="str">
        <f t="shared" si="8"/>
        <v>SI</v>
      </c>
      <c r="S38" s="16" t="str">
        <f t="shared" si="9"/>
        <v>Sin Riesgo</v>
      </c>
      <c r="T38" s="23"/>
      <c r="U38" s="23"/>
      <c r="V38" s="23"/>
      <c r="W38" s="23"/>
    </row>
    <row r="39" spans="1:23" ht="36" customHeight="1" x14ac:dyDescent="0.2">
      <c r="A39" s="12" t="s">
        <v>27</v>
      </c>
      <c r="B39" s="12" t="s">
        <v>97</v>
      </c>
      <c r="C39" s="59" t="s">
        <v>98</v>
      </c>
      <c r="D39" s="41">
        <v>1180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1.18</v>
      </c>
      <c r="M39" s="14">
        <v>0</v>
      </c>
      <c r="N39" s="14">
        <v>0</v>
      </c>
      <c r="O39" s="14">
        <v>0</v>
      </c>
      <c r="P39" s="14">
        <v>0</v>
      </c>
      <c r="Q39" s="15">
        <v>0.1</v>
      </c>
      <c r="R39" s="16" t="str">
        <f t="shared" si="8"/>
        <v>SI</v>
      </c>
      <c r="S39" s="16" t="str">
        <f t="shared" si="9"/>
        <v>Sin Riesgo</v>
      </c>
      <c r="T39" s="23"/>
      <c r="U39" s="23"/>
      <c r="V39" s="23"/>
      <c r="W39" s="23"/>
    </row>
    <row r="40" spans="1:23" ht="36" customHeight="1" x14ac:dyDescent="0.2">
      <c r="A40" s="12" t="s">
        <v>40</v>
      </c>
      <c r="B40" s="12" t="s">
        <v>99</v>
      </c>
      <c r="C40" s="10" t="s">
        <v>100</v>
      </c>
      <c r="D40" s="18">
        <v>1893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v>0</v>
      </c>
      <c r="R40" s="16" t="str">
        <f t="shared" si="8"/>
        <v>SI</v>
      </c>
      <c r="S40" s="16" t="str">
        <f t="shared" si="9"/>
        <v>Sin Riesgo</v>
      </c>
      <c r="T40" s="23"/>
      <c r="U40" s="23"/>
      <c r="V40" s="23"/>
      <c r="W40" s="23"/>
    </row>
    <row r="41" spans="1:23" ht="36" customHeight="1" x14ac:dyDescent="0.2">
      <c r="A41" s="42" t="s">
        <v>49</v>
      </c>
      <c r="B41" s="12" t="s">
        <v>101</v>
      </c>
      <c r="C41" s="10" t="s">
        <v>102</v>
      </c>
      <c r="D41" s="18">
        <v>1308</v>
      </c>
      <c r="E41" s="34">
        <v>0</v>
      </c>
      <c r="F41" s="34">
        <v>0</v>
      </c>
      <c r="G41" s="34">
        <v>0</v>
      </c>
      <c r="H41" s="34">
        <v>0.65</v>
      </c>
      <c r="I41" s="34">
        <v>0.88</v>
      </c>
      <c r="J41" s="34">
        <v>0</v>
      </c>
      <c r="K41" s="34">
        <v>0.65</v>
      </c>
      <c r="L41" s="34">
        <v>0</v>
      </c>
      <c r="M41" s="34">
        <v>0</v>
      </c>
      <c r="N41" s="34">
        <v>0.65</v>
      </c>
      <c r="O41" s="34">
        <v>0</v>
      </c>
      <c r="P41" s="34">
        <v>0.88</v>
      </c>
      <c r="Q41" s="44">
        <v>0.31</v>
      </c>
      <c r="R41" s="16" t="str">
        <f t="shared" si="8"/>
        <v>SI</v>
      </c>
      <c r="S41" s="16" t="str">
        <f t="shared" si="9"/>
        <v>Sin Riesgo</v>
      </c>
      <c r="T41" s="23"/>
      <c r="U41" s="23"/>
      <c r="V41" s="23"/>
      <c r="W41" s="23"/>
    </row>
    <row r="42" spans="1:23" ht="36" customHeight="1" x14ac:dyDescent="0.2">
      <c r="A42" s="12" t="s">
        <v>44</v>
      </c>
      <c r="B42" s="12" t="s">
        <v>103</v>
      </c>
      <c r="C42" s="10" t="s">
        <v>104</v>
      </c>
      <c r="D42" s="18">
        <v>1067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8.85</v>
      </c>
      <c r="Q42" s="15">
        <v>0.74</v>
      </c>
      <c r="R42" s="16" t="str">
        <f t="shared" si="8"/>
        <v>SI</v>
      </c>
      <c r="S42" s="16" t="str">
        <f t="shared" si="9"/>
        <v>Sin Riesgo</v>
      </c>
      <c r="T42" s="23"/>
      <c r="U42" s="23"/>
      <c r="V42" s="23"/>
      <c r="W42" s="23"/>
    </row>
    <row r="43" spans="1:23" ht="36" customHeight="1" x14ac:dyDescent="0.2">
      <c r="A43" s="12" t="s">
        <v>71</v>
      </c>
      <c r="B43" s="12" t="s">
        <v>105</v>
      </c>
      <c r="C43" s="10" t="s">
        <v>72</v>
      </c>
      <c r="D43" s="18">
        <v>11731</v>
      </c>
      <c r="E43" s="34">
        <v>0.7</v>
      </c>
      <c r="F43" s="34">
        <v>0</v>
      </c>
      <c r="G43" s="34">
        <v>0.71</v>
      </c>
      <c r="H43" s="34">
        <v>0</v>
      </c>
      <c r="I43" s="34">
        <v>5.3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27">
        <v>0.56000000000000005</v>
      </c>
      <c r="R43" s="16" t="str">
        <f t="shared" si="8"/>
        <v>SI</v>
      </c>
      <c r="S43" s="16" t="str">
        <f t="shared" si="9"/>
        <v>Sin Riesgo</v>
      </c>
      <c r="T43" s="23"/>
      <c r="U43" s="23"/>
      <c r="V43" s="23"/>
      <c r="W43" s="23"/>
    </row>
    <row r="44" spans="1:23" ht="36" customHeight="1" x14ac:dyDescent="0.2">
      <c r="A44" s="12" t="s">
        <v>27</v>
      </c>
      <c r="B44" s="12" t="s">
        <v>106</v>
      </c>
      <c r="C44" s="10" t="s">
        <v>107</v>
      </c>
      <c r="D44" s="18">
        <v>1534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0">
        <v>0</v>
      </c>
      <c r="R44" s="16" t="str">
        <f t="shared" si="8"/>
        <v>SI</v>
      </c>
      <c r="S44" s="16" t="str">
        <f t="shared" si="9"/>
        <v>Sin Riesgo</v>
      </c>
      <c r="T44" s="23"/>
      <c r="U44" s="23"/>
      <c r="V44" s="23"/>
      <c r="W44" s="23"/>
    </row>
    <row r="45" spans="1:23" ht="36" customHeight="1" x14ac:dyDescent="0.2">
      <c r="A45" s="12" t="s">
        <v>46</v>
      </c>
      <c r="B45" s="12" t="s">
        <v>108</v>
      </c>
      <c r="C45" s="10" t="s">
        <v>109</v>
      </c>
      <c r="D45" s="18">
        <v>15785</v>
      </c>
      <c r="E45" s="14">
        <v>0.71</v>
      </c>
      <c r="F45" s="14">
        <v>0.88</v>
      </c>
      <c r="G45" s="14"/>
      <c r="H45" s="14">
        <v>0</v>
      </c>
      <c r="I45" s="14">
        <v>1.06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0.24</v>
      </c>
      <c r="R45" s="16" t="str">
        <f t="shared" si="8"/>
        <v>SI</v>
      </c>
      <c r="S45" s="16" t="str">
        <f t="shared" si="9"/>
        <v>Sin Riesgo</v>
      </c>
      <c r="T45" s="23"/>
      <c r="U45" s="23"/>
      <c r="V45" s="23"/>
      <c r="W45" s="23"/>
    </row>
    <row r="46" spans="1:23" ht="36" customHeight="1" x14ac:dyDescent="0.2">
      <c r="A46" s="12" t="s">
        <v>46</v>
      </c>
      <c r="B46" s="12" t="s">
        <v>108</v>
      </c>
      <c r="C46" s="10" t="s">
        <v>110</v>
      </c>
      <c r="D46" s="18">
        <v>1576</v>
      </c>
      <c r="E46" s="14">
        <v>0</v>
      </c>
      <c r="F46" s="14">
        <v>0</v>
      </c>
      <c r="G46" s="14"/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v>0</v>
      </c>
      <c r="R46" s="16" t="str">
        <f t="shared" si="8"/>
        <v>SI</v>
      </c>
      <c r="S46" s="16" t="str">
        <f t="shared" si="9"/>
        <v>Sin Riesgo</v>
      </c>
      <c r="T46" s="23"/>
      <c r="U46" s="23"/>
      <c r="V46" s="23"/>
      <c r="W46" s="23"/>
    </row>
    <row r="47" spans="1:23" ht="36" customHeight="1" x14ac:dyDescent="0.2">
      <c r="A47" s="12" t="s">
        <v>46</v>
      </c>
      <c r="B47" s="12" t="s">
        <v>108</v>
      </c>
      <c r="C47" s="10" t="s">
        <v>111</v>
      </c>
      <c r="D47" s="18">
        <v>1157</v>
      </c>
      <c r="E47" s="14">
        <v>0</v>
      </c>
      <c r="F47" s="14">
        <v>0</v>
      </c>
      <c r="G47" s="14"/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v>0</v>
      </c>
      <c r="R47" s="16" t="str">
        <f t="shared" si="8"/>
        <v>SI</v>
      </c>
      <c r="S47" s="16" t="str">
        <f t="shared" si="9"/>
        <v>Sin Riesgo</v>
      </c>
      <c r="T47" s="23"/>
      <c r="U47" s="23"/>
      <c r="V47" s="23"/>
      <c r="W47" s="23"/>
    </row>
    <row r="48" spans="1:23" ht="36" customHeight="1" x14ac:dyDescent="0.2">
      <c r="A48" s="12" t="s">
        <v>46</v>
      </c>
      <c r="B48" s="12" t="s">
        <v>108</v>
      </c>
      <c r="C48" s="10" t="s">
        <v>112</v>
      </c>
      <c r="D48" s="18">
        <v>1500</v>
      </c>
      <c r="E48" s="14">
        <v>0</v>
      </c>
      <c r="F48" s="14">
        <v>0</v>
      </c>
      <c r="G48" s="14"/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8.85</v>
      </c>
      <c r="O48" s="14">
        <v>0</v>
      </c>
      <c r="P48" s="14">
        <v>0</v>
      </c>
      <c r="Q48" s="15">
        <v>0.8</v>
      </c>
      <c r="R48" s="16" t="str">
        <f t="shared" si="8"/>
        <v>SI</v>
      </c>
      <c r="S48" s="16" t="str">
        <f t="shared" si="9"/>
        <v>Sin Riesgo</v>
      </c>
      <c r="T48" s="23"/>
      <c r="U48" s="23"/>
      <c r="V48" s="23"/>
      <c r="W48" s="23"/>
    </row>
    <row r="49" spans="1:23" ht="36" customHeight="1" x14ac:dyDescent="0.2">
      <c r="A49" s="12" t="s">
        <v>46</v>
      </c>
      <c r="B49" s="12" t="s">
        <v>108</v>
      </c>
      <c r="C49" s="10" t="s">
        <v>113</v>
      </c>
      <c r="D49" s="18">
        <v>1838</v>
      </c>
      <c r="E49" s="14">
        <v>0</v>
      </c>
      <c r="F49" s="14">
        <v>0</v>
      </c>
      <c r="G49" s="14"/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5">
        <v>0</v>
      </c>
      <c r="R49" s="16" t="str">
        <f t="shared" si="8"/>
        <v>SI</v>
      </c>
      <c r="S49" s="16" t="str">
        <f t="shared" si="9"/>
        <v>Sin Riesgo</v>
      </c>
      <c r="T49" s="23"/>
      <c r="U49" s="23"/>
      <c r="V49" s="23"/>
      <c r="W49" s="23"/>
    </row>
    <row r="50" spans="1:23" ht="36" customHeight="1" x14ac:dyDescent="0.2">
      <c r="A50" s="12" t="s">
        <v>71</v>
      </c>
      <c r="B50" s="12" t="s">
        <v>114</v>
      </c>
      <c r="C50" s="10" t="s">
        <v>72</v>
      </c>
      <c r="D50" s="18">
        <v>16481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5">
        <v>0</v>
      </c>
      <c r="R50" s="16" t="str">
        <f t="shared" si="8"/>
        <v>SI</v>
      </c>
      <c r="S50" s="16" t="str">
        <f t="shared" si="9"/>
        <v>Sin Riesgo</v>
      </c>
      <c r="T50" s="23"/>
      <c r="U50" s="23"/>
      <c r="V50" s="23"/>
      <c r="W50" s="23"/>
    </row>
    <row r="51" spans="1:23" ht="36" customHeight="1" x14ac:dyDescent="0.2">
      <c r="A51" s="12" t="s">
        <v>55</v>
      </c>
      <c r="B51" s="12" t="s">
        <v>115</v>
      </c>
      <c r="C51" s="10" t="s">
        <v>116</v>
      </c>
      <c r="D51" s="18">
        <v>125</v>
      </c>
      <c r="E51" s="26">
        <v>98.06</v>
      </c>
      <c r="F51" s="26">
        <v>98.06</v>
      </c>
      <c r="G51" s="26">
        <v>98.06</v>
      </c>
      <c r="H51" s="26">
        <v>98.06</v>
      </c>
      <c r="I51" s="26">
        <v>89.4</v>
      </c>
      <c r="J51" s="26">
        <v>70.97</v>
      </c>
      <c r="K51" s="26">
        <v>90.32</v>
      </c>
      <c r="L51" s="26">
        <v>70.97</v>
      </c>
      <c r="M51" s="26">
        <v>70.97</v>
      </c>
      <c r="N51" s="26">
        <v>98.06</v>
      </c>
      <c r="O51" s="26">
        <v>70.97</v>
      </c>
      <c r="P51" s="26">
        <v>70.97</v>
      </c>
      <c r="Q51" s="43">
        <v>85.45</v>
      </c>
      <c r="R51" s="16" t="str">
        <f t="shared" si="8"/>
        <v>NO</v>
      </c>
      <c r="S51" s="16" t="str">
        <f t="shared" si="9"/>
        <v>Inviable Sanitariamente</v>
      </c>
      <c r="T51" s="23"/>
      <c r="U51" s="23"/>
      <c r="V51" s="23"/>
      <c r="W51" s="23"/>
    </row>
    <row r="52" spans="1:23" ht="36" customHeight="1" x14ac:dyDescent="0.2">
      <c r="A52" s="12" t="s">
        <v>55</v>
      </c>
      <c r="B52" s="12" t="s">
        <v>115</v>
      </c>
      <c r="C52" s="10" t="s">
        <v>117</v>
      </c>
      <c r="D52" s="18">
        <v>83</v>
      </c>
      <c r="E52" s="26">
        <v>98.06</v>
      </c>
      <c r="F52" s="26">
        <v>98.06</v>
      </c>
      <c r="G52" s="26">
        <v>98.06</v>
      </c>
      <c r="H52" s="26">
        <v>90.32</v>
      </c>
      <c r="I52" s="26">
        <v>70.97</v>
      </c>
      <c r="J52" s="26">
        <v>46.45</v>
      </c>
      <c r="K52" s="26">
        <v>98.06</v>
      </c>
      <c r="L52" s="26">
        <v>38.71</v>
      </c>
      <c r="M52" s="26">
        <v>58.06</v>
      </c>
      <c r="N52" s="26">
        <v>51.61</v>
      </c>
      <c r="O52" s="26">
        <v>98.06</v>
      </c>
      <c r="P52" s="25">
        <v>90.32</v>
      </c>
      <c r="Q52" s="43">
        <v>78.06</v>
      </c>
      <c r="R52" s="16" t="str">
        <f t="shared" si="8"/>
        <v>NO</v>
      </c>
      <c r="S52" s="16" t="str">
        <f t="shared" si="9"/>
        <v>Alto</v>
      </c>
      <c r="T52" s="23"/>
      <c r="U52" s="23"/>
      <c r="V52" s="23"/>
      <c r="W52" s="23"/>
    </row>
    <row r="53" spans="1:23" ht="36" customHeight="1" x14ac:dyDescent="0.2">
      <c r="A53" s="12" t="s">
        <v>55</v>
      </c>
      <c r="B53" s="12" t="s">
        <v>115</v>
      </c>
      <c r="C53" s="10" t="s">
        <v>118</v>
      </c>
      <c r="D53" s="18">
        <v>73</v>
      </c>
      <c r="E53" s="26">
        <v>70.97</v>
      </c>
      <c r="F53" s="26">
        <v>70.97</v>
      </c>
      <c r="G53" s="26">
        <v>70.97</v>
      </c>
      <c r="H53" s="26">
        <v>70.97</v>
      </c>
      <c r="I53" s="26">
        <v>70.97</v>
      </c>
      <c r="J53" s="26">
        <v>70.97</v>
      </c>
      <c r="K53" s="26">
        <v>98.06</v>
      </c>
      <c r="L53" s="26">
        <v>65.09</v>
      </c>
      <c r="M53" s="26">
        <v>35.479999999999997</v>
      </c>
      <c r="N53" s="26">
        <v>98.06</v>
      </c>
      <c r="O53" s="26">
        <v>98.06</v>
      </c>
      <c r="P53" s="26">
        <v>70.97</v>
      </c>
      <c r="Q53" s="43">
        <v>74.3</v>
      </c>
      <c r="R53" s="16" t="str">
        <f t="shared" si="8"/>
        <v>NO</v>
      </c>
      <c r="S53" s="16" t="str">
        <f t="shared" si="9"/>
        <v>Alto</v>
      </c>
      <c r="T53" s="23"/>
      <c r="U53" s="23"/>
      <c r="V53" s="23"/>
      <c r="W53" s="23"/>
    </row>
    <row r="54" spans="1:23" ht="36" customHeight="1" x14ac:dyDescent="0.2">
      <c r="A54" s="12" t="s">
        <v>55</v>
      </c>
      <c r="B54" s="12" t="s">
        <v>115</v>
      </c>
      <c r="C54" s="10" t="s">
        <v>119</v>
      </c>
      <c r="D54" s="18">
        <v>2873</v>
      </c>
      <c r="E54" s="14">
        <v>0</v>
      </c>
      <c r="F54" s="14">
        <v>0</v>
      </c>
      <c r="G54" s="14">
        <v>0</v>
      </c>
      <c r="H54" s="14">
        <v>0.88</v>
      </c>
      <c r="I54" s="14">
        <v>8.4</v>
      </c>
      <c r="J54" s="14">
        <v>0</v>
      </c>
      <c r="K54" s="14">
        <v>0</v>
      </c>
      <c r="L54" s="14">
        <v>7.1</v>
      </c>
      <c r="M54" s="14">
        <v>0</v>
      </c>
      <c r="N54" s="14">
        <v>0</v>
      </c>
      <c r="O54" s="14">
        <v>0</v>
      </c>
      <c r="P54" s="14">
        <v>0</v>
      </c>
      <c r="Q54" s="15">
        <v>1.37</v>
      </c>
      <c r="R54" s="16" t="str">
        <f t="shared" si="8"/>
        <v>SI</v>
      </c>
      <c r="S54" s="16" t="str">
        <f t="shared" si="9"/>
        <v>Sin Riesgo</v>
      </c>
      <c r="T54" s="23"/>
      <c r="U54" s="23"/>
      <c r="V54" s="23"/>
      <c r="W54" s="23"/>
    </row>
    <row r="55" spans="1:23" ht="36" customHeight="1" x14ac:dyDescent="0.2">
      <c r="A55" s="12" t="s">
        <v>55</v>
      </c>
      <c r="B55" s="12" t="s">
        <v>115</v>
      </c>
      <c r="C55" s="10" t="s">
        <v>120</v>
      </c>
      <c r="D55" s="18">
        <v>436</v>
      </c>
      <c r="E55" s="26">
        <v>70.97</v>
      </c>
      <c r="F55" s="26">
        <v>70.97</v>
      </c>
      <c r="G55" s="26">
        <v>70.97</v>
      </c>
      <c r="H55" s="26">
        <v>70.97</v>
      </c>
      <c r="I55" s="26">
        <v>65.09</v>
      </c>
      <c r="J55" s="26">
        <v>70.06</v>
      </c>
      <c r="K55" s="26">
        <v>98.06</v>
      </c>
      <c r="L55" s="26">
        <v>70.97</v>
      </c>
      <c r="M55" s="26">
        <v>70.97</v>
      </c>
      <c r="N55" s="26">
        <v>98.06</v>
      </c>
      <c r="O55" s="26">
        <v>98.06</v>
      </c>
      <c r="P55" s="26">
        <v>70.97</v>
      </c>
      <c r="Q55" s="43">
        <v>77.180000000000007</v>
      </c>
      <c r="R55" s="16" t="str">
        <f t="shared" si="8"/>
        <v>NO</v>
      </c>
      <c r="S55" s="16" t="str">
        <f t="shared" si="9"/>
        <v>Alto</v>
      </c>
      <c r="T55" s="23"/>
      <c r="U55" s="23"/>
      <c r="V55" s="23"/>
      <c r="W55" s="23"/>
    </row>
    <row r="56" spans="1:23" ht="36" customHeight="1" x14ac:dyDescent="0.2">
      <c r="A56" s="12" t="s">
        <v>44</v>
      </c>
      <c r="B56" s="12" t="s">
        <v>121</v>
      </c>
      <c r="C56" s="10" t="s">
        <v>122</v>
      </c>
      <c r="D56" s="18">
        <v>504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6.45</v>
      </c>
      <c r="L56" s="34">
        <v>0</v>
      </c>
      <c r="M56" s="34">
        <v>0</v>
      </c>
      <c r="N56" s="34">
        <v>8.85</v>
      </c>
      <c r="O56" s="34">
        <v>0</v>
      </c>
      <c r="P56" s="34">
        <v>0</v>
      </c>
      <c r="Q56" s="30">
        <v>1.28</v>
      </c>
      <c r="R56" s="16" t="str">
        <f t="shared" si="8"/>
        <v>SI</v>
      </c>
      <c r="S56" s="16" t="str">
        <f t="shared" si="9"/>
        <v>Sin Riesgo</v>
      </c>
      <c r="T56" s="23"/>
      <c r="U56" s="23"/>
      <c r="V56" s="23"/>
      <c r="W56" s="23"/>
    </row>
    <row r="57" spans="1:23" ht="36" customHeight="1" x14ac:dyDescent="0.2">
      <c r="A57" s="12" t="s">
        <v>44</v>
      </c>
      <c r="B57" s="12" t="s">
        <v>121</v>
      </c>
      <c r="C57" s="10" t="s">
        <v>123</v>
      </c>
      <c r="D57" s="18">
        <v>5440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5">
        <v>0</v>
      </c>
      <c r="R57" s="16" t="str">
        <f t="shared" si="8"/>
        <v>SI</v>
      </c>
      <c r="S57" s="16" t="str">
        <f t="shared" si="9"/>
        <v>Sin Riesgo</v>
      </c>
      <c r="T57" s="23"/>
      <c r="U57" s="23"/>
      <c r="V57" s="23"/>
      <c r="W57" s="23"/>
    </row>
    <row r="58" spans="1:23" ht="36" customHeight="1" x14ac:dyDescent="0.2">
      <c r="A58" s="12" t="s">
        <v>44</v>
      </c>
      <c r="B58" s="12" t="s">
        <v>121</v>
      </c>
      <c r="C58" s="10" t="s">
        <v>124</v>
      </c>
      <c r="D58" s="18">
        <v>228</v>
      </c>
      <c r="E58" s="34">
        <v>0</v>
      </c>
      <c r="F58" s="34">
        <v>0</v>
      </c>
      <c r="G58" s="34">
        <v>6.45</v>
      </c>
      <c r="H58" s="34">
        <v>0</v>
      </c>
      <c r="I58" s="26">
        <v>5.92</v>
      </c>
      <c r="J58" s="26">
        <v>38.9</v>
      </c>
      <c r="K58" s="34">
        <v>15.3</v>
      </c>
      <c r="L58" s="34">
        <v>0</v>
      </c>
      <c r="M58" s="34">
        <v>0</v>
      </c>
      <c r="N58" s="26">
        <v>6.45</v>
      </c>
      <c r="O58" s="34">
        <v>0</v>
      </c>
      <c r="P58" s="34">
        <v>0</v>
      </c>
      <c r="Q58" s="27">
        <v>6.09</v>
      </c>
      <c r="R58" s="16" t="str">
        <f t="shared" si="8"/>
        <v>NO</v>
      </c>
      <c r="S58" s="16" t="str">
        <f t="shared" si="9"/>
        <v>Bajo</v>
      </c>
      <c r="T58" s="23"/>
      <c r="U58" s="23"/>
      <c r="V58" s="23"/>
      <c r="W58" s="23"/>
    </row>
    <row r="59" spans="1:23" ht="36" customHeight="1" x14ac:dyDescent="0.2">
      <c r="A59" s="12" t="s">
        <v>41</v>
      </c>
      <c r="B59" s="12" t="s">
        <v>125</v>
      </c>
      <c r="C59" s="10" t="s">
        <v>126</v>
      </c>
      <c r="D59" s="18">
        <v>2884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0.88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43">
        <v>7.0000000000000007E-2</v>
      </c>
      <c r="R59" s="16" t="str">
        <f t="shared" si="8"/>
        <v>SI</v>
      </c>
      <c r="S59" s="16" t="str">
        <f t="shared" si="9"/>
        <v>Sin Riesgo</v>
      </c>
      <c r="T59" s="23"/>
      <c r="U59" s="23"/>
      <c r="V59" s="23"/>
      <c r="W59" s="23"/>
    </row>
    <row r="60" spans="1:23" ht="36" customHeight="1" x14ac:dyDescent="0.2">
      <c r="A60" s="12" t="s">
        <v>41</v>
      </c>
      <c r="B60" s="12" t="s">
        <v>125</v>
      </c>
      <c r="C60" s="10" t="s">
        <v>316</v>
      </c>
      <c r="D60" s="18">
        <v>267</v>
      </c>
      <c r="E60" s="34">
        <v>97.35</v>
      </c>
      <c r="F60" s="34">
        <v>68.64</v>
      </c>
      <c r="G60" s="26">
        <v>97.35</v>
      </c>
      <c r="H60" s="34">
        <v>96.39</v>
      </c>
      <c r="I60" s="34">
        <v>70.97</v>
      </c>
      <c r="J60" s="26">
        <v>46.45</v>
      </c>
      <c r="K60" s="34">
        <v>64</v>
      </c>
      <c r="L60" s="34">
        <v>88</v>
      </c>
      <c r="M60" s="34">
        <v>64</v>
      </c>
      <c r="N60" s="34">
        <v>64</v>
      </c>
      <c r="O60" s="34">
        <v>64</v>
      </c>
      <c r="P60" s="34">
        <v>64</v>
      </c>
      <c r="Q60" s="43">
        <v>73.760000000000005</v>
      </c>
      <c r="R60" s="16" t="str">
        <f t="shared" ref="R60" si="10">IF(Q60&lt;=5,"SI","NO")</f>
        <v>NO</v>
      </c>
      <c r="S60" s="16" t="str">
        <f t="shared" si="9"/>
        <v>Alto</v>
      </c>
      <c r="T60" s="23"/>
      <c r="U60" s="23"/>
      <c r="V60" s="23"/>
      <c r="W60" s="23"/>
    </row>
    <row r="61" spans="1:23" ht="36" customHeight="1" x14ac:dyDescent="0.2">
      <c r="A61" s="12" t="s">
        <v>41</v>
      </c>
      <c r="B61" s="12" t="s">
        <v>127</v>
      </c>
      <c r="C61" s="10" t="s">
        <v>128</v>
      </c>
      <c r="D61" s="18">
        <v>1229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8.85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5">
        <v>0.74</v>
      </c>
      <c r="R61" s="16" t="str">
        <f t="shared" si="8"/>
        <v>SI</v>
      </c>
      <c r="S61" s="16" t="str">
        <f t="shared" si="9"/>
        <v>Sin Riesgo</v>
      </c>
      <c r="T61" s="23"/>
      <c r="U61" s="23"/>
      <c r="V61" s="23"/>
      <c r="W61" s="23"/>
    </row>
    <row r="62" spans="1:23" ht="36" customHeight="1" x14ac:dyDescent="0.2">
      <c r="A62" s="12" t="s">
        <v>44</v>
      </c>
      <c r="B62" s="12" t="s">
        <v>129</v>
      </c>
      <c r="C62" s="10" t="s">
        <v>130</v>
      </c>
      <c r="D62" s="18">
        <v>3128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5">
        <v>0</v>
      </c>
      <c r="R62" s="16" t="str">
        <f t="shared" si="8"/>
        <v>SI</v>
      </c>
      <c r="S62" s="16" t="str">
        <f t="shared" si="9"/>
        <v>Sin Riesgo</v>
      </c>
      <c r="T62" s="23"/>
      <c r="U62" s="23"/>
      <c r="V62" s="23"/>
      <c r="W62" s="23"/>
    </row>
    <row r="63" spans="1:23" ht="36" customHeight="1" x14ac:dyDescent="0.2">
      <c r="A63" s="12" t="s">
        <v>13</v>
      </c>
      <c r="B63" s="12" t="s">
        <v>131</v>
      </c>
      <c r="C63" s="10" t="s">
        <v>79</v>
      </c>
      <c r="D63" s="18">
        <v>22307</v>
      </c>
      <c r="E63" s="14">
        <v>0</v>
      </c>
      <c r="F63" s="14">
        <v>1.29</v>
      </c>
      <c r="G63" s="14">
        <v>0.86</v>
      </c>
      <c r="H63" s="14">
        <v>1.1100000000000001</v>
      </c>
      <c r="I63" s="14">
        <v>0</v>
      </c>
      <c r="J63" s="14">
        <v>0</v>
      </c>
      <c r="K63" s="14">
        <v>0</v>
      </c>
      <c r="L63" s="14">
        <v>5.81</v>
      </c>
      <c r="M63" s="14">
        <v>4.84</v>
      </c>
      <c r="N63" s="14">
        <v>0</v>
      </c>
      <c r="O63" s="14">
        <v>0</v>
      </c>
      <c r="P63" s="14">
        <v>0</v>
      </c>
      <c r="Q63" s="15">
        <v>1.1599999999999999</v>
      </c>
      <c r="R63" s="16" t="str">
        <f t="shared" si="8"/>
        <v>SI</v>
      </c>
      <c r="S63" s="16" t="str">
        <f t="shared" si="9"/>
        <v>Sin Riesgo</v>
      </c>
      <c r="T63" s="23"/>
      <c r="U63" s="23"/>
      <c r="V63" s="23"/>
      <c r="W63" s="23"/>
    </row>
    <row r="64" spans="1:23" ht="36" customHeight="1" x14ac:dyDescent="0.2">
      <c r="A64" s="12" t="s">
        <v>40</v>
      </c>
      <c r="B64" s="12" t="s">
        <v>132</v>
      </c>
      <c r="C64" s="10" t="s">
        <v>317</v>
      </c>
      <c r="D64" s="18">
        <v>3136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5">
        <v>0</v>
      </c>
      <c r="R64" s="16" t="str">
        <f t="shared" si="8"/>
        <v>SI</v>
      </c>
      <c r="S64" s="16" t="str">
        <f t="shared" si="9"/>
        <v>Sin Riesgo</v>
      </c>
      <c r="T64" s="23"/>
      <c r="U64" s="23"/>
      <c r="V64" s="23"/>
      <c r="W64" s="23"/>
    </row>
    <row r="65" spans="1:23" ht="36" customHeight="1" x14ac:dyDescent="0.2">
      <c r="A65" s="12" t="s">
        <v>40</v>
      </c>
      <c r="B65" s="12" t="s">
        <v>132</v>
      </c>
      <c r="C65" s="10" t="s">
        <v>318</v>
      </c>
      <c r="D65" s="18">
        <v>486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5">
        <v>0</v>
      </c>
      <c r="R65" s="16" t="str">
        <f t="shared" ref="R65" si="11">IF(Q65&lt;=5,"SI","NO")</f>
        <v>SI</v>
      </c>
      <c r="S65" s="16" t="str">
        <f t="shared" si="9"/>
        <v>Sin Riesgo</v>
      </c>
      <c r="T65" s="23"/>
      <c r="U65" s="23"/>
      <c r="V65" s="23"/>
      <c r="W65" s="23"/>
    </row>
    <row r="66" spans="1:23" ht="36" customHeight="1" x14ac:dyDescent="0.2">
      <c r="A66" s="12" t="s">
        <v>40</v>
      </c>
      <c r="B66" s="12" t="s">
        <v>132</v>
      </c>
      <c r="C66" s="10" t="s">
        <v>133</v>
      </c>
      <c r="D66" s="18">
        <v>233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1.18</v>
      </c>
      <c r="K66" s="14">
        <v>0</v>
      </c>
      <c r="L66" s="14">
        <v>0</v>
      </c>
      <c r="M66" s="14">
        <v>0</v>
      </c>
      <c r="N66" s="14">
        <v>0</v>
      </c>
      <c r="O66" s="14">
        <v>13.27</v>
      </c>
      <c r="P66" s="14">
        <v>0</v>
      </c>
      <c r="Q66" s="15">
        <v>1.2</v>
      </c>
      <c r="R66" s="16" t="str">
        <f t="shared" si="8"/>
        <v>SI</v>
      </c>
      <c r="S66" s="16" t="str">
        <f t="shared" si="9"/>
        <v>Sin Riesgo</v>
      </c>
      <c r="T66" s="23"/>
      <c r="U66" s="23"/>
      <c r="V66" s="23"/>
      <c r="W66" s="23"/>
    </row>
    <row r="67" spans="1:23" ht="36" customHeight="1" x14ac:dyDescent="0.2">
      <c r="A67" s="12" t="s">
        <v>27</v>
      </c>
      <c r="B67" s="12" t="s">
        <v>334</v>
      </c>
      <c r="C67" s="10" t="s">
        <v>336</v>
      </c>
      <c r="D67" s="18">
        <v>6265</v>
      </c>
      <c r="E67" s="14">
        <v>8</v>
      </c>
      <c r="F67" s="14">
        <v>1.18</v>
      </c>
      <c r="G67" s="14">
        <v>0</v>
      </c>
      <c r="H67" s="14">
        <v>0</v>
      </c>
      <c r="I67" s="14">
        <v>0</v>
      </c>
      <c r="J67" s="34">
        <v>0</v>
      </c>
      <c r="K67" s="34">
        <v>0</v>
      </c>
      <c r="L67" s="14">
        <v>0</v>
      </c>
      <c r="M67" s="14">
        <v>0</v>
      </c>
      <c r="N67" s="14">
        <v>0</v>
      </c>
      <c r="O67" s="14">
        <v>5.88</v>
      </c>
      <c r="P67" s="14">
        <v>0</v>
      </c>
      <c r="Q67" s="15">
        <v>1.25</v>
      </c>
      <c r="R67" s="16" t="str">
        <f t="shared" si="8"/>
        <v>SI</v>
      </c>
      <c r="S67" s="16" t="str">
        <f t="shared" si="9"/>
        <v>Sin Riesgo</v>
      </c>
      <c r="T67" s="23"/>
      <c r="U67" s="23"/>
      <c r="V67" s="23"/>
      <c r="W67" s="23"/>
    </row>
    <row r="68" spans="1:23" ht="36" customHeight="1" x14ac:dyDescent="0.2">
      <c r="A68" s="12" t="s">
        <v>40</v>
      </c>
      <c r="B68" s="12" t="s">
        <v>134</v>
      </c>
      <c r="C68" s="10" t="s">
        <v>135</v>
      </c>
      <c r="D68" s="18">
        <v>1087</v>
      </c>
      <c r="E68" s="14">
        <v>0</v>
      </c>
      <c r="F68" s="14">
        <v>0</v>
      </c>
      <c r="G68" s="14">
        <v>0</v>
      </c>
      <c r="H68" s="14">
        <v>8.85</v>
      </c>
      <c r="I68" s="14">
        <v>0</v>
      </c>
      <c r="J68" s="14">
        <v>0</v>
      </c>
      <c r="K68" s="14">
        <v>8.85</v>
      </c>
      <c r="L68" s="14">
        <v>1.18</v>
      </c>
      <c r="M68" s="14">
        <v>0</v>
      </c>
      <c r="N68" s="14">
        <v>0</v>
      </c>
      <c r="O68" s="14">
        <v>8.85</v>
      </c>
      <c r="P68" s="14">
        <v>0</v>
      </c>
      <c r="Q68" s="15">
        <v>2.31</v>
      </c>
      <c r="R68" s="16" t="str">
        <f t="shared" si="8"/>
        <v>SI</v>
      </c>
      <c r="S68" s="16" t="str">
        <f t="shared" si="9"/>
        <v>Sin Riesgo</v>
      </c>
      <c r="T68" s="23"/>
      <c r="U68" s="23"/>
      <c r="V68" s="23"/>
      <c r="W68" s="23"/>
    </row>
    <row r="69" spans="1:23" ht="36" customHeight="1" x14ac:dyDescent="0.2">
      <c r="A69" s="12" t="s">
        <v>46</v>
      </c>
      <c r="B69" s="12" t="s">
        <v>136</v>
      </c>
      <c r="C69" s="10" t="s">
        <v>137</v>
      </c>
      <c r="D69" s="18">
        <v>8612</v>
      </c>
      <c r="E69" s="34">
        <v>0</v>
      </c>
      <c r="F69" s="34">
        <v>0</v>
      </c>
      <c r="G69" s="34"/>
      <c r="H69" s="34">
        <v>0</v>
      </c>
      <c r="I69" s="34">
        <v>0</v>
      </c>
      <c r="J69" s="34">
        <v>0</v>
      </c>
      <c r="K69" s="34">
        <v>0</v>
      </c>
      <c r="L69" s="14">
        <v>0</v>
      </c>
      <c r="M69" s="14">
        <v>0</v>
      </c>
      <c r="N69" s="14">
        <v>0</v>
      </c>
      <c r="O69" s="14">
        <v>3.87</v>
      </c>
      <c r="P69" s="14">
        <v>0</v>
      </c>
      <c r="Q69" s="15">
        <v>0.35</v>
      </c>
      <c r="R69" s="16" t="str">
        <f t="shared" si="8"/>
        <v>SI</v>
      </c>
      <c r="S69" s="16" t="str">
        <f t="shared" si="9"/>
        <v>Sin Riesgo</v>
      </c>
      <c r="T69" s="23"/>
      <c r="U69" s="23"/>
      <c r="V69" s="23"/>
      <c r="W69" s="23"/>
    </row>
    <row r="70" spans="1:23" ht="36" customHeight="1" x14ac:dyDescent="0.2">
      <c r="A70" s="12" t="s">
        <v>46</v>
      </c>
      <c r="B70" s="12" t="s">
        <v>136</v>
      </c>
      <c r="C70" s="10" t="s">
        <v>138</v>
      </c>
      <c r="D70" s="18">
        <v>500</v>
      </c>
      <c r="E70" s="14">
        <v>0</v>
      </c>
      <c r="F70" s="14">
        <v>0</v>
      </c>
      <c r="G70" s="14"/>
      <c r="H70" s="14">
        <v>12.3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5">
        <v>1.1200000000000001</v>
      </c>
      <c r="R70" s="16" t="str">
        <f t="shared" si="8"/>
        <v>SI</v>
      </c>
      <c r="S70" s="16" t="str">
        <f t="shared" si="9"/>
        <v>Sin Riesgo</v>
      </c>
      <c r="T70" s="23"/>
      <c r="U70" s="23"/>
      <c r="V70" s="23"/>
      <c r="W70" s="23"/>
    </row>
    <row r="71" spans="1:23" ht="36" customHeight="1" x14ac:dyDescent="0.2">
      <c r="A71" s="12" t="s">
        <v>41</v>
      </c>
      <c r="B71" s="12" t="s">
        <v>139</v>
      </c>
      <c r="C71" s="10" t="s">
        <v>140</v>
      </c>
      <c r="D71" s="18">
        <v>14000</v>
      </c>
      <c r="E71" s="14">
        <v>0</v>
      </c>
      <c r="F71" s="14">
        <v>0</v>
      </c>
      <c r="G71" s="14">
        <v>0</v>
      </c>
      <c r="H71" s="14">
        <v>0</v>
      </c>
      <c r="I71" s="14">
        <v>0.35</v>
      </c>
      <c r="J71" s="14">
        <v>0</v>
      </c>
      <c r="K71" s="14">
        <v>0</v>
      </c>
      <c r="L71" s="14"/>
      <c r="M71" s="14"/>
      <c r="N71" s="14">
        <v>0</v>
      </c>
      <c r="O71" s="14">
        <v>0</v>
      </c>
      <c r="P71" s="14">
        <v>0</v>
      </c>
      <c r="Q71" s="15">
        <v>0</v>
      </c>
      <c r="R71" s="16" t="str">
        <f t="shared" si="8"/>
        <v>SI</v>
      </c>
      <c r="S71" s="16" t="str">
        <f>IF(Q71&lt;=5,"Sin Riesgo",IF(Q71 &lt;=14,"Bajo",IF(Q71&lt;=35,"Medio",IF(Q71&lt;=80,"Alto","Inviable Sanitariamente"))))</f>
        <v>Sin Riesgo</v>
      </c>
      <c r="T71" s="23"/>
      <c r="U71" s="23"/>
      <c r="V71" s="23"/>
      <c r="W71" s="23"/>
    </row>
    <row r="72" spans="1:23" ht="36" customHeight="1" x14ac:dyDescent="0.2">
      <c r="A72" s="12" t="s">
        <v>41</v>
      </c>
      <c r="B72" s="12" t="s">
        <v>141</v>
      </c>
      <c r="C72" s="10" t="s">
        <v>142</v>
      </c>
      <c r="D72" s="18">
        <v>9271</v>
      </c>
      <c r="E72" s="14">
        <v>0</v>
      </c>
      <c r="F72" s="14">
        <v>0.71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0.71</v>
      </c>
      <c r="O72" s="14">
        <v>0</v>
      </c>
      <c r="P72" s="14">
        <v>0</v>
      </c>
      <c r="Q72" s="15">
        <v>0.12</v>
      </c>
      <c r="R72" s="16" t="str">
        <f t="shared" si="8"/>
        <v>SI</v>
      </c>
      <c r="S72" s="16" t="str">
        <f t="shared" si="9"/>
        <v>Sin Riesgo</v>
      </c>
      <c r="T72" s="23"/>
      <c r="U72" s="23"/>
      <c r="V72" s="23"/>
      <c r="W72" s="23"/>
    </row>
    <row r="73" spans="1:23" ht="36" customHeight="1" x14ac:dyDescent="0.2">
      <c r="A73" s="12" t="s">
        <v>41</v>
      </c>
      <c r="B73" s="12" t="s">
        <v>141</v>
      </c>
      <c r="C73" s="10" t="s">
        <v>143</v>
      </c>
      <c r="D73" s="18">
        <v>185</v>
      </c>
      <c r="E73" s="14">
        <v>0</v>
      </c>
      <c r="F73" s="14">
        <v>0</v>
      </c>
      <c r="G73" s="14">
        <v>3.68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19.350000000000001</v>
      </c>
      <c r="O73" s="14">
        <v>0</v>
      </c>
      <c r="P73" s="14">
        <v>0</v>
      </c>
      <c r="Q73" s="15">
        <v>1.92</v>
      </c>
      <c r="R73" s="16" t="str">
        <f t="shared" si="8"/>
        <v>SI</v>
      </c>
      <c r="S73" s="16" t="str">
        <f t="shared" si="9"/>
        <v>Sin Riesgo</v>
      </c>
      <c r="T73" s="23"/>
      <c r="U73" s="23"/>
      <c r="V73" s="23"/>
      <c r="W73" s="23"/>
    </row>
    <row r="74" spans="1:23" ht="36" customHeight="1" x14ac:dyDescent="0.2">
      <c r="A74" s="12" t="s">
        <v>41</v>
      </c>
      <c r="B74" s="12" t="s">
        <v>141</v>
      </c>
      <c r="C74" s="10" t="s">
        <v>144</v>
      </c>
      <c r="D74" s="18">
        <v>538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26.55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5">
        <v>2.21</v>
      </c>
      <c r="R74" s="16" t="str">
        <f t="shared" si="8"/>
        <v>SI</v>
      </c>
      <c r="S74" s="16" t="str">
        <f t="shared" si="9"/>
        <v>Sin Riesgo</v>
      </c>
      <c r="T74" s="23"/>
      <c r="U74" s="23"/>
      <c r="V74" s="23"/>
      <c r="W74" s="23"/>
    </row>
    <row r="75" spans="1:23" ht="36" customHeight="1" x14ac:dyDescent="0.2">
      <c r="A75" s="12" t="s">
        <v>27</v>
      </c>
      <c r="B75" s="12" t="s">
        <v>145</v>
      </c>
      <c r="C75" s="10" t="s">
        <v>146</v>
      </c>
      <c r="D75" s="18">
        <v>2808</v>
      </c>
      <c r="E75" s="34">
        <v>0</v>
      </c>
      <c r="F75" s="34">
        <v>0</v>
      </c>
      <c r="G75" s="34">
        <v>0</v>
      </c>
      <c r="H75" s="26">
        <v>0.88</v>
      </c>
      <c r="I75" s="26">
        <v>7.1</v>
      </c>
      <c r="J75" s="34">
        <v>0</v>
      </c>
      <c r="K75" s="34">
        <v>0</v>
      </c>
      <c r="L75" s="34">
        <v>0</v>
      </c>
      <c r="M75" s="34">
        <v>0</v>
      </c>
      <c r="N75" s="26">
        <v>2.58</v>
      </c>
      <c r="O75" s="26">
        <v>2.58</v>
      </c>
      <c r="P75" s="60">
        <v>0</v>
      </c>
      <c r="Q75" s="43">
        <v>1.1000000000000001</v>
      </c>
      <c r="R75" s="16" t="str">
        <f t="shared" si="8"/>
        <v>SI</v>
      </c>
      <c r="S75" s="16" t="str">
        <f t="shared" si="9"/>
        <v>Sin Riesgo</v>
      </c>
      <c r="T75" s="23"/>
      <c r="U75" s="23"/>
      <c r="V75" s="23"/>
      <c r="W75" s="23"/>
    </row>
    <row r="76" spans="1:23" ht="36" customHeight="1" x14ac:dyDescent="0.2">
      <c r="A76" s="12" t="s">
        <v>13</v>
      </c>
      <c r="B76" s="12" t="s">
        <v>147</v>
      </c>
      <c r="C76" s="10" t="s">
        <v>79</v>
      </c>
      <c r="D76" s="18">
        <v>82072</v>
      </c>
      <c r="E76" s="34">
        <v>0</v>
      </c>
      <c r="F76" s="34">
        <v>0</v>
      </c>
      <c r="G76" s="34">
        <v>0</v>
      </c>
      <c r="H76" s="34">
        <v>4.84</v>
      </c>
      <c r="I76" s="34">
        <v>0.31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2.21</v>
      </c>
      <c r="P76" s="34">
        <v>0</v>
      </c>
      <c r="Q76" s="27">
        <v>0.61</v>
      </c>
      <c r="R76" s="16" t="str">
        <f t="shared" ref="R76:R157" si="12">IF(Q76&lt;=5,"SI","NO")</f>
        <v>SI</v>
      </c>
      <c r="S76" s="16" t="str">
        <f t="shared" ref="S76:S124" si="13">IF(Q76&lt;=5,"Sin Riesgo",IF(Q76 &lt;=14,"Bajo",IF(Q76&lt;=35,"Medio",IF(Q76&lt;=80,"Alto","Inviable Sanitariamente"))))</f>
        <v>Sin Riesgo</v>
      </c>
      <c r="T76" s="23"/>
      <c r="U76" s="23"/>
      <c r="V76" s="23"/>
      <c r="W76" s="23"/>
    </row>
    <row r="77" spans="1:23" ht="36" customHeight="1" x14ac:dyDescent="0.2">
      <c r="A77" s="12" t="s">
        <v>44</v>
      </c>
      <c r="B77" s="12" t="s">
        <v>148</v>
      </c>
      <c r="C77" s="10" t="s">
        <v>149</v>
      </c>
      <c r="D77" s="18">
        <v>3489</v>
      </c>
      <c r="E77" s="14">
        <v>1.18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5">
        <v>0.1</v>
      </c>
      <c r="R77" s="16" t="str">
        <f t="shared" si="12"/>
        <v>SI</v>
      </c>
      <c r="S77" s="16" t="str">
        <f t="shared" si="13"/>
        <v>Sin Riesgo</v>
      </c>
      <c r="T77" s="23"/>
      <c r="U77" s="23"/>
      <c r="V77" s="23"/>
      <c r="W77" s="23"/>
    </row>
    <row r="78" spans="1:23" ht="36" customHeight="1" x14ac:dyDescent="0.2">
      <c r="A78" s="12" t="s">
        <v>40</v>
      </c>
      <c r="B78" s="12" t="s">
        <v>150</v>
      </c>
      <c r="C78" s="10" t="s">
        <v>151</v>
      </c>
      <c r="D78" s="18">
        <v>1672</v>
      </c>
      <c r="E78" s="14">
        <v>0</v>
      </c>
      <c r="F78" s="14">
        <v>0</v>
      </c>
      <c r="G78" s="14">
        <v>12.5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6.45</v>
      </c>
      <c r="N78" s="14">
        <v>0</v>
      </c>
      <c r="O78" s="14">
        <v>6.45</v>
      </c>
      <c r="P78" s="14">
        <v>0</v>
      </c>
      <c r="Q78" s="15">
        <v>2.12</v>
      </c>
      <c r="R78" s="16" t="str">
        <f t="shared" si="12"/>
        <v>SI</v>
      </c>
      <c r="S78" s="16" t="str">
        <f t="shared" si="13"/>
        <v>Sin Riesgo</v>
      </c>
      <c r="T78" s="23"/>
      <c r="U78" s="23"/>
      <c r="V78" s="23"/>
      <c r="W78" s="23"/>
    </row>
    <row r="79" spans="1:23" ht="36" customHeight="1" x14ac:dyDescent="0.2">
      <c r="A79" s="12" t="s">
        <v>40</v>
      </c>
      <c r="B79" s="12" t="s">
        <v>150</v>
      </c>
      <c r="C79" s="10" t="s">
        <v>152</v>
      </c>
      <c r="D79" s="18">
        <v>1850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6.45</v>
      </c>
      <c r="L79" s="14">
        <v>0.65</v>
      </c>
      <c r="M79" s="14">
        <v>0</v>
      </c>
      <c r="N79" s="14">
        <v>0</v>
      </c>
      <c r="O79" s="14">
        <v>0</v>
      </c>
      <c r="P79" s="14">
        <v>0</v>
      </c>
      <c r="Q79" s="15">
        <v>0.59</v>
      </c>
      <c r="R79" s="16" t="str">
        <f t="shared" si="12"/>
        <v>SI</v>
      </c>
      <c r="S79" s="16" t="str">
        <f t="shared" si="13"/>
        <v>Sin Riesgo</v>
      </c>
      <c r="T79" s="23"/>
      <c r="U79" s="23"/>
      <c r="V79" s="23"/>
      <c r="W79" s="23"/>
    </row>
    <row r="80" spans="1:23" ht="36" customHeight="1" x14ac:dyDescent="0.2">
      <c r="A80" s="12" t="s">
        <v>40</v>
      </c>
      <c r="B80" s="12" t="s">
        <v>150</v>
      </c>
      <c r="C80" s="61" t="s">
        <v>320</v>
      </c>
      <c r="D80" s="18">
        <v>117</v>
      </c>
      <c r="E80" s="14">
        <v>97.77</v>
      </c>
      <c r="F80" s="14">
        <v>92.01</v>
      </c>
      <c r="G80" s="14">
        <v>95.16</v>
      </c>
      <c r="H80" s="14">
        <v>91.32</v>
      </c>
      <c r="I80" s="14">
        <v>72.680000000000007</v>
      </c>
      <c r="J80" s="14">
        <v>76.55</v>
      </c>
      <c r="K80" s="14">
        <v>95</v>
      </c>
      <c r="L80" s="14">
        <v>98.23</v>
      </c>
      <c r="M80" s="14">
        <v>98.47</v>
      </c>
      <c r="N80" s="14">
        <v>97.58</v>
      </c>
      <c r="O80" s="14">
        <v>97.58</v>
      </c>
      <c r="P80" s="14">
        <v>97.58</v>
      </c>
      <c r="Q80" s="15">
        <v>92.41</v>
      </c>
      <c r="R80" s="16" t="str">
        <f t="shared" ref="R80" si="14">IF(Q80&lt;=5,"SI","NO")</f>
        <v>NO</v>
      </c>
      <c r="S80" s="16" t="str">
        <f t="shared" si="13"/>
        <v>Inviable Sanitariamente</v>
      </c>
      <c r="T80" s="23"/>
      <c r="U80" s="23"/>
      <c r="V80" s="23"/>
      <c r="W80" s="23"/>
    </row>
    <row r="81" spans="1:23" ht="36" customHeight="1" x14ac:dyDescent="0.2">
      <c r="A81" s="12" t="s">
        <v>40</v>
      </c>
      <c r="B81" s="12" t="s">
        <v>153</v>
      </c>
      <c r="C81" s="10" t="s">
        <v>154</v>
      </c>
      <c r="D81" s="18">
        <v>850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8.85</v>
      </c>
      <c r="M81" s="14">
        <v>0</v>
      </c>
      <c r="N81" s="14">
        <v>0</v>
      </c>
      <c r="O81" s="14">
        <v>0</v>
      </c>
      <c r="P81" s="14">
        <v>0</v>
      </c>
      <c r="Q81" s="15">
        <v>0.74</v>
      </c>
      <c r="R81" s="16" t="str">
        <f t="shared" si="12"/>
        <v>SI</v>
      </c>
      <c r="S81" s="16" t="str">
        <f t="shared" si="13"/>
        <v>Sin Riesgo</v>
      </c>
      <c r="T81" s="23"/>
      <c r="U81" s="23"/>
      <c r="V81" s="23"/>
      <c r="W81" s="23"/>
    </row>
    <row r="82" spans="1:23" ht="36" customHeight="1" x14ac:dyDescent="0.2">
      <c r="A82" s="12" t="s">
        <v>40</v>
      </c>
      <c r="B82" s="12" t="s">
        <v>153</v>
      </c>
      <c r="C82" s="10" t="s">
        <v>155</v>
      </c>
      <c r="D82" s="18">
        <v>118</v>
      </c>
      <c r="E82" s="26">
        <v>65.569999999999993</v>
      </c>
      <c r="F82" s="26">
        <v>65.569999999999993</v>
      </c>
      <c r="G82" s="26">
        <v>72.37</v>
      </c>
      <c r="H82" s="26">
        <v>70.97</v>
      </c>
      <c r="I82" s="26">
        <v>70.97</v>
      </c>
      <c r="J82" s="26">
        <v>81.22</v>
      </c>
      <c r="K82" s="26">
        <v>70.97</v>
      </c>
      <c r="L82" s="26">
        <v>70.97</v>
      </c>
      <c r="M82" s="26">
        <v>70.97</v>
      </c>
      <c r="N82" s="26">
        <v>97.35</v>
      </c>
      <c r="O82" s="26">
        <v>70.97</v>
      </c>
      <c r="P82" s="26">
        <v>70.97</v>
      </c>
      <c r="Q82" s="44">
        <v>73.239999999999995</v>
      </c>
      <c r="R82" s="16" t="str">
        <f t="shared" si="12"/>
        <v>NO</v>
      </c>
      <c r="S82" s="16" t="str">
        <f t="shared" si="13"/>
        <v>Alto</v>
      </c>
      <c r="T82" s="23"/>
      <c r="U82" s="23"/>
      <c r="V82" s="23"/>
      <c r="W82" s="23"/>
    </row>
    <row r="83" spans="1:23" ht="36" customHeight="1" x14ac:dyDescent="0.2">
      <c r="A83" s="12" t="s">
        <v>13</v>
      </c>
      <c r="B83" s="12" t="s">
        <v>156</v>
      </c>
      <c r="C83" s="10" t="s">
        <v>79</v>
      </c>
      <c r="D83" s="18">
        <v>9939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44">
        <v>0</v>
      </c>
      <c r="R83" s="16" t="str">
        <f t="shared" si="12"/>
        <v>SI</v>
      </c>
      <c r="S83" s="16" t="str">
        <f t="shared" si="13"/>
        <v>Sin Riesgo</v>
      </c>
      <c r="T83" s="23"/>
      <c r="U83" s="23"/>
      <c r="V83" s="23"/>
      <c r="W83" s="23"/>
    </row>
    <row r="84" spans="1:23" ht="36" customHeight="1" x14ac:dyDescent="0.2">
      <c r="A84" s="12" t="s">
        <v>27</v>
      </c>
      <c r="B84" s="12" t="s">
        <v>337</v>
      </c>
      <c r="C84" s="10" t="s">
        <v>157</v>
      </c>
      <c r="D84" s="18">
        <v>2154</v>
      </c>
      <c r="E84" s="34">
        <v>0</v>
      </c>
      <c r="F84" s="26">
        <v>32.450000000000003</v>
      </c>
      <c r="G84" s="34">
        <v>0</v>
      </c>
      <c r="H84" s="34">
        <v>29.86</v>
      </c>
      <c r="I84" s="34">
        <v>30.97</v>
      </c>
      <c r="J84" s="34">
        <v>0</v>
      </c>
      <c r="K84" s="26">
        <v>6.45</v>
      </c>
      <c r="L84" s="34">
        <v>17.2</v>
      </c>
      <c r="M84" s="26">
        <v>6.45</v>
      </c>
      <c r="N84" s="34">
        <v>0</v>
      </c>
      <c r="O84" s="34">
        <v>0</v>
      </c>
      <c r="P84" s="34">
        <v>32.450000000000003</v>
      </c>
      <c r="Q84" s="43">
        <v>12.99</v>
      </c>
      <c r="R84" s="16" t="str">
        <f t="shared" si="12"/>
        <v>NO</v>
      </c>
      <c r="S84" s="16" t="str">
        <f t="shared" si="13"/>
        <v>Bajo</v>
      </c>
      <c r="T84" s="23"/>
      <c r="U84" s="23"/>
      <c r="V84" s="23"/>
      <c r="W84" s="23"/>
    </row>
    <row r="85" spans="1:23" ht="36" customHeight="1" x14ac:dyDescent="0.2">
      <c r="A85" s="12" t="s">
        <v>41</v>
      </c>
      <c r="B85" s="12" t="s">
        <v>158</v>
      </c>
      <c r="C85" s="10" t="s">
        <v>159</v>
      </c>
      <c r="D85" s="18">
        <v>2876</v>
      </c>
      <c r="E85" s="14">
        <v>0</v>
      </c>
      <c r="F85" s="14">
        <v>0</v>
      </c>
      <c r="G85" s="14">
        <v>0</v>
      </c>
      <c r="H85" s="14">
        <v>0</v>
      </c>
      <c r="I85" s="14">
        <v>6.45</v>
      </c>
      <c r="J85" s="14">
        <v>6.45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5">
        <v>1.08</v>
      </c>
      <c r="R85" s="16" t="str">
        <f t="shared" si="12"/>
        <v>SI</v>
      </c>
      <c r="S85" s="16" t="str">
        <f t="shared" si="13"/>
        <v>Sin Riesgo</v>
      </c>
      <c r="T85" s="23"/>
      <c r="U85" s="23"/>
      <c r="V85" s="23"/>
      <c r="W85" s="23"/>
    </row>
    <row r="86" spans="1:23" ht="36" customHeight="1" x14ac:dyDescent="0.2">
      <c r="A86" s="12" t="s">
        <v>27</v>
      </c>
      <c r="B86" s="12" t="s">
        <v>160</v>
      </c>
      <c r="C86" s="10" t="s">
        <v>161</v>
      </c>
      <c r="D86" s="18">
        <v>988</v>
      </c>
      <c r="E86" s="34">
        <v>0</v>
      </c>
      <c r="F86" s="34">
        <v>0</v>
      </c>
      <c r="G86" s="34">
        <v>0</v>
      </c>
      <c r="H86" s="34">
        <v>1.32</v>
      </c>
      <c r="I86" s="34">
        <v>0</v>
      </c>
      <c r="J86" s="34">
        <v>0</v>
      </c>
      <c r="K86" s="34">
        <v>9.0299999999999994</v>
      </c>
      <c r="L86" s="34">
        <v>2.58</v>
      </c>
      <c r="M86" s="34">
        <v>0</v>
      </c>
      <c r="N86" s="34">
        <v>0</v>
      </c>
      <c r="O86" s="34">
        <v>0</v>
      </c>
      <c r="P86" s="34">
        <v>0</v>
      </c>
      <c r="Q86" s="44">
        <v>1.08</v>
      </c>
      <c r="R86" s="16" t="str">
        <f t="shared" si="12"/>
        <v>SI</v>
      </c>
      <c r="S86" s="16" t="str">
        <f t="shared" si="13"/>
        <v>Sin Riesgo</v>
      </c>
      <c r="T86" s="23"/>
      <c r="U86" s="23"/>
      <c r="V86" s="23"/>
      <c r="W86" s="23"/>
    </row>
    <row r="87" spans="1:23" ht="36" customHeight="1" x14ac:dyDescent="0.2">
      <c r="A87" s="12" t="s">
        <v>41</v>
      </c>
      <c r="B87" s="12" t="s">
        <v>162</v>
      </c>
      <c r="C87" s="10" t="s">
        <v>319</v>
      </c>
      <c r="D87" s="18">
        <v>8048</v>
      </c>
      <c r="E87" s="14"/>
      <c r="F87" s="14">
        <v>4.84</v>
      </c>
      <c r="G87" s="14">
        <v>5.32</v>
      </c>
      <c r="H87" s="14">
        <v>14.52</v>
      </c>
      <c r="I87" s="14">
        <v>0</v>
      </c>
      <c r="J87" s="14">
        <v>9.68</v>
      </c>
      <c r="K87" s="14">
        <v>23.66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5">
        <v>3.79</v>
      </c>
      <c r="R87" s="16" t="str">
        <f t="shared" si="12"/>
        <v>SI</v>
      </c>
      <c r="S87" s="16" t="str">
        <f t="shared" si="13"/>
        <v>Sin Riesgo</v>
      </c>
      <c r="T87" s="23"/>
      <c r="U87" s="23"/>
      <c r="V87" s="23"/>
      <c r="W87" s="23"/>
    </row>
    <row r="88" spans="1:23" ht="36" customHeight="1" x14ac:dyDescent="0.2">
      <c r="A88" s="12" t="s">
        <v>41</v>
      </c>
      <c r="B88" s="12" t="s">
        <v>163</v>
      </c>
      <c r="C88" s="10" t="s">
        <v>164</v>
      </c>
      <c r="D88" s="18">
        <v>2836</v>
      </c>
      <c r="E88" s="14">
        <v>0</v>
      </c>
      <c r="F88" s="14">
        <v>0</v>
      </c>
      <c r="G88" s="14">
        <v>2.37</v>
      </c>
      <c r="H88" s="14">
        <v>6.45</v>
      </c>
      <c r="I88" s="14">
        <v>0</v>
      </c>
      <c r="J88" s="14">
        <v>0</v>
      </c>
      <c r="K88" s="14">
        <v>6.45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5">
        <v>1.27</v>
      </c>
      <c r="R88" s="16" t="str">
        <f t="shared" si="12"/>
        <v>SI</v>
      </c>
      <c r="S88" s="16" t="str">
        <f t="shared" si="13"/>
        <v>Sin Riesgo</v>
      </c>
      <c r="T88" s="23"/>
      <c r="U88" s="23"/>
      <c r="V88" s="23"/>
      <c r="W88" s="23"/>
    </row>
    <row r="89" spans="1:23" ht="36" customHeight="1" x14ac:dyDescent="0.2">
      <c r="A89" s="12" t="s">
        <v>40</v>
      </c>
      <c r="B89" s="12" t="s">
        <v>165</v>
      </c>
      <c r="C89" s="10" t="s">
        <v>166</v>
      </c>
      <c r="D89" s="18">
        <v>899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44">
        <v>0</v>
      </c>
      <c r="R89" s="16" t="str">
        <f t="shared" si="12"/>
        <v>SI</v>
      </c>
      <c r="S89" s="16" t="str">
        <f t="shared" si="13"/>
        <v>Sin Riesgo</v>
      </c>
      <c r="T89" s="23"/>
      <c r="U89" s="23"/>
      <c r="V89" s="23"/>
      <c r="W89" s="23"/>
    </row>
    <row r="90" spans="1:23" ht="36" customHeight="1" x14ac:dyDescent="0.2">
      <c r="A90" s="12" t="s">
        <v>44</v>
      </c>
      <c r="B90" s="12" t="s">
        <v>167</v>
      </c>
      <c r="C90" s="10" t="s">
        <v>168</v>
      </c>
      <c r="D90" s="18">
        <v>1458</v>
      </c>
      <c r="E90" s="14">
        <v>0</v>
      </c>
      <c r="F90" s="14">
        <v>0</v>
      </c>
      <c r="G90" s="14">
        <v>0</v>
      </c>
      <c r="H90" s="14">
        <v>1.18</v>
      </c>
      <c r="I90" s="14">
        <v>0</v>
      </c>
      <c r="J90" s="14">
        <v>0</v>
      </c>
      <c r="K90" s="14">
        <v>0</v>
      </c>
      <c r="L90" s="14">
        <v>0</v>
      </c>
      <c r="M90" s="14">
        <v>8.85</v>
      </c>
      <c r="N90" s="14">
        <v>0</v>
      </c>
      <c r="O90" s="14">
        <v>0</v>
      </c>
      <c r="P90" s="14">
        <v>0</v>
      </c>
      <c r="Q90" s="15">
        <v>0.84</v>
      </c>
      <c r="R90" s="16" t="str">
        <f t="shared" si="12"/>
        <v>SI</v>
      </c>
      <c r="S90" s="16" t="str">
        <f t="shared" si="13"/>
        <v>Sin Riesgo</v>
      </c>
      <c r="T90" s="23"/>
      <c r="U90" s="23"/>
      <c r="V90" s="23"/>
      <c r="W90" s="23"/>
    </row>
    <row r="91" spans="1:23" ht="36" customHeight="1" x14ac:dyDescent="0.2">
      <c r="A91" s="12" t="s">
        <v>13</v>
      </c>
      <c r="B91" s="12" t="s">
        <v>169</v>
      </c>
      <c r="C91" s="10" t="s">
        <v>79</v>
      </c>
      <c r="D91" s="18">
        <v>93483</v>
      </c>
      <c r="E91" s="29">
        <v>0</v>
      </c>
      <c r="F91" s="29">
        <v>0</v>
      </c>
      <c r="G91" s="29">
        <v>2.9</v>
      </c>
      <c r="H91" s="29">
        <v>0.65</v>
      </c>
      <c r="I91" s="29">
        <v>0</v>
      </c>
      <c r="J91" s="29">
        <v>0</v>
      </c>
      <c r="K91" s="29">
        <v>0</v>
      </c>
      <c r="L91" s="29">
        <v>0</v>
      </c>
      <c r="M91" s="29">
        <v>1.1499999999999999</v>
      </c>
      <c r="N91" s="29">
        <v>1.04</v>
      </c>
      <c r="O91" s="29">
        <v>1.04</v>
      </c>
      <c r="P91" s="29">
        <v>0</v>
      </c>
      <c r="Q91" s="30">
        <v>0.56000000000000005</v>
      </c>
      <c r="R91" s="16" t="str">
        <f t="shared" si="12"/>
        <v>SI</v>
      </c>
      <c r="S91" s="16" t="str">
        <f t="shared" si="13"/>
        <v>Sin Riesgo</v>
      </c>
      <c r="T91" s="23"/>
      <c r="U91" s="23"/>
      <c r="V91" s="23"/>
      <c r="W91" s="23"/>
    </row>
    <row r="92" spans="1:23" ht="36" customHeight="1" x14ac:dyDescent="0.2">
      <c r="A92" s="12" t="s">
        <v>27</v>
      </c>
      <c r="B92" s="12" t="s">
        <v>170</v>
      </c>
      <c r="C92" s="10" t="s">
        <v>171</v>
      </c>
      <c r="D92" s="18">
        <v>3035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5">
        <v>0</v>
      </c>
      <c r="R92" s="16" t="str">
        <f t="shared" si="12"/>
        <v>SI</v>
      </c>
      <c r="S92" s="16" t="str">
        <f t="shared" si="13"/>
        <v>Sin Riesgo</v>
      </c>
      <c r="T92" s="23"/>
      <c r="U92" s="23"/>
      <c r="V92" s="23"/>
      <c r="W92" s="23"/>
    </row>
    <row r="93" spans="1:23" ht="36" customHeight="1" x14ac:dyDescent="0.2">
      <c r="A93" s="12" t="s">
        <v>27</v>
      </c>
      <c r="B93" s="12" t="s">
        <v>170</v>
      </c>
      <c r="C93" s="10" t="s">
        <v>172</v>
      </c>
      <c r="D93" s="18">
        <v>88</v>
      </c>
      <c r="E93" s="26">
        <v>70.97</v>
      </c>
      <c r="F93" s="26">
        <v>70.97</v>
      </c>
      <c r="G93" s="26">
        <v>70.97</v>
      </c>
      <c r="H93" s="26">
        <v>70.97</v>
      </c>
      <c r="I93" s="26">
        <v>70.97</v>
      </c>
      <c r="J93" s="26">
        <v>70.97</v>
      </c>
      <c r="K93" s="26">
        <v>70.97</v>
      </c>
      <c r="L93" s="26">
        <v>65.09</v>
      </c>
      <c r="M93" s="26">
        <v>70.97</v>
      </c>
      <c r="N93" s="26">
        <v>70.97</v>
      </c>
      <c r="O93" s="26">
        <v>70.97</v>
      </c>
      <c r="P93" s="26">
        <v>70.97</v>
      </c>
      <c r="Q93" s="43">
        <v>70.48</v>
      </c>
      <c r="R93" s="16" t="str">
        <f t="shared" si="12"/>
        <v>NO</v>
      </c>
      <c r="S93" s="16" t="str">
        <f t="shared" si="13"/>
        <v>Alto</v>
      </c>
      <c r="T93" s="23"/>
      <c r="U93" s="23"/>
      <c r="V93" s="23"/>
      <c r="W93" s="23"/>
    </row>
    <row r="94" spans="1:23" ht="36" customHeight="1" x14ac:dyDescent="0.2">
      <c r="A94" s="12" t="s">
        <v>44</v>
      </c>
      <c r="B94" s="12" t="s">
        <v>173</v>
      </c>
      <c r="C94" s="10" t="s">
        <v>174</v>
      </c>
      <c r="D94" s="18">
        <v>4045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5">
        <v>0</v>
      </c>
      <c r="R94" s="16" t="str">
        <f t="shared" si="12"/>
        <v>SI</v>
      </c>
      <c r="S94" s="16" t="str">
        <f t="shared" si="13"/>
        <v>Sin Riesgo</v>
      </c>
      <c r="T94" s="23"/>
      <c r="U94" s="23"/>
      <c r="V94" s="23"/>
      <c r="W94" s="23"/>
    </row>
    <row r="95" spans="1:23" ht="36" customHeight="1" x14ac:dyDescent="0.2">
      <c r="A95" s="12" t="s">
        <v>44</v>
      </c>
      <c r="B95" s="12" t="s">
        <v>175</v>
      </c>
      <c r="C95" s="10" t="s">
        <v>176</v>
      </c>
      <c r="D95" s="18">
        <v>3600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5">
        <v>0</v>
      </c>
      <c r="R95" s="16" t="str">
        <f t="shared" si="12"/>
        <v>SI</v>
      </c>
      <c r="S95" s="16" t="str">
        <f t="shared" si="13"/>
        <v>Sin Riesgo</v>
      </c>
      <c r="T95" s="23"/>
      <c r="U95" s="23"/>
      <c r="V95" s="23"/>
      <c r="W95" s="23"/>
    </row>
    <row r="96" spans="1:23" ht="36" customHeight="1" x14ac:dyDescent="0.2">
      <c r="A96" s="12" t="s">
        <v>41</v>
      </c>
      <c r="B96" s="12" t="s">
        <v>177</v>
      </c>
      <c r="C96" s="10" t="s">
        <v>178</v>
      </c>
      <c r="D96" s="18">
        <v>17930</v>
      </c>
      <c r="E96" s="14"/>
      <c r="F96" s="14"/>
      <c r="G96" s="14"/>
      <c r="H96" s="14">
        <v>0</v>
      </c>
      <c r="I96" s="14"/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5">
        <v>0</v>
      </c>
      <c r="R96" s="16" t="str">
        <f t="shared" si="12"/>
        <v>SI</v>
      </c>
      <c r="S96" s="16" t="str">
        <f t="shared" si="13"/>
        <v>Sin Riesgo</v>
      </c>
      <c r="T96" s="23"/>
      <c r="U96" s="23"/>
      <c r="V96" s="23"/>
      <c r="W96" s="23"/>
    </row>
    <row r="97" spans="1:23" ht="36" customHeight="1" x14ac:dyDescent="0.2">
      <c r="A97" s="12" t="s">
        <v>41</v>
      </c>
      <c r="B97" s="12" t="s">
        <v>177</v>
      </c>
      <c r="C97" s="10" t="s">
        <v>179</v>
      </c>
      <c r="D97" s="18">
        <v>2552</v>
      </c>
      <c r="E97" s="14"/>
      <c r="F97" s="14"/>
      <c r="G97" s="14"/>
      <c r="H97" s="14">
        <v>0</v>
      </c>
      <c r="I97" s="14"/>
      <c r="J97" s="14"/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5">
        <v>0</v>
      </c>
      <c r="R97" s="16" t="str">
        <f t="shared" si="12"/>
        <v>SI</v>
      </c>
      <c r="S97" s="16" t="str">
        <f t="shared" si="13"/>
        <v>Sin Riesgo</v>
      </c>
      <c r="T97" s="23"/>
      <c r="U97" s="23"/>
      <c r="V97" s="23"/>
      <c r="W97" s="23"/>
    </row>
    <row r="98" spans="1:23" ht="36" customHeight="1" x14ac:dyDescent="0.2">
      <c r="A98" s="12" t="s">
        <v>41</v>
      </c>
      <c r="B98" s="12" t="s">
        <v>177</v>
      </c>
      <c r="C98" s="10" t="s">
        <v>180</v>
      </c>
      <c r="D98" s="18">
        <v>5279</v>
      </c>
      <c r="E98" s="14"/>
      <c r="F98" s="14"/>
      <c r="G98" s="14"/>
      <c r="H98" s="14">
        <v>0</v>
      </c>
      <c r="I98" s="14"/>
      <c r="J98" s="14"/>
      <c r="K98" s="14">
        <v>0</v>
      </c>
      <c r="L98" s="14">
        <v>0</v>
      </c>
      <c r="M98" s="14"/>
      <c r="N98" s="14">
        <v>0</v>
      </c>
      <c r="O98" s="14">
        <v>0</v>
      </c>
      <c r="P98" s="14">
        <v>0</v>
      </c>
      <c r="Q98" s="15">
        <v>0</v>
      </c>
      <c r="R98" s="16" t="str">
        <f t="shared" si="12"/>
        <v>SI</v>
      </c>
      <c r="S98" s="16" t="str">
        <f t="shared" si="13"/>
        <v>Sin Riesgo</v>
      </c>
      <c r="T98" s="23"/>
      <c r="U98" s="23"/>
      <c r="V98" s="23"/>
      <c r="W98" s="23"/>
    </row>
    <row r="99" spans="1:23" ht="36" customHeight="1" x14ac:dyDescent="0.2">
      <c r="A99" s="12" t="s">
        <v>13</v>
      </c>
      <c r="B99" s="12" t="s">
        <v>181</v>
      </c>
      <c r="C99" s="61" t="s">
        <v>79</v>
      </c>
      <c r="D99" s="18">
        <v>24621</v>
      </c>
      <c r="E99" s="14">
        <v>0</v>
      </c>
      <c r="F99" s="14">
        <v>0</v>
      </c>
      <c r="G99" s="14">
        <v>0</v>
      </c>
      <c r="H99" s="14"/>
      <c r="I99" s="14"/>
      <c r="J99" s="14">
        <v>0</v>
      </c>
      <c r="K99" s="14">
        <v>0</v>
      </c>
      <c r="L99" s="14">
        <v>0</v>
      </c>
      <c r="M99" s="14">
        <v>0</v>
      </c>
      <c r="N99" s="14">
        <v>0.68</v>
      </c>
      <c r="O99" s="14">
        <v>0</v>
      </c>
      <c r="P99" s="14">
        <v>0</v>
      </c>
      <c r="Q99" s="15">
        <v>6.7000000000000004E-2</v>
      </c>
      <c r="R99" s="16" t="str">
        <f t="shared" si="12"/>
        <v>SI</v>
      </c>
      <c r="S99" s="16" t="str">
        <f t="shared" si="13"/>
        <v>Sin Riesgo</v>
      </c>
      <c r="T99" s="23"/>
      <c r="U99" s="23"/>
      <c r="V99" s="23"/>
      <c r="W99" s="23"/>
    </row>
    <row r="100" spans="1:23" ht="36" customHeight="1" x14ac:dyDescent="0.2">
      <c r="A100" s="12" t="s">
        <v>13</v>
      </c>
      <c r="B100" s="12" t="s">
        <v>181</v>
      </c>
      <c r="C100" s="61" t="s">
        <v>321</v>
      </c>
      <c r="D100" s="18">
        <v>400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16.850000000000001</v>
      </c>
      <c r="L100" s="14">
        <v>16.850000000000001</v>
      </c>
      <c r="M100" s="14">
        <v>0</v>
      </c>
      <c r="N100" s="14">
        <v>0</v>
      </c>
      <c r="O100" s="14">
        <v>0</v>
      </c>
      <c r="P100" s="14">
        <v>0</v>
      </c>
      <c r="Q100" s="15">
        <v>2.8083333333333336</v>
      </c>
      <c r="R100" s="16" t="str">
        <f t="shared" si="12"/>
        <v>SI</v>
      </c>
      <c r="S100" s="16" t="str">
        <f t="shared" si="13"/>
        <v>Sin Riesgo</v>
      </c>
      <c r="T100" s="23"/>
      <c r="U100" s="23"/>
      <c r="V100" s="23"/>
      <c r="W100" s="23"/>
    </row>
    <row r="101" spans="1:23" ht="36" customHeight="1" x14ac:dyDescent="0.2">
      <c r="A101" s="12" t="s">
        <v>13</v>
      </c>
      <c r="B101" s="12" t="s">
        <v>181</v>
      </c>
      <c r="C101" s="61" t="s">
        <v>323</v>
      </c>
      <c r="D101" s="18">
        <v>232</v>
      </c>
      <c r="E101" s="14">
        <v>0</v>
      </c>
      <c r="F101" s="14">
        <v>0</v>
      </c>
      <c r="G101" s="14">
        <v>0</v>
      </c>
      <c r="H101" s="14"/>
      <c r="I101" s="14"/>
      <c r="J101" s="14">
        <v>0</v>
      </c>
      <c r="K101" s="14">
        <v>0</v>
      </c>
      <c r="L101" s="14">
        <v>0</v>
      </c>
      <c r="M101" s="14">
        <v>17.399999999999999</v>
      </c>
      <c r="N101" s="14">
        <v>0</v>
      </c>
      <c r="O101" s="14">
        <v>17</v>
      </c>
      <c r="P101" s="14">
        <v>0</v>
      </c>
      <c r="Q101" s="15">
        <v>3.44</v>
      </c>
      <c r="R101" s="16" t="str">
        <f t="shared" si="12"/>
        <v>SI</v>
      </c>
      <c r="S101" s="16" t="str">
        <f t="shared" si="13"/>
        <v>Sin Riesgo</v>
      </c>
      <c r="T101" s="23"/>
      <c r="U101" s="23"/>
      <c r="V101" s="23"/>
      <c r="W101" s="23"/>
    </row>
    <row r="102" spans="1:23" ht="36" customHeight="1" x14ac:dyDescent="0.2">
      <c r="A102" s="12" t="s">
        <v>13</v>
      </c>
      <c r="B102" s="12" t="s">
        <v>181</v>
      </c>
      <c r="C102" s="61" t="s">
        <v>324</v>
      </c>
      <c r="D102" s="18">
        <v>771</v>
      </c>
      <c r="E102" s="14">
        <v>0</v>
      </c>
      <c r="F102" s="14">
        <v>0</v>
      </c>
      <c r="G102" s="14">
        <v>0</v>
      </c>
      <c r="H102" s="14"/>
      <c r="I102" s="14"/>
      <c r="J102" s="14">
        <v>0</v>
      </c>
      <c r="K102" s="14">
        <v>0</v>
      </c>
      <c r="L102" s="14">
        <v>0</v>
      </c>
      <c r="M102" s="14">
        <v>0</v>
      </c>
      <c r="N102" s="14">
        <v>1</v>
      </c>
      <c r="O102" s="14">
        <v>0</v>
      </c>
      <c r="P102" s="14">
        <v>0</v>
      </c>
      <c r="Q102" s="15">
        <v>0.1</v>
      </c>
      <c r="R102" s="16" t="str">
        <f t="shared" si="12"/>
        <v>SI</v>
      </c>
      <c r="S102" s="16" t="str">
        <f t="shared" si="13"/>
        <v>Sin Riesgo</v>
      </c>
      <c r="T102" s="23"/>
      <c r="U102" s="23"/>
      <c r="V102" s="23"/>
      <c r="W102" s="23"/>
    </row>
    <row r="103" spans="1:23" ht="36" customHeight="1" x14ac:dyDescent="0.2">
      <c r="A103" s="12" t="s">
        <v>13</v>
      </c>
      <c r="B103" s="12" t="s">
        <v>181</v>
      </c>
      <c r="C103" s="61" t="s">
        <v>325</v>
      </c>
      <c r="D103" s="18">
        <v>1604</v>
      </c>
      <c r="E103" s="14">
        <v>0</v>
      </c>
      <c r="F103" s="14">
        <v>0</v>
      </c>
      <c r="G103" s="14">
        <v>0</v>
      </c>
      <c r="H103" s="14"/>
      <c r="I103" s="14"/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17.399999999999999</v>
      </c>
      <c r="P103" s="14">
        <v>0</v>
      </c>
      <c r="Q103" s="15">
        <v>1.7399999999999998</v>
      </c>
      <c r="R103" s="16" t="str">
        <f t="shared" si="12"/>
        <v>SI</v>
      </c>
      <c r="S103" s="16" t="str">
        <f t="shared" si="13"/>
        <v>Sin Riesgo</v>
      </c>
      <c r="T103" s="23"/>
      <c r="U103" s="23"/>
      <c r="V103" s="23"/>
      <c r="W103" s="23"/>
    </row>
    <row r="104" spans="1:23" ht="36" customHeight="1" x14ac:dyDescent="0.2">
      <c r="A104" s="12" t="s">
        <v>13</v>
      </c>
      <c r="B104" s="12" t="s">
        <v>181</v>
      </c>
      <c r="C104" s="61" t="s">
        <v>326</v>
      </c>
      <c r="D104" s="18">
        <v>229</v>
      </c>
      <c r="E104" s="14">
        <v>0</v>
      </c>
      <c r="F104" s="14">
        <v>0</v>
      </c>
      <c r="G104" s="14">
        <v>0</v>
      </c>
      <c r="H104" s="14"/>
      <c r="I104" s="14"/>
      <c r="J104" s="14">
        <v>0</v>
      </c>
      <c r="K104" s="14">
        <v>0</v>
      </c>
      <c r="L104" s="14">
        <v>0</v>
      </c>
      <c r="M104" s="14">
        <v>17.399999999999999</v>
      </c>
      <c r="N104" s="14">
        <v>0</v>
      </c>
      <c r="O104" s="14">
        <v>17.399999999999999</v>
      </c>
      <c r="P104" s="14">
        <v>0</v>
      </c>
      <c r="Q104" s="15">
        <v>3.4799999999999995</v>
      </c>
      <c r="R104" s="16" t="str">
        <f t="shared" si="12"/>
        <v>SI</v>
      </c>
      <c r="S104" s="16" t="str">
        <f t="shared" si="13"/>
        <v>Sin Riesgo</v>
      </c>
      <c r="T104" s="23"/>
      <c r="U104" s="23"/>
      <c r="V104" s="23"/>
      <c r="W104" s="23"/>
    </row>
    <row r="105" spans="1:23" ht="36" customHeight="1" x14ac:dyDescent="0.2">
      <c r="A105" s="12" t="s">
        <v>13</v>
      </c>
      <c r="B105" s="12" t="s">
        <v>181</v>
      </c>
      <c r="C105" s="61" t="s">
        <v>327</v>
      </c>
      <c r="D105" s="18">
        <v>2800</v>
      </c>
      <c r="E105" s="14">
        <v>0</v>
      </c>
      <c r="F105" s="14">
        <v>0</v>
      </c>
      <c r="G105" s="14">
        <v>0</v>
      </c>
      <c r="H105" s="14"/>
      <c r="I105" s="14"/>
      <c r="J105" s="14">
        <v>41.9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5">
        <v>4.1899999999999995</v>
      </c>
      <c r="R105" s="16" t="str">
        <f t="shared" si="12"/>
        <v>SI</v>
      </c>
      <c r="S105" s="16" t="str">
        <f t="shared" si="13"/>
        <v>Sin Riesgo</v>
      </c>
      <c r="T105" s="23"/>
      <c r="U105" s="23"/>
      <c r="V105" s="23"/>
      <c r="W105" s="23"/>
    </row>
    <row r="106" spans="1:23" ht="36" customHeight="1" x14ac:dyDescent="0.2">
      <c r="A106" s="12" t="s">
        <v>13</v>
      </c>
      <c r="B106" s="12" t="s">
        <v>181</v>
      </c>
      <c r="C106" s="61" t="s">
        <v>322</v>
      </c>
      <c r="D106" s="18">
        <v>1250</v>
      </c>
      <c r="E106" s="14"/>
      <c r="F106" s="14"/>
      <c r="G106" s="14"/>
      <c r="H106" s="14"/>
      <c r="I106" s="14"/>
      <c r="J106" s="14">
        <v>0</v>
      </c>
      <c r="K106" s="14">
        <v>0</v>
      </c>
      <c r="L106" s="14">
        <v>0</v>
      </c>
      <c r="M106" s="14">
        <v>17.399999999999999</v>
      </c>
      <c r="N106" s="14">
        <v>0</v>
      </c>
      <c r="O106" s="14">
        <v>17.399999999999999</v>
      </c>
      <c r="P106" s="14">
        <v>34.799999999999997</v>
      </c>
      <c r="Q106" s="15">
        <v>9.9428571428571413</v>
      </c>
      <c r="R106" s="16" t="str">
        <f t="shared" si="12"/>
        <v>NO</v>
      </c>
      <c r="S106" s="16" t="str">
        <f t="shared" si="13"/>
        <v>Bajo</v>
      </c>
      <c r="T106" s="23"/>
      <c r="U106" s="23"/>
      <c r="V106" s="23"/>
      <c r="W106" s="23"/>
    </row>
    <row r="107" spans="1:23" ht="36" customHeight="1" x14ac:dyDescent="0.2">
      <c r="A107" s="12" t="s">
        <v>44</v>
      </c>
      <c r="B107" s="12" t="s">
        <v>182</v>
      </c>
      <c r="C107" s="10" t="s">
        <v>183</v>
      </c>
      <c r="D107" s="18">
        <v>240</v>
      </c>
      <c r="E107" s="34">
        <v>8.1999999999999993</v>
      </c>
      <c r="F107" s="34">
        <v>12.5</v>
      </c>
      <c r="G107" s="34">
        <v>0</v>
      </c>
      <c r="H107" s="34">
        <v>0</v>
      </c>
      <c r="I107" s="34">
        <v>8.85</v>
      </c>
      <c r="J107" s="34">
        <v>0</v>
      </c>
      <c r="K107" s="34">
        <v>0</v>
      </c>
      <c r="L107" s="34">
        <v>0</v>
      </c>
      <c r="M107" s="34">
        <v>6.45</v>
      </c>
      <c r="N107" s="34">
        <v>0</v>
      </c>
      <c r="O107" s="34">
        <v>0</v>
      </c>
      <c r="P107" s="34">
        <v>0</v>
      </c>
      <c r="Q107" s="44">
        <v>3</v>
      </c>
      <c r="R107" s="16" t="str">
        <f t="shared" si="12"/>
        <v>SI</v>
      </c>
      <c r="S107" s="16" t="str">
        <f t="shared" si="13"/>
        <v>Sin Riesgo</v>
      </c>
      <c r="T107" s="23"/>
      <c r="U107" s="23"/>
      <c r="V107" s="23"/>
      <c r="W107" s="23"/>
    </row>
    <row r="108" spans="1:23" ht="36" customHeight="1" x14ac:dyDescent="0.2">
      <c r="A108" s="12" t="s">
        <v>44</v>
      </c>
      <c r="B108" s="12" t="s">
        <v>182</v>
      </c>
      <c r="C108" s="10" t="s">
        <v>184</v>
      </c>
      <c r="D108" s="18">
        <v>3123</v>
      </c>
      <c r="E108" s="14">
        <v>21.86</v>
      </c>
      <c r="F108" s="14">
        <v>0</v>
      </c>
      <c r="G108" s="14">
        <v>6.58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5">
        <v>2.37</v>
      </c>
      <c r="R108" s="16" t="str">
        <f t="shared" si="12"/>
        <v>SI</v>
      </c>
      <c r="S108" s="16" t="str">
        <f t="shared" si="13"/>
        <v>Sin Riesgo</v>
      </c>
      <c r="T108" s="23"/>
      <c r="U108" s="23"/>
      <c r="V108" s="23"/>
      <c r="W108" s="23"/>
    </row>
    <row r="109" spans="1:23" ht="36" customHeight="1" x14ac:dyDescent="0.2">
      <c r="A109" s="12" t="s">
        <v>41</v>
      </c>
      <c r="B109" s="12" t="s">
        <v>185</v>
      </c>
      <c r="C109" s="10" t="s">
        <v>186</v>
      </c>
      <c r="D109" s="18">
        <v>4541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5">
        <v>0</v>
      </c>
      <c r="R109" s="16" t="str">
        <f t="shared" si="12"/>
        <v>SI</v>
      </c>
      <c r="S109" s="16" t="str">
        <f t="shared" si="13"/>
        <v>Sin Riesgo</v>
      </c>
      <c r="T109" s="23"/>
      <c r="U109" s="23"/>
      <c r="V109" s="23"/>
      <c r="W109" s="23"/>
    </row>
    <row r="110" spans="1:23" ht="36" customHeight="1" x14ac:dyDescent="0.2">
      <c r="A110" s="12" t="s">
        <v>40</v>
      </c>
      <c r="B110" s="12" t="s">
        <v>187</v>
      </c>
      <c r="C110" s="10" t="s">
        <v>188</v>
      </c>
      <c r="D110" s="18">
        <v>822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5">
        <v>0</v>
      </c>
      <c r="R110" s="16" t="str">
        <f t="shared" si="12"/>
        <v>SI</v>
      </c>
      <c r="S110" s="16" t="str">
        <f t="shared" si="13"/>
        <v>Sin Riesgo</v>
      </c>
      <c r="T110" s="23"/>
      <c r="U110" s="23"/>
      <c r="V110" s="23"/>
      <c r="W110" s="23"/>
    </row>
    <row r="111" spans="1:23" ht="36" customHeight="1" x14ac:dyDescent="0.2">
      <c r="A111" s="12" t="s">
        <v>49</v>
      </c>
      <c r="B111" s="12" t="s">
        <v>189</v>
      </c>
      <c r="C111" s="10" t="s">
        <v>190</v>
      </c>
      <c r="D111" s="18">
        <v>1487</v>
      </c>
      <c r="E111" s="29">
        <v>0</v>
      </c>
      <c r="F111" s="29">
        <v>0</v>
      </c>
      <c r="G111" s="29">
        <v>6.45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30">
        <v>0.54</v>
      </c>
      <c r="R111" s="16" t="str">
        <f t="shared" si="12"/>
        <v>SI</v>
      </c>
      <c r="S111" s="16" t="str">
        <f t="shared" si="13"/>
        <v>Sin Riesgo</v>
      </c>
      <c r="T111" s="23"/>
      <c r="U111" s="23"/>
      <c r="V111" s="23"/>
      <c r="W111" s="23"/>
    </row>
    <row r="112" spans="1:23" ht="36" customHeight="1" x14ac:dyDescent="0.2">
      <c r="A112" s="12" t="s">
        <v>41</v>
      </c>
      <c r="B112" s="12" t="s">
        <v>191</v>
      </c>
      <c r="C112" s="10" t="s">
        <v>192</v>
      </c>
      <c r="D112" s="18">
        <v>16621</v>
      </c>
      <c r="E112" s="14"/>
      <c r="F112" s="14"/>
      <c r="G112" s="14"/>
      <c r="H112" s="14">
        <v>0</v>
      </c>
      <c r="I112" s="14">
        <v>0</v>
      </c>
      <c r="J112" s="14">
        <v>0</v>
      </c>
      <c r="K112" s="14">
        <v>1.55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5">
        <v>0.17</v>
      </c>
      <c r="R112" s="16" t="str">
        <f t="shared" si="12"/>
        <v>SI</v>
      </c>
      <c r="S112" s="16" t="str">
        <f t="shared" si="13"/>
        <v>Sin Riesgo</v>
      </c>
      <c r="T112" s="23"/>
      <c r="U112" s="23"/>
      <c r="V112" s="23"/>
      <c r="W112" s="23"/>
    </row>
    <row r="113" spans="1:23" ht="36" customHeight="1" x14ac:dyDescent="0.2">
      <c r="A113" s="12" t="s">
        <v>41</v>
      </c>
      <c r="B113" s="12" t="s">
        <v>191</v>
      </c>
      <c r="C113" s="10" t="s">
        <v>193</v>
      </c>
      <c r="D113" s="18">
        <v>1460</v>
      </c>
      <c r="E113" s="29"/>
      <c r="F113" s="29"/>
      <c r="G113" s="29"/>
      <c r="H113" s="29">
        <v>0</v>
      </c>
      <c r="I113" s="29">
        <v>1.18</v>
      </c>
      <c r="J113" s="29">
        <v>0</v>
      </c>
      <c r="K113" s="29">
        <v>2.58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44">
        <v>0.42</v>
      </c>
      <c r="R113" s="16" t="str">
        <f t="shared" si="12"/>
        <v>SI</v>
      </c>
      <c r="S113" s="16" t="str">
        <f t="shared" si="13"/>
        <v>Sin Riesgo</v>
      </c>
      <c r="T113" s="23"/>
      <c r="U113" s="23"/>
      <c r="V113" s="23"/>
      <c r="W113" s="23"/>
    </row>
    <row r="114" spans="1:23" ht="36" customHeight="1" x14ac:dyDescent="0.2">
      <c r="A114" s="12" t="s">
        <v>13</v>
      </c>
      <c r="B114" s="62" t="s">
        <v>332</v>
      </c>
      <c r="C114" s="10" t="s">
        <v>194</v>
      </c>
      <c r="D114" s="18">
        <v>71393</v>
      </c>
      <c r="E114" s="34">
        <v>0.64510000000000001</v>
      </c>
      <c r="F114" s="34">
        <v>0</v>
      </c>
      <c r="G114" s="34">
        <v>0</v>
      </c>
      <c r="H114" s="34">
        <v>0</v>
      </c>
      <c r="I114" s="34">
        <v>0.33</v>
      </c>
      <c r="J114" s="34">
        <v>0</v>
      </c>
      <c r="K114" s="34">
        <v>0</v>
      </c>
      <c r="L114" s="34">
        <v>1.19</v>
      </c>
      <c r="M114" s="34">
        <v>0</v>
      </c>
      <c r="N114" s="34">
        <v>6.21</v>
      </c>
      <c r="O114" s="34">
        <v>1.86</v>
      </c>
      <c r="P114" s="34">
        <v>0</v>
      </c>
      <c r="Q114" s="45">
        <v>0.8</v>
      </c>
      <c r="R114" s="16" t="str">
        <f t="shared" si="12"/>
        <v>SI</v>
      </c>
      <c r="S114" s="16" t="str">
        <f t="shared" si="13"/>
        <v>Sin Riesgo</v>
      </c>
      <c r="T114" s="23"/>
      <c r="U114" s="23"/>
      <c r="V114" s="23"/>
      <c r="W114" s="23"/>
    </row>
    <row r="115" spans="1:23" ht="36" customHeight="1" x14ac:dyDescent="0.2">
      <c r="A115" s="12" t="s">
        <v>13</v>
      </c>
      <c r="B115" s="62" t="s">
        <v>332</v>
      </c>
      <c r="C115" s="10" t="s">
        <v>195</v>
      </c>
      <c r="D115" s="18">
        <v>684</v>
      </c>
      <c r="E115" s="34">
        <v>27.1</v>
      </c>
      <c r="F115" s="34">
        <v>0</v>
      </c>
      <c r="G115" s="34">
        <v>0</v>
      </c>
      <c r="H115" s="34">
        <v>0</v>
      </c>
      <c r="I115" s="34">
        <v>0</v>
      </c>
      <c r="J115" s="34">
        <v>9.68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45">
        <v>3.06</v>
      </c>
      <c r="R115" s="16" t="str">
        <f>IF(Q115&lt;=5,"SI","NO")</f>
        <v>SI</v>
      </c>
      <c r="S115" s="16" t="str">
        <f t="shared" si="13"/>
        <v>Sin Riesgo</v>
      </c>
      <c r="T115" s="23"/>
      <c r="U115" s="23"/>
      <c r="V115" s="23"/>
      <c r="W115" s="23"/>
    </row>
    <row r="116" spans="1:23" ht="36" customHeight="1" x14ac:dyDescent="0.2">
      <c r="A116" s="12" t="s">
        <v>13</v>
      </c>
      <c r="B116" s="62" t="s">
        <v>332</v>
      </c>
      <c r="C116" s="10" t="s">
        <v>196</v>
      </c>
      <c r="D116" s="18">
        <v>687249</v>
      </c>
      <c r="E116" s="34">
        <v>0.24970000000000001</v>
      </c>
      <c r="F116" s="34">
        <v>7.2499999999999995E-2</v>
      </c>
      <c r="G116" s="34">
        <v>1.0900000000000001</v>
      </c>
      <c r="H116" s="34">
        <v>1.4681999999999999</v>
      </c>
      <c r="I116" s="34">
        <v>1.8137000000000001</v>
      </c>
      <c r="J116" s="34">
        <v>1.5353000000000001</v>
      </c>
      <c r="K116" s="34">
        <v>0.75670000000000004</v>
      </c>
      <c r="L116" s="34">
        <v>0.1656</v>
      </c>
      <c r="M116" s="34">
        <v>0.39929999999999999</v>
      </c>
      <c r="N116" s="34">
        <v>2.6086999999999998</v>
      </c>
      <c r="O116" s="34">
        <v>1.5972</v>
      </c>
      <c r="P116" s="34">
        <v>1.4136</v>
      </c>
      <c r="Q116" s="45">
        <v>1.1000000000000001</v>
      </c>
      <c r="R116" s="16" t="str">
        <f t="shared" si="12"/>
        <v>SI</v>
      </c>
      <c r="S116" s="16" t="str">
        <f t="shared" si="13"/>
        <v>Sin Riesgo</v>
      </c>
      <c r="T116" s="23"/>
      <c r="U116" s="23"/>
      <c r="V116" s="23"/>
      <c r="W116" s="23"/>
    </row>
    <row r="117" spans="1:23" ht="36" customHeight="1" x14ac:dyDescent="0.2">
      <c r="A117" s="12" t="s">
        <v>13</v>
      </c>
      <c r="B117" s="62" t="s">
        <v>332</v>
      </c>
      <c r="C117" s="10" t="s">
        <v>197</v>
      </c>
      <c r="D117" s="18">
        <v>6741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1.67</v>
      </c>
      <c r="K117" s="46">
        <v>0</v>
      </c>
      <c r="L117" s="46">
        <v>0</v>
      </c>
      <c r="M117" s="46">
        <v>0</v>
      </c>
      <c r="N117" s="46">
        <v>1.86</v>
      </c>
      <c r="O117" s="46">
        <v>0</v>
      </c>
      <c r="P117" s="46">
        <v>0</v>
      </c>
      <c r="Q117" s="45">
        <v>0.28999999999999998</v>
      </c>
      <c r="R117" s="16" t="str">
        <f t="shared" si="12"/>
        <v>SI</v>
      </c>
      <c r="S117" s="16" t="str">
        <f t="shared" si="13"/>
        <v>Sin Riesgo</v>
      </c>
      <c r="T117" s="23"/>
      <c r="U117" s="23"/>
      <c r="V117" s="23"/>
      <c r="W117" s="23"/>
    </row>
    <row r="118" spans="1:23" ht="36" customHeight="1" x14ac:dyDescent="0.2">
      <c r="A118" s="12" t="s">
        <v>13</v>
      </c>
      <c r="B118" s="62" t="s">
        <v>332</v>
      </c>
      <c r="C118" s="10" t="s">
        <v>198</v>
      </c>
      <c r="D118" s="18">
        <v>9242</v>
      </c>
      <c r="E118" s="34">
        <v>0</v>
      </c>
      <c r="F118" s="34">
        <v>0.39</v>
      </c>
      <c r="G118" s="34">
        <v>0</v>
      </c>
      <c r="H118" s="34">
        <v>3.33</v>
      </c>
      <c r="I118" s="46">
        <v>0</v>
      </c>
      <c r="J118" s="34">
        <v>0.75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5">
        <v>0.37</v>
      </c>
      <c r="R118" s="16" t="str">
        <f t="shared" si="12"/>
        <v>SI</v>
      </c>
      <c r="S118" s="16" t="str">
        <f t="shared" si="13"/>
        <v>Sin Riesgo</v>
      </c>
      <c r="T118" s="23"/>
      <c r="U118" s="23"/>
      <c r="V118" s="23"/>
      <c r="W118" s="23"/>
    </row>
    <row r="119" spans="1:23" ht="36" customHeight="1" x14ac:dyDescent="0.2">
      <c r="A119" s="12" t="s">
        <v>13</v>
      </c>
      <c r="B119" s="62" t="s">
        <v>332</v>
      </c>
      <c r="C119" s="10" t="s">
        <v>199</v>
      </c>
      <c r="D119" s="18">
        <v>523819</v>
      </c>
      <c r="E119" s="34">
        <v>0</v>
      </c>
      <c r="F119" s="34">
        <v>1.75</v>
      </c>
      <c r="G119" s="34">
        <v>0.62</v>
      </c>
      <c r="H119" s="34">
        <v>0.67</v>
      </c>
      <c r="I119" s="34">
        <v>1.8</v>
      </c>
      <c r="J119" s="34">
        <v>0.73</v>
      </c>
      <c r="K119" s="34">
        <v>2.48</v>
      </c>
      <c r="L119" s="34">
        <v>1.1599999999999999</v>
      </c>
      <c r="M119" s="34">
        <v>1.78</v>
      </c>
      <c r="N119" s="34">
        <v>0</v>
      </c>
      <c r="O119" s="34">
        <v>0</v>
      </c>
      <c r="P119" s="34">
        <v>1.65</v>
      </c>
      <c r="Q119" s="45">
        <v>1.05</v>
      </c>
      <c r="R119" s="16" t="str">
        <f t="shared" si="12"/>
        <v>SI</v>
      </c>
      <c r="S119" s="16" t="str">
        <f t="shared" si="13"/>
        <v>Sin Riesgo</v>
      </c>
      <c r="T119" s="23"/>
      <c r="U119" s="23"/>
      <c r="V119" s="23"/>
      <c r="W119" s="23"/>
    </row>
    <row r="120" spans="1:23" ht="36" customHeight="1" x14ac:dyDescent="0.2">
      <c r="A120" s="12" t="s">
        <v>13</v>
      </c>
      <c r="B120" s="62" t="s">
        <v>332</v>
      </c>
      <c r="C120" s="10" t="s">
        <v>200</v>
      </c>
      <c r="D120" s="18">
        <v>14064</v>
      </c>
      <c r="E120" s="47">
        <v>0</v>
      </c>
      <c r="F120" s="47">
        <v>0</v>
      </c>
      <c r="G120" s="47">
        <v>2.33</v>
      </c>
      <c r="H120" s="47">
        <v>0.67</v>
      </c>
      <c r="I120" s="47">
        <v>0</v>
      </c>
      <c r="J120" s="47">
        <v>2.66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4.66</v>
      </c>
      <c r="Q120" s="45">
        <v>0.86</v>
      </c>
      <c r="R120" s="16" t="str">
        <f t="shared" si="12"/>
        <v>SI</v>
      </c>
      <c r="S120" s="16" t="str">
        <f t="shared" si="13"/>
        <v>Sin Riesgo</v>
      </c>
      <c r="T120" s="23"/>
      <c r="U120" s="23"/>
      <c r="V120" s="23"/>
      <c r="W120" s="23"/>
    </row>
    <row r="121" spans="1:23" ht="36" customHeight="1" x14ac:dyDescent="0.2">
      <c r="A121" s="12" t="s">
        <v>13</v>
      </c>
      <c r="B121" s="62" t="s">
        <v>332</v>
      </c>
      <c r="C121" s="10" t="s">
        <v>201</v>
      </c>
      <c r="D121" s="18">
        <v>9597</v>
      </c>
      <c r="E121" s="47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0.67</v>
      </c>
      <c r="L121" s="34">
        <v>1.52</v>
      </c>
      <c r="M121" s="34">
        <v>0</v>
      </c>
      <c r="N121" s="34">
        <v>3.11</v>
      </c>
      <c r="O121" s="34">
        <v>0</v>
      </c>
      <c r="P121" s="34">
        <v>0</v>
      </c>
      <c r="Q121" s="45">
        <v>0.52</v>
      </c>
      <c r="R121" s="16" t="str">
        <f t="shared" si="12"/>
        <v>SI</v>
      </c>
      <c r="S121" s="16" t="str">
        <f t="shared" si="13"/>
        <v>Sin Riesgo</v>
      </c>
      <c r="T121" s="23"/>
      <c r="U121" s="23"/>
      <c r="V121" s="23"/>
      <c r="W121" s="23"/>
    </row>
    <row r="122" spans="1:23" ht="36" customHeight="1" x14ac:dyDescent="0.2">
      <c r="A122" s="42" t="s">
        <v>13</v>
      </c>
      <c r="B122" s="62" t="s">
        <v>332</v>
      </c>
      <c r="C122" s="61" t="s">
        <v>202</v>
      </c>
      <c r="D122" s="4">
        <v>1798</v>
      </c>
      <c r="E122" s="34">
        <v>0</v>
      </c>
      <c r="F122" s="34">
        <v>0</v>
      </c>
      <c r="G122" s="34">
        <v>0</v>
      </c>
      <c r="H122" s="34">
        <v>3.33</v>
      </c>
      <c r="I122" s="34">
        <v>1.67</v>
      </c>
      <c r="J122" s="34">
        <v>0</v>
      </c>
      <c r="K122" s="34">
        <v>0</v>
      </c>
      <c r="L122" s="34">
        <v>0</v>
      </c>
      <c r="M122" s="34">
        <v>0</v>
      </c>
      <c r="N122" s="34">
        <v>13.04</v>
      </c>
      <c r="O122" s="34">
        <v>0</v>
      </c>
      <c r="P122" s="34">
        <v>7.45</v>
      </c>
      <c r="Q122" s="45">
        <v>2.12</v>
      </c>
      <c r="R122" s="16" t="str">
        <f t="shared" si="12"/>
        <v>SI</v>
      </c>
      <c r="S122" s="16" t="str">
        <f t="shared" si="13"/>
        <v>Sin Riesgo</v>
      </c>
      <c r="T122" s="23"/>
      <c r="U122" s="23"/>
      <c r="V122" s="23"/>
      <c r="W122" s="23"/>
    </row>
    <row r="123" spans="1:23" ht="36" customHeight="1" x14ac:dyDescent="0.2">
      <c r="A123" s="12" t="s">
        <v>13</v>
      </c>
      <c r="B123" s="62" t="s">
        <v>332</v>
      </c>
      <c r="C123" s="10" t="s">
        <v>203</v>
      </c>
      <c r="D123" s="18">
        <v>196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45">
        <v>0</v>
      </c>
      <c r="R123" s="16" t="str">
        <f t="shared" si="12"/>
        <v>SI</v>
      </c>
      <c r="S123" s="16" t="str">
        <f t="shared" si="13"/>
        <v>Sin Riesgo</v>
      </c>
      <c r="T123" s="23"/>
      <c r="U123" s="23"/>
      <c r="V123" s="23"/>
      <c r="W123" s="23"/>
    </row>
    <row r="124" spans="1:23" ht="36" customHeight="1" x14ac:dyDescent="0.2">
      <c r="A124" s="12" t="s">
        <v>44</v>
      </c>
      <c r="B124" s="12" t="s">
        <v>204</v>
      </c>
      <c r="C124" s="10" t="s">
        <v>205</v>
      </c>
      <c r="D124" s="18">
        <v>915</v>
      </c>
      <c r="E124" s="29">
        <v>33.33</v>
      </c>
      <c r="F124" s="29">
        <v>41.29</v>
      </c>
      <c r="G124" s="29">
        <v>32.69</v>
      </c>
      <c r="H124" s="34">
        <v>7.66</v>
      </c>
      <c r="I124" s="29">
        <v>6.45</v>
      </c>
      <c r="J124" s="29">
        <v>7.34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40.799999999999997</v>
      </c>
      <c r="Q124" s="44">
        <v>14.13</v>
      </c>
      <c r="R124" s="16" t="str">
        <f t="shared" si="12"/>
        <v>NO</v>
      </c>
      <c r="S124" s="16" t="str">
        <f t="shared" si="13"/>
        <v>Medio</v>
      </c>
      <c r="T124" s="23"/>
      <c r="U124" s="23"/>
      <c r="V124" s="23"/>
      <c r="W124" s="23"/>
    </row>
    <row r="125" spans="1:23" ht="36" customHeight="1" x14ac:dyDescent="0.2">
      <c r="A125" s="12" t="s">
        <v>328</v>
      </c>
      <c r="B125" s="42" t="s">
        <v>206</v>
      </c>
      <c r="C125" s="10" t="s">
        <v>207</v>
      </c>
      <c r="D125" s="48">
        <v>0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23"/>
      <c r="U125" s="23"/>
      <c r="V125" s="23"/>
      <c r="W125" s="23"/>
    </row>
    <row r="126" spans="1:23" ht="36" customHeight="1" x14ac:dyDescent="0.2">
      <c r="A126" s="12" t="s">
        <v>71</v>
      </c>
      <c r="B126" s="12" t="s">
        <v>208</v>
      </c>
      <c r="C126" s="10" t="s">
        <v>72</v>
      </c>
      <c r="D126" s="18">
        <v>2032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2.37</v>
      </c>
      <c r="K126" s="14">
        <v>15.3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5">
        <v>1.47</v>
      </c>
      <c r="R126" s="16" t="str">
        <f t="shared" si="12"/>
        <v>SI</v>
      </c>
      <c r="S126" s="16" t="str">
        <f t="shared" ref="S126:S147" si="15">IF(Q126&lt;=5,"Sin Riesgo",IF(Q126 &lt;=14,"Bajo",IF(Q126&lt;=35,"Medio",IF(Q126&lt;=80,"Alto","Inviable Sanitariamente"))))</f>
        <v>Sin Riesgo</v>
      </c>
      <c r="T126" s="23"/>
      <c r="U126" s="23"/>
      <c r="V126" s="23"/>
      <c r="W126" s="23"/>
    </row>
    <row r="127" spans="1:23" ht="36" customHeight="1" x14ac:dyDescent="0.2">
      <c r="A127" s="12" t="s">
        <v>41</v>
      </c>
      <c r="B127" s="28" t="s">
        <v>209</v>
      </c>
      <c r="C127" s="10" t="s">
        <v>210</v>
      </c>
      <c r="D127" s="18">
        <v>962</v>
      </c>
      <c r="E127" s="14">
        <v>0</v>
      </c>
      <c r="F127" s="14">
        <v>0</v>
      </c>
      <c r="G127" s="14">
        <v>0</v>
      </c>
      <c r="H127" s="14">
        <v>0</v>
      </c>
      <c r="I127" s="14">
        <v>26.55</v>
      </c>
      <c r="J127" s="14">
        <v>0</v>
      </c>
      <c r="K127" s="14">
        <v>19.350000000000001</v>
      </c>
      <c r="L127" s="14">
        <v>0</v>
      </c>
      <c r="M127" s="14">
        <v>0</v>
      </c>
      <c r="N127" s="14">
        <v>0</v>
      </c>
      <c r="O127" s="14">
        <v>0</v>
      </c>
      <c r="P127" s="14">
        <v>26.55</v>
      </c>
      <c r="Q127" s="15">
        <v>6.04</v>
      </c>
      <c r="R127" s="16" t="str">
        <f t="shared" si="12"/>
        <v>NO</v>
      </c>
      <c r="S127" s="16" t="str">
        <f t="shared" si="15"/>
        <v>Bajo</v>
      </c>
      <c r="T127" s="23"/>
      <c r="U127" s="23"/>
      <c r="V127" s="23"/>
      <c r="W127" s="23"/>
    </row>
    <row r="128" spans="1:23" ht="36" customHeight="1" x14ac:dyDescent="0.2">
      <c r="A128" s="12" t="s">
        <v>41</v>
      </c>
      <c r="B128" s="28" t="s">
        <v>209</v>
      </c>
      <c r="C128" s="10" t="s">
        <v>211</v>
      </c>
      <c r="D128" s="18">
        <v>210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44">
        <v>0</v>
      </c>
      <c r="R128" s="16" t="str">
        <f t="shared" si="12"/>
        <v>SI</v>
      </c>
      <c r="S128" s="16" t="str">
        <f t="shared" si="15"/>
        <v>Sin Riesgo</v>
      </c>
      <c r="T128" s="23"/>
      <c r="U128" s="23"/>
      <c r="V128" s="23"/>
      <c r="W128" s="23"/>
    </row>
    <row r="129" spans="1:23" ht="36" customHeight="1" x14ac:dyDescent="0.2">
      <c r="A129" s="12" t="s">
        <v>46</v>
      </c>
      <c r="B129" s="12" t="s">
        <v>212</v>
      </c>
      <c r="C129" s="10" t="s">
        <v>91</v>
      </c>
      <c r="D129" s="18">
        <v>4583</v>
      </c>
      <c r="E129" s="14"/>
      <c r="F129" s="14">
        <v>0</v>
      </c>
      <c r="G129" s="14"/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5">
        <v>0</v>
      </c>
      <c r="R129" s="16" t="str">
        <f t="shared" si="12"/>
        <v>SI</v>
      </c>
      <c r="S129" s="16" t="str">
        <f t="shared" si="15"/>
        <v>Sin Riesgo</v>
      </c>
      <c r="T129" s="23"/>
      <c r="U129" s="23"/>
      <c r="V129" s="23"/>
      <c r="W129" s="23"/>
    </row>
    <row r="130" spans="1:23" ht="36" customHeight="1" x14ac:dyDescent="0.2">
      <c r="A130" s="12" t="s">
        <v>71</v>
      </c>
      <c r="B130" s="12" t="s">
        <v>213</v>
      </c>
      <c r="C130" s="10" t="s">
        <v>214</v>
      </c>
      <c r="D130" s="18">
        <v>6146</v>
      </c>
      <c r="E130" s="25">
        <v>1.18</v>
      </c>
      <c r="F130" s="25">
        <v>2.06</v>
      </c>
      <c r="G130" s="29">
        <v>0</v>
      </c>
      <c r="H130" s="25">
        <v>1.47</v>
      </c>
      <c r="I130" s="29">
        <v>0</v>
      </c>
      <c r="J130" s="25">
        <v>23.9</v>
      </c>
      <c r="K130" s="25">
        <v>10.65</v>
      </c>
      <c r="L130" s="25">
        <v>2.04</v>
      </c>
      <c r="M130" s="29">
        <v>0</v>
      </c>
      <c r="N130" s="25">
        <v>8.9600000000000009</v>
      </c>
      <c r="O130" s="25">
        <v>12.33</v>
      </c>
      <c r="P130" s="25">
        <v>7.92</v>
      </c>
      <c r="Q130" s="43">
        <v>5.88</v>
      </c>
      <c r="R130" s="16" t="str">
        <f t="shared" si="12"/>
        <v>NO</v>
      </c>
      <c r="S130" s="16" t="str">
        <f t="shared" si="15"/>
        <v>Bajo</v>
      </c>
      <c r="T130" s="23"/>
      <c r="U130" s="23"/>
      <c r="V130" s="23"/>
      <c r="W130" s="23"/>
    </row>
    <row r="131" spans="1:23" ht="36" customHeight="1" x14ac:dyDescent="0.2">
      <c r="A131" s="12" t="s">
        <v>40</v>
      </c>
      <c r="B131" s="12" t="s">
        <v>215</v>
      </c>
      <c r="C131" s="10" t="s">
        <v>216</v>
      </c>
      <c r="D131" s="18">
        <v>115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1.18</v>
      </c>
      <c r="M131" s="14">
        <v>0</v>
      </c>
      <c r="N131" s="14">
        <v>0</v>
      </c>
      <c r="O131" s="14">
        <v>6.64</v>
      </c>
      <c r="P131" s="14">
        <v>0</v>
      </c>
      <c r="Q131" s="15">
        <v>0.65</v>
      </c>
      <c r="R131" s="16" t="str">
        <f t="shared" si="12"/>
        <v>SI</v>
      </c>
      <c r="S131" s="16" t="str">
        <f t="shared" si="15"/>
        <v>Sin Riesgo</v>
      </c>
      <c r="T131" s="23"/>
      <c r="U131" s="23"/>
      <c r="V131" s="23"/>
      <c r="W131" s="23"/>
    </row>
    <row r="132" spans="1:23" ht="36" customHeight="1" x14ac:dyDescent="0.2">
      <c r="A132" s="12" t="s">
        <v>41</v>
      </c>
      <c r="B132" s="12" t="s">
        <v>217</v>
      </c>
      <c r="C132" s="10" t="s">
        <v>218</v>
      </c>
      <c r="D132" s="18">
        <v>5250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8.85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5">
        <v>0.74</v>
      </c>
      <c r="R132" s="16" t="str">
        <f t="shared" si="12"/>
        <v>SI</v>
      </c>
      <c r="S132" s="16" t="str">
        <f t="shared" si="15"/>
        <v>Sin Riesgo</v>
      </c>
      <c r="T132" s="23"/>
      <c r="U132" s="23"/>
      <c r="V132" s="23"/>
      <c r="W132" s="23"/>
    </row>
    <row r="133" spans="1:23" ht="36" customHeight="1" x14ac:dyDescent="0.2">
      <c r="A133" s="12" t="s">
        <v>40</v>
      </c>
      <c r="B133" s="12" t="s">
        <v>219</v>
      </c>
      <c r="C133" s="10" t="s">
        <v>220</v>
      </c>
      <c r="D133" s="18">
        <v>1096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5">
        <v>0</v>
      </c>
      <c r="R133" s="16" t="str">
        <f t="shared" si="12"/>
        <v>SI</v>
      </c>
      <c r="S133" s="16" t="str">
        <f t="shared" si="15"/>
        <v>Sin Riesgo</v>
      </c>
      <c r="T133" s="23"/>
      <c r="U133" s="23"/>
      <c r="V133" s="23"/>
      <c r="W133" s="23"/>
    </row>
    <row r="134" spans="1:23" ht="36" customHeight="1" x14ac:dyDescent="0.2">
      <c r="A134" s="12" t="s">
        <v>44</v>
      </c>
      <c r="B134" s="12" t="s">
        <v>221</v>
      </c>
      <c r="C134" s="10" t="s">
        <v>222</v>
      </c>
      <c r="D134" s="18">
        <v>2077</v>
      </c>
      <c r="E134" s="14">
        <v>0</v>
      </c>
      <c r="F134" s="14">
        <v>0</v>
      </c>
      <c r="G134" s="14">
        <v>6.45</v>
      </c>
      <c r="H134" s="14">
        <v>0</v>
      </c>
      <c r="I134" s="14">
        <v>7.69</v>
      </c>
      <c r="J134" s="14">
        <v>0</v>
      </c>
      <c r="K134" s="14">
        <v>0.88</v>
      </c>
      <c r="L134" s="14">
        <v>0.65</v>
      </c>
      <c r="M134" s="14">
        <v>0</v>
      </c>
      <c r="N134" s="14">
        <v>0.88</v>
      </c>
      <c r="O134" s="14">
        <v>6.45</v>
      </c>
      <c r="P134" s="14">
        <v>0.88</v>
      </c>
      <c r="Q134" s="15">
        <v>1.99</v>
      </c>
      <c r="R134" s="16" t="str">
        <f t="shared" si="12"/>
        <v>SI</v>
      </c>
      <c r="S134" s="16" t="str">
        <f t="shared" si="15"/>
        <v>Sin Riesgo</v>
      </c>
      <c r="T134" s="23"/>
      <c r="U134" s="23"/>
      <c r="V134" s="23"/>
      <c r="W134" s="23"/>
    </row>
    <row r="135" spans="1:23" ht="36" customHeight="1" x14ac:dyDescent="0.2">
      <c r="A135" s="42" t="s">
        <v>49</v>
      </c>
      <c r="B135" s="12" t="s">
        <v>223</v>
      </c>
      <c r="C135" s="10" t="s">
        <v>224</v>
      </c>
      <c r="D135" s="18">
        <v>12746</v>
      </c>
      <c r="E135" s="14">
        <v>0</v>
      </c>
      <c r="F135" s="14">
        <v>0</v>
      </c>
      <c r="G135" s="14">
        <v>9.5500000000000007</v>
      </c>
      <c r="H135" s="14">
        <v>0</v>
      </c>
      <c r="I135" s="14">
        <v>0</v>
      </c>
      <c r="J135" s="14">
        <v>0</v>
      </c>
      <c r="K135" s="14">
        <v>0</v>
      </c>
      <c r="L135" s="14">
        <v>0.35</v>
      </c>
      <c r="M135" s="14">
        <v>0</v>
      </c>
      <c r="N135" s="14">
        <v>0</v>
      </c>
      <c r="O135" s="14">
        <v>0</v>
      </c>
      <c r="P135" s="14">
        <v>5.57</v>
      </c>
      <c r="Q135" s="15">
        <v>1.29</v>
      </c>
      <c r="R135" s="16" t="str">
        <f t="shared" si="12"/>
        <v>SI</v>
      </c>
      <c r="S135" s="16" t="str">
        <f t="shared" si="15"/>
        <v>Sin Riesgo</v>
      </c>
      <c r="T135" s="23"/>
      <c r="U135" s="23"/>
      <c r="V135" s="23"/>
      <c r="W135" s="23"/>
    </row>
    <row r="136" spans="1:23" ht="36" customHeight="1" x14ac:dyDescent="0.2">
      <c r="A136" s="42" t="s">
        <v>49</v>
      </c>
      <c r="B136" s="12" t="s">
        <v>225</v>
      </c>
      <c r="C136" s="10" t="s">
        <v>226</v>
      </c>
      <c r="D136" s="18">
        <v>1844</v>
      </c>
      <c r="E136" s="34">
        <v>0</v>
      </c>
      <c r="F136" s="34">
        <v>0</v>
      </c>
      <c r="G136" s="34">
        <v>0</v>
      </c>
      <c r="H136" s="34">
        <v>8.85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6.45</v>
      </c>
      <c r="O136" s="29">
        <v>24.15</v>
      </c>
      <c r="P136" s="29">
        <v>17.7</v>
      </c>
      <c r="Q136" s="44">
        <v>4.76</v>
      </c>
      <c r="R136" s="16" t="str">
        <f t="shared" si="12"/>
        <v>SI</v>
      </c>
      <c r="S136" s="16" t="str">
        <f t="shared" si="15"/>
        <v>Sin Riesgo</v>
      </c>
      <c r="T136" s="23"/>
      <c r="U136" s="23"/>
      <c r="V136" s="23"/>
      <c r="W136" s="23"/>
    </row>
    <row r="137" spans="1:23" ht="36" customHeight="1" x14ac:dyDescent="0.2">
      <c r="A137" s="12" t="s">
        <v>49</v>
      </c>
      <c r="B137" s="28" t="s">
        <v>227</v>
      </c>
      <c r="C137" s="10" t="s">
        <v>77</v>
      </c>
      <c r="D137" s="18">
        <v>1213</v>
      </c>
      <c r="E137" s="34">
        <v>0</v>
      </c>
      <c r="F137" s="34">
        <v>0</v>
      </c>
      <c r="G137" s="34">
        <v>0</v>
      </c>
      <c r="H137" s="34">
        <v>0</v>
      </c>
      <c r="I137" s="34">
        <v>8.85</v>
      </c>
      <c r="J137" s="34">
        <v>6.45</v>
      </c>
      <c r="K137" s="34">
        <v>8.85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44">
        <v>2.0099999999999998</v>
      </c>
      <c r="R137" s="16" t="str">
        <f t="shared" si="12"/>
        <v>SI</v>
      </c>
      <c r="S137" s="16" t="str">
        <f t="shared" si="15"/>
        <v>Sin Riesgo</v>
      </c>
      <c r="T137" s="23"/>
      <c r="U137" s="23"/>
      <c r="V137" s="23"/>
      <c r="W137" s="23"/>
    </row>
    <row r="138" spans="1:23" ht="36" customHeight="1" x14ac:dyDescent="0.2">
      <c r="A138" s="12" t="s">
        <v>55</v>
      </c>
      <c r="B138" s="28" t="s">
        <v>228</v>
      </c>
      <c r="C138" s="10" t="s">
        <v>229</v>
      </c>
      <c r="D138" s="18">
        <v>4638</v>
      </c>
      <c r="E138" s="34">
        <v>0</v>
      </c>
      <c r="F138" s="34">
        <v>8.82</v>
      </c>
      <c r="G138" s="34">
        <v>0</v>
      </c>
      <c r="H138" s="34">
        <v>7.12</v>
      </c>
      <c r="I138" s="34">
        <v>0.88</v>
      </c>
      <c r="J138" s="34">
        <v>0</v>
      </c>
      <c r="K138" s="34">
        <v>0</v>
      </c>
      <c r="L138" s="34">
        <v>0</v>
      </c>
      <c r="M138" s="34">
        <v>0</v>
      </c>
      <c r="N138" s="34">
        <v>0.93</v>
      </c>
      <c r="O138" s="34">
        <v>0</v>
      </c>
      <c r="P138" s="34">
        <v>0</v>
      </c>
      <c r="Q138" s="44">
        <v>1.48</v>
      </c>
      <c r="R138" s="16" t="str">
        <f t="shared" si="12"/>
        <v>SI</v>
      </c>
      <c r="S138" s="16" t="str">
        <f t="shared" si="15"/>
        <v>Sin Riesgo</v>
      </c>
      <c r="T138" s="23"/>
      <c r="U138" s="23"/>
      <c r="V138" s="23"/>
      <c r="W138" s="23"/>
    </row>
    <row r="139" spans="1:23" ht="36" customHeight="1" x14ac:dyDescent="0.2">
      <c r="A139" s="12" t="s">
        <v>41</v>
      </c>
      <c r="B139" s="12" t="s">
        <v>230</v>
      </c>
      <c r="C139" s="10" t="s">
        <v>231</v>
      </c>
      <c r="D139" s="18">
        <v>11500</v>
      </c>
      <c r="E139" s="25"/>
      <c r="F139" s="25"/>
      <c r="G139" s="25"/>
      <c r="H139" s="29">
        <v>0</v>
      </c>
      <c r="I139" s="29">
        <v>0</v>
      </c>
      <c r="J139" s="29">
        <v>6.45</v>
      </c>
      <c r="K139" s="29">
        <v>0</v>
      </c>
      <c r="L139" s="29">
        <v>0</v>
      </c>
      <c r="M139" s="29">
        <v>0</v>
      </c>
      <c r="N139" s="29">
        <v>0</v>
      </c>
      <c r="O139" s="29">
        <v>9.68</v>
      </c>
      <c r="P139" s="29">
        <v>19.350000000000001</v>
      </c>
      <c r="Q139" s="30">
        <v>6.45</v>
      </c>
      <c r="R139" s="16" t="str">
        <f t="shared" si="12"/>
        <v>NO</v>
      </c>
      <c r="S139" s="16" t="str">
        <f t="shared" si="15"/>
        <v>Bajo</v>
      </c>
      <c r="T139" s="23"/>
      <c r="U139" s="23"/>
      <c r="V139" s="23"/>
      <c r="W139" s="23"/>
    </row>
    <row r="140" spans="1:23" ht="36" customHeight="1" x14ac:dyDescent="0.2">
      <c r="A140" s="12" t="s">
        <v>41</v>
      </c>
      <c r="B140" s="12" t="s">
        <v>230</v>
      </c>
      <c r="C140" s="10" t="s">
        <v>232</v>
      </c>
      <c r="D140" s="18">
        <v>355</v>
      </c>
      <c r="E140" s="25"/>
      <c r="F140" s="25"/>
      <c r="G140" s="25"/>
      <c r="H140" s="29">
        <v>0</v>
      </c>
      <c r="I140" s="29">
        <v>0</v>
      </c>
      <c r="J140" s="29">
        <v>0</v>
      </c>
      <c r="K140" s="29">
        <v>0</v>
      </c>
      <c r="L140" s="29">
        <v>9.0299999999999994</v>
      </c>
      <c r="M140" s="29">
        <v>6.45</v>
      </c>
      <c r="N140" s="29">
        <v>0</v>
      </c>
      <c r="O140" s="29">
        <v>0</v>
      </c>
      <c r="P140" s="29"/>
      <c r="Q140" s="30">
        <v>1.94</v>
      </c>
      <c r="R140" s="16" t="str">
        <f t="shared" si="12"/>
        <v>SI</v>
      </c>
      <c r="S140" s="16" t="str">
        <f t="shared" si="15"/>
        <v>Sin Riesgo</v>
      </c>
      <c r="T140" s="23"/>
      <c r="U140" s="23"/>
      <c r="V140" s="23"/>
      <c r="W140" s="23"/>
    </row>
    <row r="141" spans="1:23" ht="36" customHeight="1" x14ac:dyDescent="0.2">
      <c r="A141" s="12" t="s">
        <v>41</v>
      </c>
      <c r="B141" s="12" t="s">
        <v>233</v>
      </c>
      <c r="C141" s="10" t="s">
        <v>234</v>
      </c>
      <c r="D141" s="18">
        <v>32640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15">
        <v>0</v>
      </c>
      <c r="R141" s="16" t="str">
        <f t="shared" si="12"/>
        <v>SI</v>
      </c>
      <c r="S141" s="16" t="str">
        <f t="shared" si="15"/>
        <v>Sin Riesgo</v>
      </c>
      <c r="T141" s="23"/>
      <c r="U141" s="23"/>
      <c r="V141" s="23"/>
      <c r="W141" s="23"/>
    </row>
    <row r="142" spans="1:23" ht="36" customHeight="1" x14ac:dyDescent="0.2">
      <c r="A142" s="12" t="s">
        <v>40</v>
      </c>
      <c r="B142" s="12" t="s">
        <v>235</v>
      </c>
      <c r="C142" s="10" t="s">
        <v>236</v>
      </c>
      <c r="D142" s="18">
        <v>1705</v>
      </c>
      <c r="E142" s="29">
        <v>0</v>
      </c>
      <c r="F142" s="29">
        <v>0</v>
      </c>
      <c r="G142" s="29">
        <v>0</v>
      </c>
      <c r="H142" s="29">
        <v>0</v>
      </c>
      <c r="I142" s="29">
        <v>8.85</v>
      </c>
      <c r="J142" s="29">
        <v>0</v>
      </c>
      <c r="K142" s="29">
        <v>0</v>
      </c>
      <c r="L142" s="29">
        <v>0</v>
      </c>
      <c r="M142" s="29">
        <v>0</v>
      </c>
      <c r="N142" s="29">
        <v>8.85</v>
      </c>
      <c r="O142" s="29">
        <v>0</v>
      </c>
      <c r="P142" s="29">
        <v>0</v>
      </c>
      <c r="Q142" s="15">
        <v>1.47</v>
      </c>
      <c r="R142" s="16" t="str">
        <f t="shared" si="12"/>
        <v>SI</v>
      </c>
      <c r="S142" s="16" t="str">
        <f t="shared" si="15"/>
        <v>Sin Riesgo</v>
      </c>
      <c r="T142" s="23"/>
      <c r="U142" s="23"/>
      <c r="V142" s="23"/>
      <c r="W142" s="23"/>
    </row>
    <row r="143" spans="1:23" ht="36" customHeight="1" x14ac:dyDescent="0.2">
      <c r="A143" s="12" t="s">
        <v>13</v>
      </c>
      <c r="B143" s="12" t="s">
        <v>237</v>
      </c>
      <c r="C143" s="10" t="s">
        <v>79</v>
      </c>
      <c r="D143" s="18">
        <v>35481</v>
      </c>
      <c r="E143" s="14">
        <v>0</v>
      </c>
      <c r="F143" s="14">
        <v>0</v>
      </c>
      <c r="G143" s="14">
        <v>0</v>
      </c>
      <c r="H143" s="14">
        <v>0</v>
      </c>
      <c r="I143" s="14">
        <v>4.72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5">
        <v>0.39</v>
      </c>
      <c r="R143" s="16" t="str">
        <f t="shared" si="12"/>
        <v>SI</v>
      </c>
      <c r="S143" s="16" t="str">
        <f t="shared" si="15"/>
        <v>Sin Riesgo</v>
      </c>
      <c r="T143" s="23"/>
      <c r="U143" s="23"/>
      <c r="V143" s="23"/>
      <c r="W143" s="23"/>
    </row>
    <row r="144" spans="1:23" ht="36" customHeight="1" x14ac:dyDescent="0.2">
      <c r="A144" s="12" t="s">
        <v>44</v>
      </c>
      <c r="B144" s="12" t="s">
        <v>238</v>
      </c>
      <c r="C144" s="10" t="s">
        <v>239</v>
      </c>
      <c r="D144" s="18">
        <v>2360</v>
      </c>
      <c r="E144" s="29">
        <v>12.5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v>1.04</v>
      </c>
      <c r="R144" s="16" t="str">
        <f t="shared" si="12"/>
        <v>SI</v>
      </c>
      <c r="S144" s="16" t="str">
        <f t="shared" si="15"/>
        <v>Sin Riesgo</v>
      </c>
      <c r="T144" s="23"/>
      <c r="U144" s="23"/>
      <c r="V144" s="23"/>
      <c r="W144" s="23"/>
    </row>
    <row r="145" spans="1:23" ht="36" customHeight="1" x14ac:dyDescent="0.2">
      <c r="A145" s="12" t="s">
        <v>44</v>
      </c>
      <c r="B145" s="12" t="s">
        <v>238</v>
      </c>
      <c r="C145" s="10" t="s">
        <v>240</v>
      </c>
      <c r="D145" s="18">
        <v>170</v>
      </c>
      <c r="E145" s="29">
        <v>0</v>
      </c>
      <c r="F145" s="29">
        <v>8</v>
      </c>
      <c r="G145" s="29">
        <v>12</v>
      </c>
      <c r="H145" s="29">
        <v>15.3</v>
      </c>
      <c r="I145" s="29">
        <v>17.04</v>
      </c>
      <c r="J145" s="29">
        <v>0</v>
      </c>
      <c r="K145" s="29">
        <v>0</v>
      </c>
      <c r="L145" s="29">
        <v>0</v>
      </c>
      <c r="M145" s="29">
        <v>0</v>
      </c>
      <c r="N145" s="29">
        <v>15.3</v>
      </c>
      <c r="O145" s="29">
        <v>15.3</v>
      </c>
      <c r="P145" s="29">
        <v>23.6</v>
      </c>
      <c r="Q145" s="44">
        <v>8.8800000000000008</v>
      </c>
      <c r="R145" s="16" t="str">
        <f t="shared" si="12"/>
        <v>NO</v>
      </c>
      <c r="S145" s="16" t="str">
        <f t="shared" si="15"/>
        <v>Bajo</v>
      </c>
      <c r="T145" s="23"/>
      <c r="U145" s="23"/>
      <c r="V145" s="23"/>
      <c r="W145" s="23"/>
    </row>
    <row r="146" spans="1:23" ht="36" customHeight="1" x14ac:dyDescent="0.2">
      <c r="A146" s="12" t="s">
        <v>27</v>
      </c>
      <c r="B146" s="12" t="s">
        <v>241</v>
      </c>
      <c r="C146" s="10" t="s">
        <v>242</v>
      </c>
      <c r="D146" s="18">
        <v>1334</v>
      </c>
      <c r="E146" s="34">
        <v>0</v>
      </c>
      <c r="F146" s="34">
        <v>0</v>
      </c>
      <c r="G146" s="34">
        <v>8.1999999999999993</v>
      </c>
      <c r="H146" s="34">
        <v>8</v>
      </c>
      <c r="I146" s="29">
        <v>0</v>
      </c>
      <c r="J146" s="34">
        <v>6.45</v>
      </c>
      <c r="K146" s="34">
        <v>0</v>
      </c>
      <c r="L146" s="29">
        <v>0</v>
      </c>
      <c r="M146" s="29">
        <v>0</v>
      </c>
      <c r="N146" s="29">
        <v>0</v>
      </c>
      <c r="O146" s="29">
        <v>6.45</v>
      </c>
      <c r="P146" s="29">
        <v>0</v>
      </c>
      <c r="Q146" s="44">
        <v>2.42</v>
      </c>
      <c r="R146" s="16" t="str">
        <f t="shared" si="12"/>
        <v>SI</v>
      </c>
      <c r="S146" s="16" t="str">
        <f t="shared" si="15"/>
        <v>Sin Riesgo</v>
      </c>
      <c r="T146" s="23"/>
      <c r="U146" s="23"/>
      <c r="V146" s="23"/>
      <c r="W146" s="23"/>
    </row>
    <row r="147" spans="1:23" ht="36" customHeight="1" x14ac:dyDescent="0.2">
      <c r="A147" s="12" t="s">
        <v>41</v>
      </c>
      <c r="B147" s="12" t="s">
        <v>243</v>
      </c>
      <c r="C147" s="10" t="s">
        <v>244</v>
      </c>
      <c r="D147" s="18">
        <v>3612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5">
        <v>0</v>
      </c>
      <c r="R147" s="16" t="str">
        <f t="shared" si="12"/>
        <v>SI</v>
      </c>
      <c r="S147" s="16" t="str">
        <f t="shared" si="15"/>
        <v>Sin Riesgo</v>
      </c>
      <c r="T147" s="23"/>
      <c r="U147" s="23"/>
      <c r="V147" s="23"/>
      <c r="W147" s="23"/>
    </row>
    <row r="148" spans="1:23" ht="36" customHeight="1" x14ac:dyDescent="0.2">
      <c r="A148" s="12" t="s">
        <v>41</v>
      </c>
      <c r="B148" s="12" t="s">
        <v>245</v>
      </c>
      <c r="C148" s="10" t="s">
        <v>246</v>
      </c>
      <c r="D148" s="18">
        <v>1200</v>
      </c>
      <c r="E148" s="14">
        <v>0</v>
      </c>
      <c r="F148" s="14">
        <v>0</v>
      </c>
      <c r="G148" s="14">
        <v>0</v>
      </c>
      <c r="H148" s="14">
        <v>11.48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44">
        <v>0.96</v>
      </c>
      <c r="R148" s="16" t="str">
        <f t="shared" si="12"/>
        <v>SI</v>
      </c>
      <c r="S148" s="16" t="str">
        <f t="shared" ref="S148:S190" si="16">IF(Q148&lt;=5,"Sin Riesgo",IF(Q148 &lt;=14,"Bajo",IF(Q148&lt;=35,"Medio",IF(Q148&lt;=80,"Alto","Inviable Sanitariamente"))))</f>
        <v>Sin Riesgo</v>
      </c>
      <c r="T148" s="23"/>
      <c r="U148" s="23"/>
      <c r="V148" s="23"/>
      <c r="W148" s="23"/>
    </row>
    <row r="149" spans="1:23" ht="36" customHeight="1" x14ac:dyDescent="0.2">
      <c r="A149" s="12" t="s">
        <v>40</v>
      </c>
      <c r="B149" s="12" t="s">
        <v>247</v>
      </c>
      <c r="C149" s="10" t="s">
        <v>248</v>
      </c>
      <c r="D149" s="18">
        <v>4390</v>
      </c>
      <c r="E149" s="14">
        <v>6.45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8.84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5">
        <v>1.28</v>
      </c>
      <c r="R149" s="16" t="str">
        <f t="shared" si="12"/>
        <v>SI</v>
      </c>
      <c r="S149" s="16" t="str">
        <f t="shared" si="16"/>
        <v>Sin Riesgo</v>
      </c>
      <c r="T149" s="23"/>
      <c r="U149" s="23"/>
      <c r="V149" s="23"/>
      <c r="W149" s="23"/>
    </row>
    <row r="150" spans="1:23" ht="36" customHeight="1" x14ac:dyDescent="0.2">
      <c r="A150" s="12" t="s">
        <v>27</v>
      </c>
      <c r="B150" s="12" t="s">
        <v>249</v>
      </c>
      <c r="C150" s="10" t="s">
        <v>74</v>
      </c>
      <c r="D150" s="18">
        <v>1104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5">
        <v>0</v>
      </c>
      <c r="R150" s="16" t="str">
        <f t="shared" si="12"/>
        <v>SI</v>
      </c>
      <c r="S150" s="16" t="str">
        <f t="shared" si="16"/>
        <v>Sin Riesgo</v>
      </c>
      <c r="T150" s="23"/>
      <c r="U150" s="23"/>
      <c r="V150" s="23"/>
      <c r="W150" s="23"/>
    </row>
    <row r="151" spans="1:23" ht="36" customHeight="1" x14ac:dyDescent="0.2">
      <c r="A151" s="12" t="s">
        <v>71</v>
      </c>
      <c r="B151" s="12" t="s">
        <v>250</v>
      </c>
      <c r="C151" s="10" t="s">
        <v>77</v>
      </c>
      <c r="D151" s="18">
        <v>3539</v>
      </c>
      <c r="E151" s="34">
        <v>18.95</v>
      </c>
      <c r="F151" s="29">
        <v>9.02</v>
      </c>
      <c r="G151" s="29">
        <v>0</v>
      </c>
      <c r="H151" s="34">
        <v>6.45</v>
      </c>
      <c r="I151" s="29">
        <v>26.55</v>
      </c>
      <c r="J151" s="34">
        <v>8.85</v>
      </c>
      <c r="K151" s="29">
        <v>15.3</v>
      </c>
      <c r="L151" s="34">
        <v>0</v>
      </c>
      <c r="M151" s="34">
        <v>0</v>
      </c>
      <c r="N151" s="29">
        <v>0</v>
      </c>
      <c r="O151" s="29"/>
      <c r="P151" s="29">
        <v>0</v>
      </c>
      <c r="Q151" s="44">
        <v>7.74</v>
      </c>
      <c r="R151" s="16" t="str">
        <f t="shared" si="12"/>
        <v>NO</v>
      </c>
      <c r="S151" s="16" t="str">
        <f t="shared" si="16"/>
        <v>Bajo</v>
      </c>
      <c r="T151" s="23"/>
      <c r="U151" s="23"/>
      <c r="V151" s="23"/>
      <c r="W151" s="23"/>
    </row>
    <row r="152" spans="1:23" ht="36" customHeight="1" x14ac:dyDescent="0.2">
      <c r="A152" s="12" t="s">
        <v>41</v>
      </c>
      <c r="B152" s="12" t="s">
        <v>251</v>
      </c>
      <c r="C152" s="10" t="s">
        <v>252</v>
      </c>
      <c r="D152" s="18">
        <v>600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0.88</v>
      </c>
      <c r="L152" s="34">
        <v>0.88</v>
      </c>
      <c r="M152" s="34">
        <v>0</v>
      </c>
      <c r="N152" s="34">
        <v>0</v>
      </c>
      <c r="O152" s="34">
        <v>0</v>
      </c>
      <c r="P152" s="34">
        <v>0</v>
      </c>
      <c r="Q152" s="44">
        <v>0.15</v>
      </c>
      <c r="R152" s="16" t="str">
        <f t="shared" si="12"/>
        <v>SI</v>
      </c>
      <c r="S152" s="16" t="str">
        <f t="shared" si="16"/>
        <v>Sin Riesgo</v>
      </c>
      <c r="T152" s="23"/>
      <c r="U152" s="23"/>
      <c r="V152" s="23"/>
      <c r="W152" s="23"/>
    </row>
    <row r="153" spans="1:23" ht="36" customHeight="1" x14ac:dyDescent="0.2">
      <c r="A153" s="12" t="s">
        <v>41</v>
      </c>
      <c r="B153" s="12" t="s">
        <v>251</v>
      </c>
      <c r="C153" s="10" t="s">
        <v>253</v>
      </c>
      <c r="D153" s="18">
        <v>3013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1.53</v>
      </c>
      <c r="L153" s="14">
        <v>0</v>
      </c>
      <c r="M153" s="14">
        <v>0</v>
      </c>
      <c r="N153" s="14">
        <v>6.45</v>
      </c>
      <c r="O153" s="14">
        <v>0</v>
      </c>
      <c r="P153" s="14">
        <v>0</v>
      </c>
      <c r="Q153" s="15">
        <v>0.67</v>
      </c>
      <c r="R153" s="16" t="str">
        <f t="shared" si="12"/>
        <v>SI</v>
      </c>
      <c r="S153" s="16" t="str">
        <f t="shared" si="16"/>
        <v>Sin Riesgo</v>
      </c>
      <c r="T153" s="23"/>
      <c r="U153" s="23"/>
      <c r="V153" s="23"/>
      <c r="W153" s="23"/>
    </row>
    <row r="154" spans="1:23" ht="36" customHeight="1" x14ac:dyDescent="0.2">
      <c r="A154" s="12" t="s">
        <v>27</v>
      </c>
      <c r="B154" s="12" t="s">
        <v>254</v>
      </c>
      <c r="C154" s="10" t="s">
        <v>255</v>
      </c>
      <c r="D154" s="18">
        <v>6160</v>
      </c>
      <c r="E154" s="14">
        <v>0.18</v>
      </c>
      <c r="F154" s="14">
        <v>0</v>
      </c>
      <c r="G154" s="14">
        <v>0</v>
      </c>
      <c r="H154" s="14">
        <v>1.18</v>
      </c>
      <c r="I154" s="14">
        <v>5.92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5">
        <v>0.69</v>
      </c>
      <c r="R154" s="16" t="str">
        <f t="shared" si="12"/>
        <v>SI</v>
      </c>
      <c r="S154" s="16" t="str">
        <f t="shared" si="16"/>
        <v>Sin Riesgo</v>
      </c>
      <c r="T154" s="23"/>
      <c r="U154" s="23"/>
      <c r="V154" s="23"/>
      <c r="W154" s="23"/>
    </row>
    <row r="155" spans="1:23" ht="36" customHeight="1" x14ac:dyDescent="0.2">
      <c r="A155" s="12" t="s">
        <v>71</v>
      </c>
      <c r="B155" s="12" t="s">
        <v>256</v>
      </c>
      <c r="C155" s="10" t="s">
        <v>257</v>
      </c>
      <c r="D155" s="18">
        <v>4677</v>
      </c>
      <c r="E155" s="34">
        <v>1.18</v>
      </c>
      <c r="F155" s="34">
        <v>1.18</v>
      </c>
      <c r="G155" s="34">
        <v>1.18</v>
      </c>
      <c r="H155" s="34">
        <v>1.18</v>
      </c>
      <c r="I155" s="34">
        <v>0</v>
      </c>
      <c r="J155" s="34">
        <v>1.18</v>
      </c>
      <c r="K155" s="34">
        <v>0</v>
      </c>
      <c r="L155" s="34">
        <v>5.29</v>
      </c>
      <c r="M155" s="34">
        <v>1.18</v>
      </c>
      <c r="N155" s="34">
        <v>6.45</v>
      </c>
      <c r="O155" s="34">
        <v>1.76</v>
      </c>
      <c r="P155" s="34">
        <v>0</v>
      </c>
      <c r="Q155" s="30">
        <v>1.71</v>
      </c>
      <c r="R155" s="16" t="str">
        <f t="shared" si="12"/>
        <v>SI</v>
      </c>
      <c r="S155" s="16" t="str">
        <f t="shared" si="16"/>
        <v>Sin Riesgo</v>
      </c>
      <c r="T155" s="23"/>
      <c r="U155" s="23"/>
      <c r="V155" s="23"/>
      <c r="W155" s="23"/>
    </row>
    <row r="156" spans="1:23" ht="36" customHeight="1" x14ac:dyDescent="0.2">
      <c r="A156" s="12" t="s">
        <v>41</v>
      </c>
      <c r="B156" s="12" t="s">
        <v>258</v>
      </c>
      <c r="C156" s="10" t="s">
        <v>259</v>
      </c>
      <c r="D156" s="18">
        <v>3535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44">
        <v>0</v>
      </c>
      <c r="R156" s="16" t="str">
        <f t="shared" si="12"/>
        <v>SI</v>
      </c>
      <c r="S156" s="16" t="str">
        <f t="shared" si="16"/>
        <v>Sin Riesgo</v>
      </c>
      <c r="T156" s="23"/>
      <c r="U156" s="23"/>
      <c r="V156" s="23"/>
      <c r="W156" s="23"/>
    </row>
    <row r="157" spans="1:23" ht="36" customHeight="1" x14ac:dyDescent="0.2">
      <c r="A157" s="12" t="s">
        <v>55</v>
      </c>
      <c r="B157" s="12" t="s">
        <v>260</v>
      </c>
      <c r="C157" s="10" t="s">
        <v>261</v>
      </c>
      <c r="D157" s="18">
        <v>3058</v>
      </c>
      <c r="E157" s="34">
        <v>0</v>
      </c>
      <c r="F157" s="34">
        <v>0</v>
      </c>
      <c r="G157" s="34">
        <v>0</v>
      </c>
      <c r="H157" s="34">
        <v>0</v>
      </c>
      <c r="I157" s="34">
        <v>6.45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43">
        <v>0.54</v>
      </c>
      <c r="R157" s="16" t="str">
        <f t="shared" si="12"/>
        <v>SI</v>
      </c>
      <c r="S157" s="16" t="str">
        <f t="shared" si="16"/>
        <v>Sin Riesgo</v>
      </c>
      <c r="T157" s="23"/>
      <c r="U157" s="23"/>
      <c r="V157" s="23"/>
      <c r="W157" s="23"/>
    </row>
    <row r="158" spans="1:23" ht="36" customHeight="1" x14ac:dyDescent="0.2">
      <c r="A158" s="12" t="s">
        <v>41</v>
      </c>
      <c r="B158" s="12" t="s">
        <v>262</v>
      </c>
      <c r="C158" s="10" t="s">
        <v>263</v>
      </c>
      <c r="D158" s="18">
        <v>2511</v>
      </c>
      <c r="E158" s="14">
        <v>0</v>
      </c>
      <c r="F158" s="14">
        <v>0</v>
      </c>
      <c r="G158" s="14">
        <v>0</v>
      </c>
      <c r="H158" s="14">
        <v>0.7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5">
        <v>0.06</v>
      </c>
      <c r="R158" s="16" t="str">
        <f t="shared" ref="R158:R190" si="17">IF(Q158&lt;=5,"SI","NO")</f>
        <v>SI</v>
      </c>
      <c r="S158" s="16" t="str">
        <f t="shared" si="16"/>
        <v>Sin Riesgo</v>
      </c>
      <c r="T158" s="23"/>
      <c r="U158" s="23"/>
      <c r="V158" s="23"/>
      <c r="W158" s="23"/>
    </row>
    <row r="159" spans="1:23" ht="36" customHeight="1" x14ac:dyDescent="0.2">
      <c r="A159" s="12" t="s">
        <v>44</v>
      </c>
      <c r="B159" s="12" t="s">
        <v>264</v>
      </c>
      <c r="C159" s="10" t="s">
        <v>149</v>
      </c>
      <c r="D159" s="18">
        <v>4246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5.88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5">
        <v>0.49</v>
      </c>
      <c r="R159" s="16" t="str">
        <f t="shared" si="17"/>
        <v>SI</v>
      </c>
      <c r="S159" s="16" t="str">
        <f t="shared" si="16"/>
        <v>Sin Riesgo</v>
      </c>
      <c r="T159" s="23"/>
      <c r="U159" s="23"/>
      <c r="V159" s="23"/>
      <c r="W159" s="23"/>
    </row>
    <row r="160" spans="1:23" ht="36" customHeight="1" x14ac:dyDescent="0.2">
      <c r="A160" s="12" t="s">
        <v>27</v>
      </c>
      <c r="B160" s="12" t="s">
        <v>265</v>
      </c>
      <c r="C160" s="10" t="s">
        <v>74</v>
      </c>
      <c r="D160" s="18">
        <v>7640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5">
        <v>0</v>
      </c>
      <c r="R160" s="16" t="str">
        <f t="shared" si="17"/>
        <v>SI</v>
      </c>
      <c r="S160" s="16" t="str">
        <f t="shared" si="16"/>
        <v>Sin Riesgo</v>
      </c>
      <c r="T160" s="23"/>
      <c r="U160" s="23"/>
      <c r="V160" s="23"/>
      <c r="W160" s="23"/>
    </row>
    <row r="161" spans="1:23" ht="36" customHeight="1" x14ac:dyDescent="0.2">
      <c r="A161" s="12" t="s">
        <v>40</v>
      </c>
      <c r="B161" s="12" t="s">
        <v>266</v>
      </c>
      <c r="C161" s="10" t="s">
        <v>248</v>
      </c>
      <c r="D161" s="18">
        <v>9931</v>
      </c>
      <c r="E161" s="14">
        <v>1.43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5">
        <v>0.12</v>
      </c>
      <c r="R161" s="16" t="str">
        <f t="shared" si="17"/>
        <v>SI</v>
      </c>
      <c r="S161" s="16" t="str">
        <f t="shared" si="16"/>
        <v>Sin Riesgo</v>
      </c>
      <c r="T161" s="23"/>
      <c r="U161" s="23"/>
      <c r="V161" s="23"/>
      <c r="W161" s="23"/>
    </row>
    <row r="162" spans="1:23" ht="36" customHeight="1" x14ac:dyDescent="0.2">
      <c r="A162" s="12" t="s">
        <v>55</v>
      </c>
      <c r="B162" s="12" t="s">
        <v>267</v>
      </c>
      <c r="C162" s="10" t="s">
        <v>268</v>
      </c>
      <c r="D162" s="18">
        <v>1715</v>
      </c>
      <c r="E162" s="14">
        <v>0</v>
      </c>
      <c r="F162" s="14">
        <v>0</v>
      </c>
      <c r="G162" s="14">
        <v>0</v>
      </c>
      <c r="H162" s="14">
        <v>0</v>
      </c>
      <c r="I162" s="14">
        <v>8.85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5">
        <v>0.74</v>
      </c>
      <c r="R162" s="16" t="str">
        <f t="shared" si="17"/>
        <v>SI</v>
      </c>
      <c r="S162" s="16" t="str">
        <f t="shared" si="16"/>
        <v>Sin Riesgo</v>
      </c>
      <c r="T162" s="23"/>
      <c r="U162" s="23"/>
      <c r="V162" s="23"/>
      <c r="W162" s="23"/>
    </row>
    <row r="163" spans="1:23" ht="36" customHeight="1" x14ac:dyDescent="0.2">
      <c r="A163" s="12" t="s">
        <v>55</v>
      </c>
      <c r="B163" s="12" t="s">
        <v>269</v>
      </c>
      <c r="C163" s="10" t="s">
        <v>270</v>
      </c>
      <c r="D163" s="18">
        <v>7289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44">
        <v>0</v>
      </c>
      <c r="R163" s="16" t="str">
        <f t="shared" si="17"/>
        <v>SI</v>
      </c>
      <c r="S163" s="16" t="str">
        <f t="shared" si="16"/>
        <v>Sin Riesgo</v>
      </c>
      <c r="T163" s="23"/>
      <c r="U163" s="23"/>
      <c r="V163" s="23"/>
      <c r="W163" s="23"/>
    </row>
    <row r="164" spans="1:23" ht="36" customHeight="1" x14ac:dyDescent="0.2">
      <c r="A164" s="12" t="s">
        <v>41</v>
      </c>
      <c r="B164" s="10" t="s">
        <v>271</v>
      </c>
      <c r="C164" s="10" t="s">
        <v>272</v>
      </c>
      <c r="D164" s="18">
        <v>6822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6.45</v>
      </c>
      <c r="M164" s="14">
        <v>0</v>
      </c>
      <c r="N164" s="14">
        <v>0</v>
      </c>
      <c r="O164" s="14">
        <v>0</v>
      </c>
      <c r="P164" s="14">
        <v>0</v>
      </c>
      <c r="Q164" s="15">
        <v>0.54</v>
      </c>
      <c r="R164" s="16" t="str">
        <f t="shared" si="17"/>
        <v>SI</v>
      </c>
      <c r="S164" s="16" t="str">
        <f t="shared" si="16"/>
        <v>Sin Riesgo</v>
      </c>
      <c r="T164" s="23"/>
      <c r="U164" s="23"/>
      <c r="V164" s="23"/>
      <c r="W164" s="23"/>
    </row>
    <row r="165" spans="1:23" ht="36" customHeight="1" x14ac:dyDescent="0.2">
      <c r="A165" s="12" t="s">
        <v>40</v>
      </c>
      <c r="B165" s="12" t="s">
        <v>273</v>
      </c>
      <c r="C165" s="10" t="s">
        <v>274</v>
      </c>
      <c r="D165" s="18">
        <v>3360</v>
      </c>
      <c r="E165" s="14">
        <v>0.88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5">
        <v>7.0000000000000007E-2</v>
      </c>
      <c r="R165" s="16" t="str">
        <f t="shared" si="17"/>
        <v>SI</v>
      </c>
      <c r="S165" s="16" t="str">
        <f t="shared" si="16"/>
        <v>Sin Riesgo</v>
      </c>
      <c r="T165" s="23"/>
      <c r="U165" s="23"/>
      <c r="V165" s="23"/>
      <c r="W165" s="23"/>
    </row>
    <row r="166" spans="1:23" ht="36" customHeight="1" x14ac:dyDescent="0.2">
      <c r="A166" s="12" t="s">
        <v>44</v>
      </c>
      <c r="B166" s="12" t="s">
        <v>275</v>
      </c>
      <c r="C166" s="10" t="s">
        <v>276</v>
      </c>
      <c r="D166" s="18">
        <v>3246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44">
        <v>0</v>
      </c>
      <c r="R166" s="16" t="str">
        <f t="shared" si="17"/>
        <v>SI</v>
      </c>
      <c r="S166" s="16" t="str">
        <f t="shared" si="16"/>
        <v>Sin Riesgo</v>
      </c>
      <c r="T166" s="23"/>
      <c r="U166" s="23"/>
      <c r="V166" s="23"/>
      <c r="W166" s="23"/>
    </row>
    <row r="167" spans="1:23" ht="36" customHeight="1" x14ac:dyDescent="0.2">
      <c r="A167" s="12" t="s">
        <v>46</v>
      </c>
      <c r="B167" s="8" t="s">
        <v>277</v>
      </c>
      <c r="C167" s="10" t="s">
        <v>278</v>
      </c>
      <c r="D167" s="18">
        <v>4343</v>
      </c>
      <c r="E167" s="14">
        <v>0</v>
      </c>
      <c r="F167" s="14">
        <v>1.18</v>
      </c>
      <c r="G167" s="14"/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5">
        <v>0.11</v>
      </c>
      <c r="R167" s="16" t="str">
        <f t="shared" si="17"/>
        <v>SI</v>
      </c>
      <c r="S167" s="16" t="str">
        <f t="shared" si="16"/>
        <v>Sin Riesgo</v>
      </c>
      <c r="T167" s="23"/>
      <c r="U167" s="23"/>
      <c r="V167" s="23"/>
      <c r="W167" s="23"/>
    </row>
    <row r="168" spans="1:23" ht="36" customHeight="1" x14ac:dyDescent="0.2">
      <c r="A168" s="42" t="s">
        <v>46</v>
      </c>
      <c r="B168" s="8" t="s">
        <v>277</v>
      </c>
      <c r="C168" s="10" t="s">
        <v>279</v>
      </c>
      <c r="D168" s="18">
        <v>200</v>
      </c>
      <c r="E168" s="18">
        <v>70.97</v>
      </c>
      <c r="F168" s="18">
        <v>70.97</v>
      </c>
      <c r="G168" s="18"/>
      <c r="H168" s="18">
        <v>70.97</v>
      </c>
      <c r="I168" s="26">
        <v>89.94</v>
      </c>
      <c r="J168" s="26">
        <v>84.51</v>
      </c>
      <c r="K168" s="26">
        <v>98.06</v>
      </c>
      <c r="L168" s="26">
        <v>90.33</v>
      </c>
      <c r="M168" s="26">
        <v>70.97</v>
      </c>
      <c r="N168" s="26">
        <v>98.06</v>
      </c>
      <c r="O168" s="26">
        <v>65.569999999999993</v>
      </c>
      <c r="P168" s="26">
        <v>97.34</v>
      </c>
      <c r="Q168" s="49">
        <v>82.52</v>
      </c>
      <c r="R168" s="16" t="str">
        <f t="shared" si="17"/>
        <v>NO</v>
      </c>
      <c r="S168" s="16" t="str">
        <f t="shared" si="16"/>
        <v>Inviable Sanitariamente</v>
      </c>
      <c r="T168" s="23"/>
      <c r="U168" s="23"/>
      <c r="V168" s="23"/>
      <c r="W168" s="23"/>
    </row>
    <row r="169" spans="1:23" ht="36" customHeight="1" x14ac:dyDescent="0.2">
      <c r="A169" s="42" t="s">
        <v>46</v>
      </c>
      <c r="B169" s="8" t="s">
        <v>277</v>
      </c>
      <c r="C169" s="10" t="s">
        <v>280</v>
      </c>
      <c r="D169" s="18">
        <v>127</v>
      </c>
      <c r="E169" s="18">
        <v>70.97</v>
      </c>
      <c r="F169" s="18">
        <v>70.97</v>
      </c>
      <c r="G169" s="18"/>
      <c r="H169" s="18">
        <v>70.97</v>
      </c>
      <c r="I169" s="26">
        <v>89.94</v>
      </c>
      <c r="J169" s="26">
        <v>70.97</v>
      </c>
      <c r="K169" s="26"/>
      <c r="L169" s="26"/>
      <c r="M169" s="26">
        <v>70.97</v>
      </c>
      <c r="N169" s="26">
        <v>98.06</v>
      </c>
      <c r="O169" s="26">
        <v>98.06</v>
      </c>
      <c r="P169" s="26">
        <v>97.35</v>
      </c>
      <c r="Q169" s="49">
        <v>82.03</v>
      </c>
      <c r="R169" s="16" t="str">
        <f t="shared" si="17"/>
        <v>NO</v>
      </c>
      <c r="S169" s="16" t="str">
        <f t="shared" si="16"/>
        <v>Inviable Sanitariamente</v>
      </c>
      <c r="T169" s="23"/>
      <c r="U169" s="23"/>
      <c r="V169" s="23"/>
      <c r="W169" s="23"/>
    </row>
    <row r="170" spans="1:23" ht="36" customHeight="1" x14ac:dyDescent="0.2">
      <c r="A170" s="42" t="s">
        <v>46</v>
      </c>
      <c r="B170" s="8" t="s">
        <v>277</v>
      </c>
      <c r="C170" s="10" t="s">
        <v>281</v>
      </c>
      <c r="D170" s="18">
        <v>95</v>
      </c>
      <c r="E170" s="18">
        <v>70.97</v>
      </c>
      <c r="F170" s="18">
        <v>70.97</v>
      </c>
      <c r="G170" s="18"/>
      <c r="H170" s="18">
        <v>74.849999999999994</v>
      </c>
      <c r="I170" s="18">
        <v>70.97</v>
      </c>
      <c r="J170" s="26"/>
      <c r="K170" s="26">
        <v>84.52</v>
      </c>
      <c r="L170" s="18">
        <v>94.19</v>
      </c>
      <c r="M170" s="26">
        <v>98.06</v>
      </c>
      <c r="N170" s="26">
        <v>98.06</v>
      </c>
      <c r="O170" s="18">
        <v>98.06</v>
      </c>
      <c r="P170" s="18">
        <v>26.55</v>
      </c>
      <c r="Q170" s="49">
        <v>78.72</v>
      </c>
      <c r="R170" s="16" t="str">
        <f t="shared" si="17"/>
        <v>NO</v>
      </c>
      <c r="S170" s="16" t="str">
        <f t="shared" si="16"/>
        <v>Alto</v>
      </c>
      <c r="T170" s="23"/>
      <c r="U170" s="23"/>
      <c r="V170" s="23"/>
      <c r="W170" s="23"/>
    </row>
    <row r="171" spans="1:23" ht="36" customHeight="1" x14ac:dyDescent="0.2">
      <c r="A171" s="12" t="s">
        <v>44</v>
      </c>
      <c r="B171" s="12" t="s">
        <v>282</v>
      </c>
      <c r="C171" s="10" t="s">
        <v>283</v>
      </c>
      <c r="D171" s="18">
        <v>1368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44">
        <v>0</v>
      </c>
      <c r="R171" s="16" t="str">
        <f t="shared" si="17"/>
        <v>SI</v>
      </c>
      <c r="S171" s="16" t="str">
        <f t="shared" si="16"/>
        <v>Sin Riesgo</v>
      </c>
      <c r="T171" s="23"/>
      <c r="U171" s="23"/>
      <c r="V171" s="23"/>
      <c r="W171" s="23"/>
    </row>
    <row r="172" spans="1:23" ht="36" customHeight="1" x14ac:dyDescent="0.2">
      <c r="A172" s="12" t="s">
        <v>44</v>
      </c>
      <c r="B172" s="12" t="s">
        <v>284</v>
      </c>
      <c r="C172" s="10" t="s">
        <v>74</v>
      </c>
      <c r="D172" s="18">
        <v>1602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5">
        <v>0</v>
      </c>
      <c r="R172" s="16" t="str">
        <f t="shared" si="17"/>
        <v>SI</v>
      </c>
      <c r="S172" s="16" t="str">
        <f t="shared" si="16"/>
        <v>Sin Riesgo</v>
      </c>
      <c r="T172" s="23"/>
      <c r="U172" s="23"/>
      <c r="V172" s="23"/>
      <c r="W172" s="23"/>
    </row>
    <row r="173" spans="1:23" ht="36" customHeight="1" x14ac:dyDescent="0.2">
      <c r="A173" s="12" t="s">
        <v>44</v>
      </c>
      <c r="B173" s="12" t="s">
        <v>284</v>
      </c>
      <c r="C173" s="10" t="s">
        <v>285</v>
      </c>
      <c r="D173" s="18">
        <v>217</v>
      </c>
      <c r="E173" s="14">
        <v>0</v>
      </c>
      <c r="F173" s="14">
        <v>0</v>
      </c>
      <c r="G173" s="14">
        <v>0</v>
      </c>
      <c r="H173" s="14">
        <v>6.45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5">
        <v>0.54</v>
      </c>
      <c r="R173" s="16" t="str">
        <f t="shared" si="17"/>
        <v>SI</v>
      </c>
      <c r="S173" s="16" t="str">
        <f t="shared" si="16"/>
        <v>Sin Riesgo</v>
      </c>
      <c r="T173" s="23"/>
      <c r="U173" s="23"/>
      <c r="V173" s="23"/>
      <c r="W173" s="23"/>
    </row>
    <row r="174" spans="1:23" ht="36" customHeight="1" x14ac:dyDescent="0.2">
      <c r="A174" s="12" t="s">
        <v>27</v>
      </c>
      <c r="B174" s="12" t="s">
        <v>286</v>
      </c>
      <c r="C174" s="10" t="s">
        <v>287</v>
      </c>
      <c r="D174" s="18">
        <v>1400</v>
      </c>
      <c r="E174" s="34">
        <v>22.95</v>
      </c>
      <c r="F174" s="34">
        <v>13.55</v>
      </c>
      <c r="G174" s="34">
        <v>0</v>
      </c>
      <c r="H174" s="34">
        <v>6.45</v>
      </c>
      <c r="I174" s="34">
        <v>17.88</v>
      </c>
      <c r="J174" s="34">
        <v>0</v>
      </c>
      <c r="K174" s="34">
        <v>35.4</v>
      </c>
      <c r="L174" s="34">
        <v>9.73</v>
      </c>
      <c r="M174" s="34">
        <v>0</v>
      </c>
      <c r="N174" s="34">
        <v>17.21</v>
      </c>
      <c r="O174" s="34">
        <v>13.55</v>
      </c>
      <c r="P174" s="34">
        <v>0</v>
      </c>
      <c r="Q174" s="44">
        <v>11.39</v>
      </c>
      <c r="R174" s="16" t="str">
        <f t="shared" si="17"/>
        <v>NO</v>
      </c>
      <c r="S174" s="16" t="str">
        <f t="shared" si="16"/>
        <v>Bajo</v>
      </c>
      <c r="T174" s="23"/>
      <c r="U174" s="23"/>
      <c r="V174" s="23"/>
      <c r="W174" s="23"/>
    </row>
    <row r="175" spans="1:23" ht="36" customHeight="1" x14ac:dyDescent="0.2">
      <c r="A175" s="12" t="s">
        <v>71</v>
      </c>
      <c r="B175" s="28" t="s">
        <v>333</v>
      </c>
      <c r="C175" s="10" t="s">
        <v>72</v>
      </c>
      <c r="D175" s="18">
        <v>13009</v>
      </c>
      <c r="E175" s="34">
        <v>0.94</v>
      </c>
      <c r="F175" s="34">
        <v>5.44</v>
      </c>
      <c r="G175" s="34">
        <v>1.18</v>
      </c>
      <c r="H175" s="34">
        <v>0.94</v>
      </c>
      <c r="I175" s="34">
        <v>4.1100000000000003</v>
      </c>
      <c r="J175" s="34">
        <v>0.24</v>
      </c>
      <c r="K175" s="34">
        <v>0.94</v>
      </c>
      <c r="L175" s="34">
        <v>0</v>
      </c>
      <c r="M175" s="34">
        <v>0.71</v>
      </c>
      <c r="N175" s="34">
        <v>0</v>
      </c>
      <c r="O175" s="34">
        <v>0</v>
      </c>
      <c r="P175" s="34">
        <v>0.25</v>
      </c>
      <c r="Q175" s="44">
        <v>1.23</v>
      </c>
      <c r="R175" s="16" t="str">
        <f t="shared" si="17"/>
        <v>SI</v>
      </c>
      <c r="S175" s="16" t="str">
        <f t="shared" si="16"/>
        <v>Sin Riesgo</v>
      </c>
      <c r="T175" s="23"/>
      <c r="U175" s="23"/>
      <c r="V175" s="23"/>
      <c r="W175" s="23"/>
    </row>
    <row r="176" spans="1:23" ht="36" customHeight="1" x14ac:dyDescent="0.2">
      <c r="A176" s="12" t="s">
        <v>40</v>
      </c>
      <c r="B176" s="12" t="s">
        <v>288</v>
      </c>
      <c r="C176" s="10" t="s">
        <v>289</v>
      </c>
      <c r="D176" s="18">
        <v>735</v>
      </c>
      <c r="E176" s="34">
        <v>23.6</v>
      </c>
      <c r="F176" s="34">
        <v>0</v>
      </c>
      <c r="G176" s="34">
        <v>0</v>
      </c>
      <c r="H176" s="34">
        <v>0</v>
      </c>
      <c r="I176" s="34">
        <v>8.85</v>
      </c>
      <c r="J176" s="34">
        <v>0</v>
      </c>
      <c r="K176" s="34">
        <v>0</v>
      </c>
      <c r="L176" s="34">
        <v>23.21</v>
      </c>
      <c r="M176" s="34">
        <v>0</v>
      </c>
      <c r="N176" s="34">
        <v>0</v>
      </c>
      <c r="O176" s="34">
        <v>0</v>
      </c>
      <c r="P176" s="34">
        <v>0</v>
      </c>
      <c r="Q176" s="44">
        <v>4.6399999999999997</v>
      </c>
      <c r="R176" s="16" t="str">
        <f t="shared" si="17"/>
        <v>SI</v>
      </c>
      <c r="S176" s="16" t="str">
        <f t="shared" si="16"/>
        <v>Sin Riesgo</v>
      </c>
      <c r="T176" s="23"/>
      <c r="U176" s="23"/>
      <c r="V176" s="23"/>
      <c r="W176" s="23"/>
    </row>
    <row r="177" spans="1:23" ht="36" customHeight="1" x14ac:dyDescent="0.2">
      <c r="A177" s="12" t="s">
        <v>40</v>
      </c>
      <c r="B177" s="12" t="s">
        <v>288</v>
      </c>
      <c r="C177" s="10" t="s">
        <v>290</v>
      </c>
      <c r="D177" s="18">
        <v>70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6.45</v>
      </c>
      <c r="M177" s="34">
        <v>0</v>
      </c>
      <c r="N177" s="34">
        <v>0</v>
      </c>
      <c r="O177" s="34">
        <v>0</v>
      </c>
      <c r="P177" s="34">
        <v>0</v>
      </c>
      <c r="Q177" s="44">
        <v>0.54</v>
      </c>
      <c r="R177" s="16" t="str">
        <f t="shared" si="17"/>
        <v>SI</v>
      </c>
      <c r="S177" s="16" t="str">
        <f t="shared" si="16"/>
        <v>Sin Riesgo</v>
      </c>
      <c r="T177" s="23"/>
      <c r="U177" s="23"/>
      <c r="V177" s="23"/>
      <c r="W177" s="23"/>
    </row>
    <row r="178" spans="1:23" ht="36" customHeight="1" x14ac:dyDescent="0.2">
      <c r="A178" s="12" t="s">
        <v>44</v>
      </c>
      <c r="B178" s="12" t="s">
        <v>291</v>
      </c>
      <c r="C178" s="10" t="s">
        <v>292</v>
      </c>
      <c r="D178" s="18">
        <v>6600</v>
      </c>
      <c r="E178" s="34">
        <v>13.6</v>
      </c>
      <c r="F178" s="34">
        <v>0</v>
      </c>
      <c r="G178" s="34">
        <v>0</v>
      </c>
      <c r="H178" s="34">
        <v>0</v>
      </c>
      <c r="I178" s="34">
        <v>6.47</v>
      </c>
      <c r="J178" s="34">
        <v>0</v>
      </c>
      <c r="K178" s="34">
        <v>0</v>
      </c>
      <c r="L178" s="34">
        <v>0</v>
      </c>
      <c r="M178" s="34">
        <v>1.18</v>
      </c>
      <c r="N178" s="34">
        <v>1.18</v>
      </c>
      <c r="O178" s="34">
        <v>1.18</v>
      </c>
      <c r="P178" s="34">
        <v>0</v>
      </c>
      <c r="Q178" s="15">
        <v>1.97</v>
      </c>
      <c r="R178" s="16" t="str">
        <f t="shared" si="17"/>
        <v>SI</v>
      </c>
      <c r="S178" s="16" t="str">
        <f t="shared" si="16"/>
        <v>Sin Riesgo</v>
      </c>
      <c r="T178" s="23"/>
      <c r="U178" s="23"/>
      <c r="V178" s="23"/>
      <c r="W178" s="23"/>
    </row>
    <row r="179" spans="1:23" ht="36" customHeight="1" x14ac:dyDescent="0.2">
      <c r="A179" s="12" t="s">
        <v>27</v>
      </c>
      <c r="B179" s="12" t="s">
        <v>293</v>
      </c>
      <c r="C179" s="10" t="s">
        <v>294</v>
      </c>
      <c r="D179" s="18">
        <v>1432</v>
      </c>
      <c r="E179" s="34">
        <v>0</v>
      </c>
      <c r="F179" s="34">
        <v>0</v>
      </c>
      <c r="G179" s="34">
        <v>0</v>
      </c>
      <c r="H179" s="34">
        <v>0</v>
      </c>
      <c r="I179" s="34">
        <v>8.85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44">
        <v>0.74</v>
      </c>
      <c r="R179" s="16" t="str">
        <f t="shared" si="17"/>
        <v>SI</v>
      </c>
      <c r="S179" s="16" t="str">
        <f t="shared" si="16"/>
        <v>Sin Riesgo</v>
      </c>
      <c r="T179" s="23"/>
      <c r="U179" s="23"/>
      <c r="V179" s="23"/>
      <c r="W179" s="23"/>
    </row>
    <row r="180" spans="1:23" ht="36" customHeight="1" x14ac:dyDescent="0.2">
      <c r="A180" s="12" t="s">
        <v>44</v>
      </c>
      <c r="B180" s="28" t="s">
        <v>295</v>
      </c>
      <c r="C180" s="50" t="s">
        <v>296</v>
      </c>
      <c r="D180" s="18">
        <v>1839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5.91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15">
        <v>0.49</v>
      </c>
      <c r="R180" s="16" t="str">
        <f t="shared" si="17"/>
        <v>SI</v>
      </c>
      <c r="S180" s="16" t="str">
        <f t="shared" si="16"/>
        <v>Sin Riesgo</v>
      </c>
      <c r="T180" s="23"/>
      <c r="U180" s="23"/>
      <c r="V180" s="23"/>
      <c r="W180" s="23"/>
    </row>
    <row r="181" spans="1:23" ht="36" customHeight="1" x14ac:dyDescent="0.2">
      <c r="A181" s="12" t="s">
        <v>55</v>
      </c>
      <c r="B181" s="12" t="s">
        <v>297</v>
      </c>
      <c r="C181" s="10" t="s">
        <v>298</v>
      </c>
      <c r="D181" s="18">
        <v>3616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5">
        <v>0</v>
      </c>
      <c r="R181" s="16" t="str">
        <f t="shared" si="17"/>
        <v>SI</v>
      </c>
      <c r="S181" s="16" t="str">
        <f t="shared" si="16"/>
        <v>Sin Riesgo</v>
      </c>
      <c r="T181" s="23"/>
      <c r="U181" s="23"/>
      <c r="V181" s="23"/>
      <c r="W181" s="23"/>
    </row>
    <row r="182" spans="1:23" s="51" customFormat="1" ht="36" customHeight="1" x14ac:dyDescent="0.2">
      <c r="A182" s="50" t="s">
        <v>44</v>
      </c>
      <c r="B182" s="28" t="s">
        <v>299</v>
      </c>
      <c r="C182" s="10" t="s">
        <v>300</v>
      </c>
      <c r="D182" s="18">
        <v>2822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5">
        <v>0</v>
      </c>
      <c r="R182" s="16" t="str">
        <f t="shared" si="17"/>
        <v>SI</v>
      </c>
      <c r="S182" s="16" t="str">
        <f t="shared" si="16"/>
        <v>Sin Riesgo</v>
      </c>
      <c r="T182" s="23"/>
      <c r="U182" s="23"/>
      <c r="V182" s="23"/>
      <c r="W182" s="23"/>
    </row>
    <row r="183" spans="1:23" ht="36" customHeight="1" x14ac:dyDescent="0.2">
      <c r="A183" s="12" t="s">
        <v>71</v>
      </c>
      <c r="B183" s="12" t="s">
        <v>301</v>
      </c>
      <c r="C183" s="10" t="s">
        <v>302</v>
      </c>
      <c r="D183" s="18">
        <v>720</v>
      </c>
      <c r="E183" s="14"/>
      <c r="F183" s="14">
        <v>26.55</v>
      </c>
      <c r="G183" s="14"/>
      <c r="H183" s="14">
        <v>19.350000000000001</v>
      </c>
      <c r="I183" s="14"/>
      <c r="J183" s="14">
        <v>40.65</v>
      </c>
      <c r="K183" s="14"/>
      <c r="L183" s="14"/>
      <c r="M183" s="14">
        <v>21.29</v>
      </c>
      <c r="N183" s="14"/>
      <c r="O183" s="14">
        <v>0</v>
      </c>
      <c r="P183" s="14">
        <v>38.71</v>
      </c>
      <c r="Q183" s="15">
        <v>20.94</v>
      </c>
      <c r="R183" s="16" t="str">
        <f t="shared" si="17"/>
        <v>NO</v>
      </c>
      <c r="S183" s="16" t="str">
        <f t="shared" si="16"/>
        <v>Medio</v>
      </c>
      <c r="T183" s="23"/>
      <c r="U183" s="23"/>
      <c r="V183" s="23"/>
      <c r="W183" s="23"/>
    </row>
    <row r="184" spans="1:23" ht="36" customHeight="1" x14ac:dyDescent="0.2">
      <c r="A184" s="12" t="s">
        <v>55</v>
      </c>
      <c r="B184" s="12" t="s">
        <v>303</v>
      </c>
      <c r="C184" s="10" t="s">
        <v>304</v>
      </c>
      <c r="D184" s="18">
        <v>1414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5">
        <v>0</v>
      </c>
      <c r="R184" s="16" t="str">
        <f t="shared" si="17"/>
        <v>SI</v>
      </c>
      <c r="S184" s="16" t="str">
        <f t="shared" si="16"/>
        <v>Sin Riesgo</v>
      </c>
      <c r="T184" s="23"/>
      <c r="U184" s="23"/>
      <c r="V184" s="23"/>
      <c r="W184" s="23"/>
    </row>
    <row r="185" spans="1:23" ht="36" customHeight="1" x14ac:dyDescent="0.2">
      <c r="A185" s="12" t="s">
        <v>27</v>
      </c>
      <c r="B185" s="28" t="s">
        <v>305</v>
      </c>
      <c r="C185" s="10" t="s">
        <v>306</v>
      </c>
      <c r="D185" s="18">
        <v>10926</v>
      </c>
      <c r="E185" s="14">
        <v>0</v>
      </c>
      <c r="F185" s="14">
        <v>0.86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0.71</v>
      </c>
      <c r="M185" s="14">
        <v>0</v>
      </c>
      <c r="N185" s="14">
        <v>0.92</v>
      </c>
      <c r="O185" s="14">
        <v>0</v>
      </c>
      <c r="P185" s="14">
        <v>0</v>
      </c>
      <c r="Q185" s="15">
        <v>0.21</v>
      </c>
      <c r="R185" s="16" t="str">
        <f t="shared" si="17"/>
        <v>SI</v>
      </c>
      <c r="S185" s="16" t="str">
        <f t="shared" si="16"/>
        <v>Sin Riesgo</v>
      </c>
      <c r="T185" s="23"/>
      <c r="U185" s="23"/>
      <c r="V185" s="23"/>
      <c r="W185" s="23"/>
    </row>
    <row r="186" spans="1:23" ht="36" customHeight="1" x14ac:dyDescent="0.2">
      <c r="A186" s="12" t="s">
        <v>27</v>
      </c>
      <c r="B186" s="28" t="s">
        <v>305</v>
      </c>
      <c r="C186" s="10" t="s">
        <v>307</v>
      </c>
      <c r="D186" s="18">
        <v>230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5">
        <v>0</v>
      </c>
      <c r="R186" s="16" t="str">
        <f t="shared" si="17"/>
        <v>SI</v>
      </c>
      <c r="S186" s="16" t="str">
        <f t="shared" si="16"/>
        <v>Sin Riesgo</v>
      </c>
      <c r="T186" s="23"/>
      <c r="U186" s="23"/>
      <c r="V186" s="23"/>
      <c r="W186" s="23"/>
    </row>
    <row r="187" spans="1:23" ht="36" customHeight="1" x14ac:dyDescent="0.2">
      <c r="A187" s="12" t="s">
        <v>55</v>
      </c>
      <c r="B187" s="12" t="s">
        <v>308</v>
      </c>
      <c r="C187" s="10" t="s">
        <v>309</v>
      </c>
      <c r="D187" s="18">
        <v>2635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5">
        <v>0</v>
      </c>
      <c r="R187" s="16" t="str">
        <f t="shared" si="17"/>
        <v>SI</v>
      </c>
      <c r="S187" s="16" t="str">
        <f t="shared" si="16"/>
        <v>Sin Riesgo</v>
      </c>
      <c r="T187" s="23"/>
      <c r="U187" s="23"/>
      <c r="V187" s="23"/>
      <c r="W187" s="23"/>
    </row>
    <row r="188" spans="1:23" ht="36" customHeight="1" x14ac:dyDescent="0.2">
      <c r="A188" s="42" t="s">
        <v>49</v>
      </c>
      <c r="B188" s="12" t="s">
        <v>338</v>
      </c>
      <c r="C188" s="10" t="s">
        <v>310</v>
      </c>
      <c r="D188" s="18">
        <v>1745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8.85</v>
      </c>
      <c r="N188" s="14">
        <v>11.43</v>
      </c>
      <c r="O188" s="14">
        <v>26.24</v>
      </c>
      <c r="P188" s="14">
        <v>0</v>
      </c>
      <c r="Q188" s="15">
        <v>3.88</v>
      </c>
      <c r="R188" s="16" t="str">
        <f t="shared" si="17"/>
        <v>SI</v>
      </c>
      <c r="S188" s="16" t="str">
        <f t="shared" si="16"/>
        <v>Sin Riesgo</v>
      </c>
      <c r="T188" s="23"/>
      <c r="U188" s="23"/>
      <c r="V188" s="23"/>
      <c r="W188" s="23"/>
    </row>
    <row r="189" spans="1:23" ht="36" customHeight="1" x14ac:dyDescent="0.2">
      <c r="A189" s="12" t="s">
        <v>46</v>
      </c>
      <c r="B189" s="12" t="s">
        <v>311</v>
      </c>
      <c r="C189" s="10" t="s">
        <v>312</v>
      </c>
      <c r="D189" s="18">
        <v>623</v>
      </c>
      <c r="E189" s="14">
        <v>96.72</v>
      </c>
      <c r="F189" s="26">
        <v>56.84</v>
      </c>
      <c r="G189" s="26"/>
      <c r="H189" s="26">
        <v>97.35</v>
      </c>
      <c r="I189" s="26">
        <v>97.7</v>
      </c>
      <c r="J189" s="26">
        <v>98.47</v>
      </c>
      <c r="K189" s="26">
        <v>98.37</v>
      </c>
      <c r="L189" s="26">
        <v>98.35</v>
      </c>
      <c r="M189" s="26">
        <v>92.15</v>
      </c>
      <c r="N189" s="26">
        <v>88.25</v>
      </c>
      <c r="O189" s="26">
        <v>93.83</v>
      </c>
      <c r="P189" s="26">
        <v>98.06</v>
      </c>
      <c r="Q189" s="43">
        <v>92.37</v>
      </c>
      <c r="R189" s="16" t="str">
        <f t="shared" si="17"/>
        <v>NO</v>
      </c>
      <c r="S189" s="16" t="str">
        <f t="shared" si="16"/>
        <v>Inviable Sanitariamente</v>
      </c>
      <c r="T189" s="23"/>
      <c r="U189" s="23"/>
      <c r="V189" s="23"/>
      <c r="W189" s="23"/>
    </row>
    <row r="190" spans="1:23" ht="36" customHeight="1" x14ac:dyDescent="0.2">
      <c r="A190" s="12" t="s">
        <v>46</v>
      </c>
      <c r="B190" s="12" t="s">
        <v>311</v>
      </c>
      <c r="C190" s="10" t="s">
        <v>313</v>
      </c>
      <c r="D190" s="18">
        <v>3038</v>
      </c>
      <c r="E190" s="14">
        <v>100</v>
      </c>
      <c r="F190" s="34">
        <v>97.35</v>
      </c>
      <c r="G190" s="34"/>
      <c r="H190" s="34">
        <v>97.35</v>
      </c>
      <c r="I190" s="34">
        <v>68.03</v>
      </c>
      <c r="J190" s="34">
        <v>79.760000000000005</v>
      </c>
      <c r="K190" s="34">
        <v>98.67</v>
      </c>
      <c r="L190" s="34">
        <v>89.44</v>
      </c>
      <c r="M190" s="34">
        <v>70.97</v>
      </c>
      <c r="N190" s="34">
        <v>88.37</v>
      </c>
      <c r="O190" s="34">
        <v>88.77</v>
      </c>
      <c r="P190" s="34">
        <v>90.32</v>
      </c>
      <c r="Q190" s="44">
        <v>88.09</v>
      </c>
      <c r="R190" s="16" t="str">
        <f t="shared" si="17"/>
        <v>NO</v>
      </c>
      <c r="S190" s="16" t="str">
        <f t="shared" si="16"/>
        <v>Inviable Sanitariamente</v>
      </c>
      <c r="T190" s="23"/>
      <c r="U190" s="23"/>
      <c r="V190" s="23"/>
      <c r="W190" s="23"/>
    </row>
    <row r="191" spans="1:23" x14ac:dyDescent="0.2">
      <c r="B191"/>
      <c r="C191"/>
    </row>
    <row r="192" spans="1:23" ht="15.75" x14ac:dyDescent="0.2">
      <c r="A192" s="53" t="s">
        <v>314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</row>
    <row r="193" spans="2:17" x14ac:dyDescent="0.2">
      <c r="B193" s="55"/>
      <c r="C193" s="56"/>
      <c r="D193" s="56"/>
      <c r="Q193" s="52" t="s">
        <v>315</v>
      </c>
    </row>
    <row r="194" spans="2:17" ht="14.25" x14ac:dyDescent="0.2">
      <c r="B194" s="65"/>
      <c r="C194" s="65"/>
      <c r="D194" s="65"/>
      <c r="E194" s="65"/>
      <c r="F194" s="65"/>
    </row>
    <row r="195" spans="2:17" x14ac:dyDescent="0.2">
      <c r="B195"/>
      <c r="C195"/>
    </row>
    <row r="196" spans="2:17" x14ac:dyDescent="0.2">
      <c r="B196"/>
      <c r="C196"/>
    </row>
    <row r="197" spans="2:17" x14ac:dyDescent="0.2">
      <c r="B197"/>
      <c r="C197"/>
    </row>
    <row r="198" spans="2:17" x14ac:dyDescent="0.2">
      <c r="B198"/>
      <c r="C198"/>
      <c r="O198" s="52"/>
      <c r="Q198"/>
    </row>
    <row r="199" spans="2:17" x14ac:dyDescent="0.2">
      <c r="B199"/>
      <c r="C199"/>
      <c r="O199" s="52"/>
      <c r="Q199"/>
    </row>
    <row r="200" spans="2:17" ht="15.75" x14ac:dyDescent="0.25">
      <c r="B200" s="66"/>
      <c r="C200" s="67"/>
      <c r="D200" s="67"/>
      <c r="E200" s="67"/>
      <c r="F200" s="67"/>
      <c r="G200" s="67"/>
      <c r="H200" s="67"/>
      <c r="I200" s="67"/>
      <c r="J200" s="67"/>
      <c r="K200" s="67"/>
      <c r="Q200"/>
    </row>
    <row r="201" spans="2:17" ht="15" x14ac:dyDescent="0.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Q201"/>
    </row>
    <row r="202" spans="2:17" x14ac:dyDescent="0.2">
      <c r="B202"/>
      <c r="C202"/>
      <c r="Q202"/>
    </row>
    <row r="203" spans="2:17" x14ac:dyDescent="0.2">
      <c r="B203"/>
      <c r="C203"/>
      <c r="Q203"/>
    </row>
    <row r="204" spans="2:17" x14ac:dyDescent="0.2">
      <c r="B204"/>
      <c r="C204"/>
      <c r="Q204"/>
    </row>
    <row r="205" spans="2:17" x14ac:dyDescent="0.2">
      <c r="B205"/>
      <c r="C205"/>
      <c r="Q205"/>
    </row>
    <row r="206" spans="2:17" x14ac:dyDescent="0.2">
      <c r="B206"/>
      <c r="C206"/>
      <c r="Q206"/>
    </row>
    <row r="207" spans="2:17" x14ac:dyDescent="0.2">
      <c r="B207"/>
      <c r="C207"/>
      <c r="Q207"/>
    </row>
    <row r="208" spans="2:17" x14ac:dyDescent="0.2">
      <c r="B208"/>
      <c r="C208"/>
      <c r="Q208"/>
    </row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</sheetData>
  <dataConsolidate/>
  <mergeCells count="40">
    <mergeCell ref="A1:B6"/>
    <mergeCell ref="Z1:Z5"/>
    <mergeCell ref="AG1:AG5"/>
    <mergeCell ref="AH1:AH5"/>
    <mergeCell ref="AI1:AI5"/>
    <mergeCell ref="C2:S2"/>
    <mergeCell ref="C3:S3"/>
    <mergeCell ref="C4:S4"/>
    <mergeCell ref="C5:S5"/>
    <mergeCell ref="AA1:AA5"/>
    <mergeCell ref="AB1:AB5"/>
    <mergeCell ref="AC1:AC5"/>
    <mergeCell ref="AD1:AD5"/>
    <mergeCell ref="AE1:AE5"/>
    <mergeCell ref="AF1:AF5"/>
    <mergeCell ref="U1:U5"/>
    <mergeCell ref="V1:V5"/>
    <mergeCell ref="W1:W5"/>
    <mergeCell ref="X1:X5"/>
    <mergeCell ref="Y1:Y5"/>
    <mergeCell ref="C6:S6"/>
    <mergeCell ref="B201:L201"/>
    <mergeCell ref="A8:A9"/>
    <mergeCell ref="B8:B9"/>
    <mergeCell ref="C8:C9"/>
    <mergeCell ref="D8:D9"/>
    <mergeCell ref="E8:P8"/>
    <mergeCell ref="U17:AI17"/>
    <mergeCell ref="B194:F194"/>
    <mergeCell ref="B200:K200"/>
    <mergeCell ref="Q8:Q9"/>
    <mergeCell ref="R7:S7"/>
    <mergeCell ref="R8:R9"/>
    <mergeCell ref="S8:S9"/>
    <mergeCell ref="D7:E7"/>
    <mergeCell ref="F7:H7"/>
    <mergeCell ref="I7:K7"/>
    <mergeCell ref="L7:N7"/>
    <mergeCell ref="O7:Q7"/>
    <mergeCell ref="U16:AI16"/>
  </mergeCells>
  <conditionalFormatting sqref="E114:P115">
    <cfRule type="cellIs" dxfId="73" priority="62" stopIfTrue="1" operator="between">
      <formula>35.1</formula>
      <formula>80</formula>
    </cfRule>
    <cfRule type="cellIs" dxfId="72" priority="61" stopIfTrue="1" operator="between">
      <formula>80.1</formula>
      <formula>100</formula>
    </cfRule>
    <cfRule type="containsBlanks" dxfId="71" priority="60" stopIfTrue="1">
      <formula>LEN(TRIM(E114))=0</formula>
    </cfRule>
    <cfRule type="cellIs" dxfId="70" priority="63" stopIfTrue="1" operator="between">
      <formula>14.1</formula>
      <formula>35</formula>
    </cfRule>
    <cfRule type="cellIs" dxfId="69" priority="64" stopIfTrue="1" operator="between">
      <formula>5.1</formula>
      <formula>14</formula>
    </cfRule>
    <cfRule type="cellIs" dxfId="68" priority="65" stopIfTrue="1" operator="between">
      <formula>0</formula>
      <formula>5</formula>
    </cfRule>
  </conditionalFormatting>
  <conditionalFormatting sqref="E114:P121 Q114:Q123 K122:P122 E122:J123 F123:P123">
    <cfRule type="cellIs" dxfId="67" priority="70" stopIfTrue="1" operator="between">
      <formula>14.1</formula>
      <formula>35</formula>
    </cfRule>
    <cfRule type="cellIs" dxfId="66" priority="71" stopIfTrue="1" operator="between">
      <formula>5.1</formula>
      <formula>14</formula>
    </cfRule>
    <cfRule type="cellIs" dxfId="65" priority="72" stopIfTrue="1" operator="between">
      <formula>0</formula>
      <formula>5</formula>
    </cfRule>
    <cfRule type="containsBlanks" dxfId="64" priority="73" stopIfTrue="1">
      <formula>LEN(TRIM(E114))=0</formula>
    </cfRule>
    <cfRule type="cellIs" dxfId="63" priority="69" stopIfTrue="1" operator="between">
      <formula>35.1</formula>
      <formula>80</formula>
    </cfRule>
  </conditionalFormatting>
  <conditionalFormatting sqref="E114:P121">
    <cfRule type="containsBlanks" dxfId="62" priority="66" stopIfTrue="1">
      <formula>LEN(TRIM(E114))=0</formula>
    </cfRule>
  </conditionalFormatting>
  <conditionalFormatting sqref="E122:P123">
    <cfRule type="containsBlanks" dxfId="61" priority="59" stopIfTrue="1">
      <formula>LEN(TRIM(E122))=0</formula>
    </cfRule>
  </conditionalFormatting>
  <conditionalFormatting sqref="E10:Q59">
    <cfRule type="cellIs" dxfId="60" priority="79" stopIfTrue="1" operator="between">
      <formula>0</formula>
      <formula>5</formula>
    </cfRule>
    <cfRule type="cellIs" dxfId="59" priority="78" stopIfTrue="1" operator="between">
      <formula>5.1</formula>
      <formula>14</formula>
    </cfRule>
    <cfRule type="cellIs" dxfId="58" priority="75" stopIfTrue="1" operator="between">
      <formula>80.1</formula>
      <formula>100</formula>
    </cfRule>
    <cfRule type="cellIs" dxfId="57" priority="77" stopIfTrue="1" operator="between">
      <formula>14.1</formula>
      <formula>35</formula>
    </cfRule>
    <cfRule type="cellIs" dxfId="56" priority="76" stopIfTrue="1" operator="between">
      <formula>35.1</formula>
      <formula>80</formula>
    </cfRule>
  </conditionalFormatting>
  <conditionalFormatting sqref="E10:Q113">
    <cfRule type="containsBlanks" dxfId="55" priority="45" stopIfTrue="1">
      <formula>LEN(TRIM(E10))=0</formula>
    </cfRule>
  </conditionalFormatting>
  <conditionalFormatting sqref="E60:Q60">
    <cfRule type="cellIs" dxfId="54" priority="41" stopIfTrue="1" operator="between">
      <formula>35.1</formula>
      <formula>80</formula>
    </cfRule>
    <cfRule type="cellIs" dxfId="53" priority="42" stopIfTrue="1" operator="between">
      <formula>14.1</formula>
      <formula>35</formula>
    </cfRule>
    <cfRule type="cellIs" dxfId="52" priority="43" stopIfTrue="1" operator="between">
      <formula>5.1</formula>
      <formula>14</formula>
    </cfRule>
    <cfRule type="cellIs" dxfId="51" priority="44" stopIfTrue="1" operator="between">
      <formula>0</formula>
      <formula>5</formula>
    </cfRule>
    <cfRule type="cellIs" dxfId="50" priority="40" stopIfTrue="1" operator="between">
      <formula>80.1</formula>
      <formula>100</formula>
    </cfRule>
    <cfRule type="containsBlanks" dxfId="49" priority="39" stopIfTrue="1">
      <formula>LEN(TRIM(E60))=0</formula>
    </cfRule>
  </conditionalFormatting>
  <conditionalFormatting sqref="E61:Q113 E124:Q124 E125:S125 E126:Q182 F182:P183 E183:E190 F184:Q190 E10:Q11 E17:Q59">
    <cfRule type="containsBlanks" dxfId="48" priority="116" stopIfTrue="1">
      <formula>LEN(TRIM(E10))=0</formula>
    </cfRule>
  </conditionalFormatting>
  <conditionalFormatting sqref="E61:Q113 E124:Q124 E125:S125 E126:Q182 F182:P183 E183:E190 F184:Q190">
    <cfRule type="cellIs" dxfId="47" priority="112" stopIfTrue="1" operator="between">
      <formula>35.1</formula>
      <formula>80</formula>
    </cfRule>
    <cfRule type="cellIs" dxfId="46" priority="113" stopIfTrue="1" operator="between">
      <formula>14.1</formula>
      <formula>35</formula>
    </cfRule>
    <cfRule type="cellIs" dxfId="45" priority="114" stopIfTrue="1" operator="between">
      <formula>5.1</formula>
      <formula>14</formula>
    </cfRule>
    <cfRule type="cellIs" dxfId="44" priority="115" stopIfTrue="1" operator="between">
      <formula>0</formula>
      <formula>5</formula>
    </cfRule>
  </conditionalFormatting>
  <conditionalFormatting sqref="E124:Q124">
    <cfRule type="containsBlanks" dxfId="43" priority="109" stopIfTrue="1">
      <formula>LEN(TRIM(E124))=0</formula>
    </cfRule>
  </conditionalFormatting>
  <conditionalFormatting sqref="E126:Q182 F182:P183 E183:E190 F184:Q190 E124:Q124 E61:Q113 E125:S125">
    <cfRule type="cellIs" dxfId="42" priority="111" stopIfTrue="1" operator="between">
      <formula>80.1</formula>
      <formula>100</formula>
    </cfRule>
  </conditionalFormatting>
  <conditionalFormatting sqref="E126:Q182">
    <cfRule type="containsBlanks" dxfId="41" priority="94" stopIfTrue="1">
      <formula>LEN(TRIM(E126))=0</formula>
    </cfRule>
  </conditionalFormatting>
  <conditionalFormatting sqref="E125:S125">
    <cfRule type="containsBlanks" dxfId="40" priority="30" stopIfTrue="1">
      <formula>LEN(TRIM(E125))=0</formula>
    </cfRule>
  </conditionalFormatting>
  <conditionalFormatting sqref="F182:P183 E183:E190 F184:Q190">
    <cfRule type="containsBlanks" dxfId="39" priority="110" stopIfTrue="1">
      <formula>LEN(TRIM(E182))=0</formula>
    </cfRule>
  </conditionalFormatting>
  <conditionalFormatting sqref="K123:N123">
    <cfRule type="cellIs" dxfId="38" priority="7" stopIfTrue="1" operator="between">
      <formula>35.1</formula>
      <formula>80</formula>
    </cfRule>
    <cfRule type="cellIs" dxfId="37" priority="8" stopIfTrue="1" operator="between">
      <formula>14.1</formula>
      <formula>35</formula>
    </cfRule>
    <cfRule type="cellIs" dxfId="36" priority="9" stopIfTrue="1" operator="between">
      <formula>5.1</formula>
      <formula>14</formula>
    </cfRule>
    <cfRule type="cellIs" dxfId="35" priority="10" stopIfTrue="1" operator="between">
      <formula>0</formula>
      <formula>5</formula>
    </cfRule>
    <cfRule type="cellIs" dxfId="34" priority="6" stopIfTrue="1" operator="between">
      <formula>80.1</formula>
      <formula>100</formula>
    </cfRule>
  </conditionalFormatting>
  <conditionalFormatting sqref="K123:O123">
    <cfRule type="cellIs" dxfId="33" priority="56" stopIfTrue="1" operator="between">
      <formula>14.1</formula>
      <formula>35</formula>
    </cfRule>
    <cfRule type="cellIs" dxfId="32" priority="55" stopIfTrue="1" operator="between">
      <formula>35.1</formula>
      <formula>80</formula>
    </cfRule>
    <cfRule type="cellIs" dxfId="31" priority="54" stopIfTrue="1" operator="between">
      <formula>80.1</formula>
      <formula>100</formula>
    </cfRule>
    <cfRule type="containsBlanks" dxfId="30" priority="11" stopIfTrue="1">
      <formula>LEN(TRIM(K123))=0</formula>
    </cfRule>
    <cfRule type="cellIs" dxfId="29" priority="58" stopIfTrue="1" operator="between">
      <formula>0</formula>
      <formula>5</formula>
    </cfRule>
    <cfRule type="cellIs" dxfId="28" priority="57" stopIfTrue="1" operator="between">
      <formula>5.1</formula>
      <formula>14</formula>
    </cfRule>
  </conditionalFormatting>
  <conditionalFormatting sqref="O124">
    <cfRule type="containsBlanks" dxfId="27" priority="103" stopIfTrue="1">
      <formula>LEN(TRIM(O124))=0</formula>
    </cfRule>
    <cfRule type="cellIs" dxfId="26" priority="104" stopIfTrue="1" operator="between">
      <formula>80.1</formula>
      <formula>100</formula>
    </cfRule>
    <cfRule type="cellIs" dxfId="25" priority="105" stopIfTrue="1" operator="between">
      <formula>35.1</formula>
      <formula>80</formula>
    </cfRule>
    <cfRule type="cellIs" dxfId="24" priority="106" stopIfTrue="1" operator="between">
      <formula>14.1</formula>
      <formula>35</formula>
    </cfRule>
    <cfRule type="cellIs" dxfId="23" priority="107" stopIfTrue="1" operator="between">
      <formula>5.1</formula>
      <formula>14</formula>
    </cfRule>
    <cfRule type="cellIs" dxfId="22" priority="108" stopIfTrue="1" operator="between">
      <formula>0</formula>
      <formula>5</formula>
    </cfRule>
  </conditionalFormatting>
  <conditionalFormatting sqref="Q114:Q123 E114:P121 K122:P122 E122:J123 F123:P123">
    <cfRule type="cellIs" dxfId="21" priority="68" stopIfTrue="1" operator="between">
      <formula>80.1</formula>
      <formula>100</formula>
    </cfRule>
  </conditionalFormatting>
  <conditionalFormatting sqref="Q114:Q123">
    <cfRule type="containsBlanks" dxfId="20" priority="67" stopIfTrue="1">
      <formula>LEN(TRIM(Q114))=0</formula>
    </cfRule>
  </conditionalFormatting>
  <conditionalFormatting sqref="Q183">
    <cfRule type="cellIs" dxfId="19" priority="82" stopIfTrue="1" operator="between">
      <formula>80.1</formula>
      <formula>100</formula>
    </cfRule>
    <cfRule type="cellIs" dxfId="18" priority="83" stopIfTrue="1" operator="between">
      <formula>35.1</formula>
      <formula>80</formula>
    </cfRule>
    <cfRule type="cellIs" dxfId="17" priority="84" stopIfTrue="1" operator="between">
      <formula>14.1</formula>
      <formula>35</formula>
    </cfRule>
    <cfRule type="cellIs" dxfId="16" priority="85" stopIfTrue="1" operator="between">
      <formula>5.1</formula>
      <formula>14</formula>
    </cfRule>
    <cfRule type="cellIs" dxfId="15" priority="86" stopIfTrue="1" operator="between">
      <formula>0</formula>
      <formula>5</formula>
    </cfRule>
    <cfRule type="containsBlanks" dxfId="14" priority="87" stopIfTrue="1">
      <formula>LEN(TRIM(Q183))=0</formula>
    </cfRule>
    <cfRule type="containsBlanks" dxfId="13" priority="81" stopIfTrue="1">
      <formula>LEN(TRIM(Q183))=0</formula>
    </cfRule>
  </conditionalFormatting>
  <conditionalFormatting sqref="R10:R124 R126:R190">
    <cfRule type="cellIs" dxfId="12" priority="95" stopIfTrue="1" operator="equal">
      <formula>"NO"</formula>
    </cfRule>
  </conditionalFormatting>
  <conditionalFormatting sqref="S10:S124 S126:S190">
    <cfRule type="containsText" dxfId="11" priority="96" stopIfTrue="1" operator="containsText" text="SIN RIESGO">
      <formula>NOT(ISERROR(SEARCH("SIN RIESGO",S10)))</formula>
    </cfRule>
    <cfRule type="containsText" dxfId="10" priority="97" stopIfTrue="1" operator="containsText" text="INVIABLE SANITARIAMENTE">
      <formula>NOT(ISERROR(SEARCH("INVIABLE SANITARIAMENTE",S10)))</formula>
    </cfRule>
    <cfRule type="containsText" dxfId="9" priority="98" stopIfTrue="1" operator="containsText" text="ALTO">
      <formula>NOT(ISERROR(SEARCH("ALTO",S10)))</formula>
    </cfRule>
    <cfRule type="containsText" dxfId="8" priority="99" stopIfTrue="1" operator="containsText" text="MEDIO">
      <formula>NOT(ISERROR(SEARCH("MEDIO",S10)))</formula>
    </cfRule>
    <cfRule type="containsText" dxfId="7" priority="101" stopIfTrue="1" operator="containsText" text="SIN RIESGO">
      <formula>NOT(ISERROR(SEARCH("SIN RIESGO",S10)))</formula>
    </cfRule>
    <cfRule type="cellIs" dxfId="6" priority="102" stopIfTrue="1" operator="equal">
      <formula>"INVIABLE SANITARIAMENTE"</formula>
    </cfRule>
    <cfRule type="containsText" dxfId="5" priority="100" stopIfTrue="1" operator="containsText" text="BAJO">
      <formula>NOT(ISERROR(SEARCH("BAJO",S10)))</formula>
    </cfRule>
  </conditionalFormatting>
  <conditionalFormatting sqref="O123">
    <cfRule type="cellIs" dxfId="4" priority="1" stopIfTrue="1" operator="between">
      <formula>80.1</formula>
      <formula>100</formula>
    </cfRule>
    <cfRule type="cellIs" dxfId="3" priority="2" stopIfTrue="1" operator="between">
      <formula>35.1</formula>
      <formula>80</formula>
    </cfRule>
    <cfRule type="cellIs" dxfId="2" priority="3" stopIfTrue="1" operator="between">
      <formula>14.1</formula>
      <formula>35</formula>
    </cfRule>
    <cfRule type="cellIs" dxfId="1" priority="4" stopIfTrue="1" operator="between">
      <formula>5.1</formula>
      <formula>14</formula>
    </cfRule>
    <cfRule type="cellIs" dxfId="0" priority="5" stopIfTrue="1" operator="between">
      <formula>0</formula>
      <formula>5</formula>
    </cfRule>
  </conditionalFormatting>
  <printOptions horizontalCentered="1"/>
  <pageMargins left="0.19685039370078741" right="0.19685039370078741" top="0.6692913385826772" bottom="0.62992125984251968" header="0.43307086614173229" footer="0.51181102362204722"/>
  <pageSetup paperSize="14" scale="55" firstPageNumber="0" orientation="landscape" r:id="rId1"/>
  <headerFooter alignWithMargins="0">
    <oddFooter>&amp;L                                      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S0488</dc:creator>
  <cp:lastModifiedBy>JHON WILLIAM TABARES MORALES</cp:lastModifiedBy>
  <dcterms:created xsi:type="dcterms:W3CDTF">2023-05-10T21:10:48Z</dcterms:created>
  <dcterms:modified xsi:type="dcterms:W3CDTF">2024-05-06T20:33:33Z</dcterms:modified>
</cp:coreProperties>
</file>