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195" activeTab="0"/>
  </bookViews>
  <sheets>
    <sheet name="2020" sheetId="1" r:id="rId1"/>
  </sheets>
  <definedNames>
    <definedName name="_xlfn.COUNTIFS" hidden="1">#NAME?</definedName>
    <definedName name="solver_typ" localSheetId="0" hidden="1">2</definedName>
    <definedName name="solver_ver" localSheetId="0" hidden="1">17</definedName>
    <definedName name="_xlnm.Print_Titles" localSheetId="0">'2020'!$1:$9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  <author>JOHN TABARES</author>
  </authors>
  <commentList>
    <comment ref="C1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67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  <comment ref="D3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19877</t>
        </r>
      </text>
    </comment>
  </commentList>
</comments>
</file>

<file path=xl/sharedStrings.xml><?xml version="1.0" encoding="utf-8"?>
<sst xmlns="http://schemas.openxmlformats.org/spreadsheetml/2006/main" count="586" uniqueCount="336">
  <si>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</si>
  <si>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</si>
  <si>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</si>
  <si>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</si>
  <si>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</si>
  <si>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</si>
  <si>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</si>
  <si>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</si>
  <si>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</si>
  <si>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 xml:space="preserve"> </t>
  </si>
  <si>
    <t>AGUA APTA PARA EL CONSUMO HUMANO</t>
  </si>
  <si>
    <t>Asociación Acolinda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</si>
  <si>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</si>
  <si>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</si>
  <si>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</si>
  <si>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</si>
  <si>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</si>
  <si>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</si>
  <si>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</si>
  <si>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</si>
  <si>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</si>
  <si>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</si>
  <si>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</si>
  <si>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</si>
  <si>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</si>
  <si>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</si>
  <si>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</si>
  <si>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</si>
  <si>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Asociación de Usuarios Acueducto Barrio Alto del Calvario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</si>
  <si>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</si>
  <si>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</si>
  <si>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</si>
  <si>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</si>
  <si>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</si>
  <si>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</si>
  <si>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</si>
  <si>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</si>
  <si>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</si>
  <si>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</si>
  <si>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</si>
  <si>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</si>
  <si>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</si>
  <si>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</si>
  <si>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</si>
  <si>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</si>
  <si>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</si>
  <si>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</si>
  <si>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</si>
  <si>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</si>
  <si>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</si>
  <si>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</si>
  <si>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</si>
  <si>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</si>
  <si>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</si>
  <si>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</si>
  <si>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</si>
  <si>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</si>
  <si>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</si>
  <si>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</si>
  <si>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</si>
  <si>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</si>
  <si>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</si>
  <si>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</si>
  <si>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</si>
  <si>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</si>
  <si>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</si>
  <si>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</si>
  <si>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</si>
  <si>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</si>
  <si>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</si>
  <si>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</si>
  <si>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</si>
  <si>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</si>
  <si>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</si>
  <si>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</si>
  <si>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</si>
  <si>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</si>
  <si>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</si>
  <si>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</si>
  <si>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</si>
  <si>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</si>
  <si>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</si>
  <si>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</si>
  <si>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</si>
  <si>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</si>
  <si>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</si>
  <si>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</si>
  <si>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</si>
  <si>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</si>
  <si>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</si>
  <si>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</si>
  <si>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</si>
  <si>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</si>
  <si>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</si>
  <si>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</si>
  <si>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</si>
  <si>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</si>
  <si>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</si>
  <si>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</si>
  <si>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</si>
  <si>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</si>
  <si>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</si>
  <si>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</si>
  <si>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</si>
  <si>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</si>
  <si>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</si>
  <si>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</si>
  <si>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</si>
  <si>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</si>
  <si>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</si>
  <si>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</si>
  <si>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</si>
  <si>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</si>
  <si>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</si>
  <si>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</si>
  <si>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</si>
  <si>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</si>
  <si>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</si>
  <si>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</si>
  <si>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</si>
  <si>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</si>
  <si>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</si>
  <si>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</si>
  <si>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</si>
  <si>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</si>
  <si>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</si>
  <si>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</si>
  <si>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</si>
  <si>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</si>
  <si>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</si>
  <si>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</si>
  <si>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</si>
  <si>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</si>
  <si>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</si>
  <si>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</si>
  <si>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</si>
  <si>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</si>
  <si>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</si>
  <si>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</si>
  <si>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</si>
  <si>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</si>
  <si>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</si>
  <si>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</si>
  <si>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</si>
  <si>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</si>
  <si>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</si>
  <si>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</si>
  <si>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</si>
  <si>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</si>
  <si>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</si>
  <si>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</si>
  <si>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</si>
  <si>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</si>
  <si>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</si>
  <si>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</si>
  <si>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</si>
  <si>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</si>
  <si>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</si>
  <si>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</si>
  <si>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</si>
  <si>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</si>
  <si>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</si>
  <si>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</si>
  <si>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</si>
  <si>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</si>
  <si>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</si>
  <si>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</si>
  <si>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</si>
  <si>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</si>
  <si>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</si>
  <si>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</si>
  <si>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</si>
  <si>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</si>
  <si>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</si>
  <si>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</si>
  <si>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</si>
  <si>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</si>
  <si>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</si>
  <si>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</si>
  <si>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</si>
  <si>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</si>
  <si>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</si>
  <si>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</si>
  <si>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</si>
  <si>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</si>
  <si>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</si>
  <si>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</si>
  <si>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</si>
  <si>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</si>
  <si>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</si>
  <si>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</si>
  <si>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</si>
  <si>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</si>
  <si>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</si>
  <si>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</si>
  <si>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</si>
  <si>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</si>
  <si>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</si>
  <si>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</si>
  <si>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</si>
  <si>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</si>
  <si>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</si>
  <si>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</si>
  <si>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</si>
  <si>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</si>
  <si>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</si>
  <si>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</si>
  <si>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</si>
  <si>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</si>
  <si>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</si>
  <si>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</si>
  <si>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</si>
  <si>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</si>
  <si>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</si>
  <si>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</si>
  <si>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</si>
  <si>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</si>
  <si>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</si>
  <si>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</si>
  <si>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</si>
  <si>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Empresas Públicas de Dabeiba S.A.S. E.S.P. Cabecera Municipal</t>
  </si>
  <si>
    <t>Empresas Públicas de Dabeiba S.A.S. E.S.P. Barrio Bernardo Guerra</t>
  </si>
  <si>
    <t>Empresa de Servicios Públicos de Ebejico E.S.P</t>
  </si>
  <si>
    <t>Empresa Municipal de Acueducto, Alcantarillado y Aseo de El Bagre S.A.  E.S.P</t>
  </si>
  <si>
    <t xml:space="preserve"> La Cimarrona E.S.P.  S.A</t>
  </si>
  <si>
    <t>Empresas Públicas del Municipio de El Santuario E.S.P.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</si>
  <si>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</si>
  <si>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</si>
  <si>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</si>
  <si>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</si>
  <si>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</si>
  <si>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</si>
  <si>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</si>
  <si>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>Empresa de Servicios Públicos Domiciliariosde Ituango - SERVITUANGO  S.A. E.S.P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</si>
  <si>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</si>
  <si>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</si>
  <si>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</si>
  <si>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</si>
  <si>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</si>
  <si>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</si>
  <si>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</si>
  <si>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</si>
  <si>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</si>
  <si>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</si>
  <si>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</si>
  <si>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 Regionales E.P.M. S.A E.S.P</t>
  </si>
  <si>
    <t>Unidad de Servicios Públicos Domiciliarios  de Peque</t>
  </si>
  <si>
    <t>Aguas del Puerto S.A E.S.P</t>
  </si>
  <si>
    <t>Aguas y Servicios del Ité S.A.S.  E.S.P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</si>
  <si>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</si>
  <si>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</si>
  <si>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</si>
  <si>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</si>
  <si>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</si>
  <si>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</si>
  <si>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</si>
  <si>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</si>
  <si>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</si>
  <si>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</si>
  <si>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</si>
  <si>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</si>
  <si>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</si>
  <si>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</si>
  <si>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</si>
  <si>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</si>
  <si>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</si>
  <si>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</si>
  <si>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</si>
  <si>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</si>
  <si>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</si>
  <si>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</si>
  <si>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</si>
  <si>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</si>
  <si>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</si>
  <si>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</si>
  <si>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</si>
  <si>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</si>
  <si>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</si>
  <si>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</si>
  <si>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</si>
  <si>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</si>
  <si>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</si>
  <si>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</si>
  <si>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</si>
  <si>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</si>
  <si>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</si>
  <si>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Empresa de Servicios Públicos de Andes - EEPPA  S.A. E.S.P - La Palmera</t>
  </si>
  <si>
    <t>Empresa de Servicios Públicos de Andes - EEPPA  S.A. E.S.P   - Maria Auxiliadora</t>
  </si>
  <si>
    <t>Junta de Acción Comunal Barrio El Carmelo</t>
  </si>
  <si>
    <t>Junta Acción Comunal El Turista</t>
  </si>
  <si>
    <t>Asociación de Usuarios del Barrio El Mirador II</t>
  </si>
  <si>
    <t>Junta de Acción Comunal El Bosque</t>
  </si>
  <si>
    <t>Empress Públicas de  Medellín E.S.P.</t>
  </si>
  <si>
    <t>Aguascol  Arbelaez S.A. E.S.P.</t>
  </si>
  <si>
    <t>Serv Don Matías E.S.P. S.A.S.</t>
  </si>
  <si>
    <t>Acueducto Mineros  Aluvial S.A</t>
  </si>
  <si>
    <t xml:space="preserve">Asociación de Usuarios Acueducto Barrio Monseñor </t>
  </si>
  <si>
    <t>Empresa de Servicios Públicos Domiciliarios  de Giraldo S.A E.S.P - EMPUGI S.A. E.S.P</t>
  </si>
  <si>
    <t>Empresa de Servicios Públicos de Guatapé  S.A.S E.SP</t>
  </si>
  <si>
    <t xml:space="preserve">Aquaterra  E.S.P. </t>
  </si>
  <si>
    <t>Junta Administradora Chapinero</t>
  </si>
  <si>
    <t>Juta de Acciòn Comunal Vereda El  Requintadero</t>
  </si>
  <si>
    <t>Ingeniería Total  Servicios Pùblicos  S.A. E.S.P.</t>
  </si>
  <si>
    <t>Empresas Públicas de Jericó Antioquia S.A.  E.S.P.</t>
  </si>
  <si>
    <t>Empresas Públicas de La Pintada S.A. E.S.P. EPPI</t>
  </si>
  <si>
    <t>Empresa de Servicio Públicos de Maceo S.A.S  E.S.P.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</si>
  <si>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</si>
  <si>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</si>
  <si>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</si>
  <si>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 - Sistema Pozo 10</t>
  </si>
  <si>
    <t>Aguascol  Arbelaez S.A. E.S.P.. - Sistema Pozo 11</t>
  </si>
  <si>
    <t>Empresa Pueblorriqueña de Acueducto, Alcantarillado y Aseo -  S.A E.S.P</t>
  </si>
  <si>
    <t>Empresas Públicas de Puerto Nare E.S.P</t>
  </si>
  <si>
    <t>Corporación de Acueducto del Barrio El  Plan -Aguaplan -</t>
  </si>
  <si>
    <t>Asociacion Usuarios del Acueducto Barrio  La Habana</t>
  </si>
  <si>
    <t>Sistemas Públicos   S.A. E.S.P.</t>
  </si>
  <si>
    <t>Secretaria de Servicios Públicos de San Vicente Ferrer</t>
  </si>
  <si>
    <t>Empresa de Servicios Públicos Domiciliarios de Santo Domingo  S.A.  E.S.P</t>
  </si>
  <si>
    <t>Aguascol Arbelaez S.A E.S.P</t>
  </si>
  <si>
    <t>Empresa de Servicios Públicos de Tarso  S.A. E.S.P</t>
  </si>
  <si>
    <t>San Vicente Ferrer</t>
  </si>
  <si>
    <t>.Uraba</t>
  </si>
  <si>
    <t xml:space="preserve">Uraba (*) </t>
  </si>
  <si>
    <t>PROGRAMA DE VIGILANCIA DE LA CALIDAD DEL AGUA PARA CONSUMO HUMANO Y USO RECREATIVO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</si>
  <si>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para Consumo Humano Suministrada. </t>
    </r>
  </si>
  <si>
    <t>DIRECCION SALUD AMBIENTAL Y FACTORES DE RIESGO</t>
  </si>
  <si>
    <t xml:space="preserve"> Municipio Necocli </t>
  </si>
  <si>
    <t>Empresas Públicas de Medellin E:S.P</t>
  </si>
  <si>
    <t>AUA Barrio San Vicente</t>
  </si>
  <si>
    <t>Junta Acción Comunal Buenos Aires El Oasis</t>
  </si>
  <si>
    <t>CONSOLIDADO  INDICE DE RIESGO DE CALIDAD DEL AGUA PARA CONSUMO HUMANO - IRCA MENSUAL ACUEDUCTOS URBANOS -  ANTIOQUIA 2020</t>
  </si>
  <si>
    <t>SUBSECRETARIA DE SALUD PUBLICA</t>
  </si>
  <si>
    <t>(*): El municipio de Murindo para la vigencia 2020 no contaban con sistemas de acueducto operando en el casco urbano.</t>
  </si>
  <si>
    <t>% IRCA PROMEDIO ENERO - DIC /2020</t>
  </si>
  <si>
    <t>Acueductos y Alcantarillados Sostenibles S.A. E.S.P -Guayabito</t>
  </si>
  <si>
    <t xml:space="preserve"> Empresa de Servicios Públlicos de Anori S:A E.S.P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</si>
</sst>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[$€-2]\ * #,##0.00_ ;_ [$€-2]\ * \-#,##0.00_ ;_ [$€-2]\ * \-??_ "/>
    <numFmt numFmtId="189" formatCode="0.0"/>
    <numFmt numFmtId="190" formatCode="0.000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#,#00"/>
  </numFmts>
  <fonts count="6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sz val="10.5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88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189" fontId="9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center"/>
    </xf>
    <xf numFmtId="189" fontId="3" fillId="36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2" fontId="3" fillId="37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top"/>
    </xf>
    <xf numFmtId="189" fontId="9" fillId="35" borderId="13" xfId="0" applyNumberFormat="1" applyFont="1" applyFill="1" applyBorder="1" applyAlignment="1">
      <alignment horizontal="center" vertical="center"/>
    </xf>
    <xf numFmtId="2" fontId="9" fillId="38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188" fontId="3" fillId="34" borderId="13" xfId="45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>
      <alignment horizontal="center" vertical="center" wrapText="1"/>
    </xf>
    <xf numFmtId="0" fontId="3" fillId="39" borderId="13" xfId="45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189" fontId="9" fillId="33" borderId="15" xfId="0" applyNumberFormat="1" applyFont="1" applyFill="1" applyBorder="1" applyAlignment="1">
      <alignment horizontal="center" vertical="center" wrapText="1"/>
    </xf>
    <xf numFmtId="177" fontId="3" fillId="0" borderId="13" xfId="50" applyFont="1" applyFill="1" applyBorder="1" applyAlignment="1" applyProtection="1">
      <alignment horizontal="left" wrapText="1"/>
      <protection/>
    </xf>
    <xf numFmtId="2" fontId="67" fillId="0" borderId="13" xfId="0" applyNumberFormat="1" applyFont="1" applyBorder="1" applyAlignment="1">
      <alignment horizontal="center" vertical="center" wrapText="1" readingOrder="1"/>
    </xf>
    <xf numFmtId="2" fontId="9" fillId="37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17" fillId="36" borderId="16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2" fontId="17" fillId="36" borderId="16" xfId="0" applyNumberFormat="1" applyFont="1" applyFill="1" applyBorder="1" applyAlignment="1">
      <alignment horizontal="center" vertical="center" wrapText="1"/>
    </xf>
    <xf numFmtId="2" fontId="17" fillId="36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8" fillId="36" borderId="18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3" fillId="42" borderId="18" xfId="0" applyFont="1" applyFill="1" applyBorder="1" applyAlignment="1">
      <alignment horizontal="center" vertical="center" wrapText="1"/>
    </xf>
    <xf numFmtId="0" fontId="13" fillId="42" borderId="19" xfId="0" applyFont="1" applyFill="1" applyBorder="1" applyAlignment="1">
      <alignment horizontal="center" vertical="center" wrapText="1"/>
    </xf>
    <xf numFmtId="0" fontId="13" fillId="42" borderId="20" xfId="0" applyFont="1" applyFill="1" applyBorder="1" applyAlignment="1">
      <alignment horizontal="center" vertical="center" wrapText="1"/>
    </xf>
    <xf numFmtId="0" fontId="13" fillId="43" borderId="18" xfId="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 wrapText="1"/>
    </xf>
    <xf numFmtId="0" fontId="13" fillId="43" borderId="20" xfId="0" applyFont="1" applyFill="1" applyBorder="1" applyAlignment="1">
      <alignment horizontal="center" vertical="center" wrapText="1"/>
    </xf>
    <xf numFmtId="0" fontId="13" fillId="44" borderId="18" xfId="0" applyFont="1" applyFill="1" applyBorder="1" applyAlignment="1">
      <alignment horizontal="center" vertical="center" wrapText="1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2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2020</a:t>
            </a:r>
          </a:p>
        </c:rich>
      </c:tx>
      <c:layout>
        <c:manualLayout>
          <c:xMode val="factor"/>
          <c:yMode val="factor"/>
          <c:x val="-0.0087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55"/>
          <c:w val="0.948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'2020'!$V$6:$V$14</c:f>
              <c:numCache/>
            </c:numRef>
          </c:val>
        </c:ser>
        <c:ser>
          <c:idx val="1"/>
          <c:order val="1"/>
          <c:tx>
            <c:strRef>
              <c:f>'2020'!$W$1:$W$5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'2020'!$W$6:$W$14</c:f>
              <c:numCache/>
            </c:numRef>
          </c:val>
        </c:ser>
        <c:overlap val="19"/>
        <c:gapWidth val="125"/>
        <c:axId val="36495665"/>
        <c:axId val="66986986"/>
      </c:barChart>
      <c:catAx>
        <c:axId val="36495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86986"/>
        <c:crossesAt val="0"/>
        <c:auto val="1"/>
        <c:lblOffset val="100"/>
        <c:tickLblSkip val="1"/>
        <c:noMultiLvlLbl val="0"/>
      </c:catAx>
      <c:valAx>
        <c:axId val="6698698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95665"/>
        <c:crossesAt val="1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2020</a:t>
            </a:r>
          </a:p>
        </c:rich>
      </c:tx>
      <c:layout>
        <c:manualLayout>
          <c:xMode val="factor"/>
          <c:yMode val="factor"/>
          <c:x val="0.02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265"/>
          <c:w val="0.9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('2020'!$X$1:$X$5,'2020'!$Z$1:$Z$5,'2020'!$AB$1:$AB$5,'2020'!$AD$1:$AD$5,'2020'!$AF$1:$AF$5,'2020'!$AH$1:$AH$5)</c:f>
              <c:strCache/>
            </c:strRef>
          </c:cat>
          <c:val>
            <c:numRef>
              <c:f>('2020'!$Y$15,'2020'!$AA$15,'2020'!$AC$15,'2020'!$AE$15,'2020'!$AG$15,'2020'!$AI$15)</c:f>
              <c:numCache/>
            </c:numRef>
          </c:val>
        </c:ser>
        <c:ser>
          <c:idx val="1"/>
          <c:order val="1"/>
          <c:tx>
            <c:v>Numero</c:v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('2020'!$X$1:$X$5,'2020'!$Z$1:$Z$5,'2020'!$AB$1:$AB$5,'2020'!$AD$1:$AD$5,'2020'!$AF$1:$AF$5,'2020'!$AH$1:$AH$5)</c:f>
              <c:strCache/>
            </c:strRef>
          </c:cat>
          <c:val>
            <c:numRef>
              <c:f>('2020'!$X$15,'2020'!$Z$15,'2020'!$AB$15,'2020'!$AD$15,'2020'!$AF$15,'2020'!$AH$15)</c:f>
              <c:numCache/>
            </c:numRef>
          </c:val>
        </c:ser>
        <c:gapWidth val="114"/>
        <c:axId val="60161819"/>
        <c:axId val="6671620"/>
      </c:barChart>
      <c:catAx>
        <c:axId val="60161819"/>
        <c:scaling>
          <c:orientation val="minMax"/>
        </c:scaling>
        <c:axPos val="b"/>
        <c:delete val="1"/>
        <c:majorTickMark val="out"/>
        <c:minorTickMark val="none"/>
        <c:tickLblPos val="nextTo"/>
        <c:crossAx val="6671620"/>
        <c:crosses val="autoZero"/>
        <c:auto val="1"/>
        <c:lblOffset val="100"/>
        <c:tickLblSkip val="1"/>
        <c:noMultiLvlLbl val="0"/>
      </c:catAx>
      <c:valAx>
        <c:axId val="6671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6181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0.989</cdr:x>
      <cdr:y>0.86975</cdr:y>
    </cdr:from>
    <cdr:to>
      <cdr:x>0.989</cdr:x>
      <cdr:y>0.86975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686675" y="521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0.98975</cdr:x>
      <cdr:y>0.86975</cdr:y>
    </cdr:from>
    <cdr:to>
      <cdr:x>0.98975</cdr:x>
      <cdr:y>0.86975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686675" y="521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0.85275</cdr:x>
      <cdr:y>0.39425</cdr:y>
    </cdr:from>
    <cdr:to>
      <cdr:x>0.99075</cdr:x>
      <cdr:y>0.61425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619875" y="2352675"/>
          <a:ext cx="10763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0.87525</cdr:x>
      <cdr:y>0.459</cdr:y>
    </cdr:from>
    <cdr:to>
      <cdr:x>0.99575</cdr:x>
      <cdr:y>0.71225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800850" y="2743200"/>
          <a:ext cx="933450" cy="1514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0.95975</cdr:x>
      <cdr:y>0.57775</cdr:y>
    </cdr:from>
    <cdr:to>
      <cdr:x>0.99975</cdr:x>
      <cdr:y>0.75025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458075" y="3457575"/>
          <a:ext cx="3143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0.762</cdr:y>
    </cdr:from>
    <cdr:to>
      <cdr:x>0.98825</cdr:x>
      <cdr:y>0.92675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115175" y="4562475"/>
          <a:ext cx="5619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38100</xdr:rowOff>
    </xdr:from>
    <xdr:to>
      <xdr:col>1</xdr:col>
      <xdr:colOff>1552575</xdr:colOff>
      <xdr:row>6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2752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17</xdr:row>
      <xdr:rowOff>38100</xdr:rowOff>
    </xdr:from>
    <xdr:to>
      <xdr:col>30</xdr:col>
      <xdr:colOff>457200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20993100" y="5724525"/>
        <a:ext cx="7772400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485775</xdr:colOff>
      <xdr:row>17</xdr:row>
      <xdr:rowOff>38100</xdr:rowOff>
    </xdr:from>
    <xdr:to>
      <xdr:col>41</xdr:col>
      <xdr:colOff>409575</xdr:colOff>
      <xdr:row>33</xdr:row>
      <xdr:rowOff>123825</xdr:rowOff>
    </xdr:to>
    <xdr:graphicFrame>
      <xdr:nvGraphicFramePr>
        <xdr:cNvPr id="3" name="40 Gráfico"/>
        <xdr:cNvGraphicFramePr/>
      </xdr:nvGraphicFramePr>
      <xdr:xfrm>
        <a:off x="28794075" y="5724525"/>
        <a:ext cx="7734300" cy="599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70" zoomScaleNormal="70" zoomScalePageLayoutView="40" workbookViewId="0" topLeftCell="B1">
      <pane ySplit="9" topLeftCell="A148" activePane="bottomLeft" state="frozen"/>
      <selection pane="topLeft" activeCell="A1" sqref="A1"/>
      <selection pane="bottomLeft" activeCell="E157" sqref="E157"/>
    </sheetView>
  </sheetViews>
  <sheetFormatPr defaultColWidth="11.421875" defaultRowHeight="12.75"/>
  <cols>
    <col min="1" max="1" width="25.7109375" style="0" customWidth="1"/>
    <col min="2" max="2" width="30.281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36" t="s">
        <v>13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U1" s="75" t="s">
        <v>159</v>
      </c>
      <c r="V1" s="76" t="s">
        <v>182</v>
      </c>
      <c r="W1" s="75" t="s">
        <v>160</v>
      </c>
      <c r="X1" s="76" t="s">
        <v>161</v>
      </c>
      <c r="Y1" s="75" t="s">
        <v>160</v>
      </c>
      <c r="Z1" s="76" t="s">
        <v>162</v>
      </c>
      <c r="AA1" s="75" t="s">
        <v>160</v>
      </c>
      <c r="AB1" s="76" t="s">
        <v>163</v>
      </c>
      <c r="AC1" s="75" t="s">
        <v>160</v>
      </c>
      <c r="AD1" s="76" t="s">
        <v>164</v>
      </c>
      <c r="AE1" s="75" t="s">
        <v>160</v>
      </c>
      <c r="AF1" s="76" t="s">
        <v>165</v>
      </c>
      <c r="AG1" s="75" t="s">
        <v>160</v>
      </c>
      <c r="AH1" s="76" t="s">
        <v>38</v>
      </c>
      <c r="AI1" s="75" t="s">
        <v>160</v>
      </c>
    </row>
    <row r="2" spans="3:35" ht="18">
      <c r="C2" s="90" t="s">
        <v>331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U2" s="75"/>
      <c r="V2" s="76"/>
      <c r="W2" s="75"/>
      <c r="X2" s="76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</row>
    <row r="3" spans="3:35" ht="15" customHeight="1">
      <c r="C3" s="68" t="s">
        <v>325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U3" s="75"/>
      <c r="V3" s="76"/>
      <c r="W3" s="75"/>
      <c r="X3" s="76"/>
      <c r="Y3" s="75"/>
      <c r="Z3" s="76"/>
      <c r="AA3" s="75"/>
      <c r="AB3" s="76"/>
      <c r="AC3" s="75"/>
      <c r="AD3" s="76"/>
      <c r="AE3" s="75"/>
      <c r="AF3" s="76"/>
      <c r="AG3" s="75"/>
      <c r="AH3" s="76"/>
      <c r="AI3" s="75"/>
    </row>
    <row r="4" spans="2:35" ht="18" customHeight="1">
      <c r="B4" s="15"/>
      <c r="C4" s="68" t="s">
        <v>323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U4" s="75"/>
      <c r="V4" s="76"/>
      <c r="W4" s="75"/>
      <c r="X4" s="76"/>
      <c r="Y4" s="75"/>
      <c r="Z4" s="76"/>
      <c r="AA4" s="75"/>
      <c r="AB4" s="76"/>
      <c r="AC4" s="75"/>
      <c r="AD4" s="76"/>
      <c r="AE4" s="75"/>
      <c r="AF4" s="76"/>
      <c r="AG4" s="75"/>
      <c r="AH4" s="76"/>
      <c r="AI4" s="75"/>
    </row>
    <row r="5" spans="2:35" ht="3.75" customHeight="1">
      <c r="B5" s="27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U5" s="75"/>
      <c r="V5" s="76"/>
      <c r="W5" s="75"/>
      <c r="X5" s="76"/>
      <c r="Y5" s="75"/>
      <c r="Z5" s="76"/>
      <c r="AA5" s="75"/>
      <c r="AB5" s="76"/>
      <c r="AC5" s="75"/>
      <c r="AD5" s="76"/>
      <c r="AE5" s="75"/>
      <c r="AF5" s="76"/>
      <c r="AG5" s="75"/>
      <c r="AH5" s="76"/>
      <c r="AI5" s="75"/>
    </row>
    <row r="6" spans="2:35" ht="24.75" customHeight="1">
      <c r="B6" s="27"/>
      <c r="C6" s="90" t="s">
        <v>330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U6" s="19" t="s">
        <v>166</v>
      </c>
      <c r="V6" s="20">
        <f>COUNTIF('2020'!A:A,"Valle de Aburra")-_xlfn.COUNTIFS('2020'!A:A,"Valle de Aburra",'2020'!C:C,"")</f>
        <v>20</v>
      </c>
      <c r="W6" s="21">
        <f>(V6/$V$15)*100</f>
        <v>11.494252873563218</v>
      </c>
      <c r="X6" s="20">
        <f>_xlfn.COUNTIFS('2020'!A:A,"Valle de Aburra",'2020'!S:S,"Sin Riesgo")</f>
        <v>20</v>
      </c>
      <c r="Y6" s="21">
        <f>(X6/V6)*100</f>
        <v>100</v>
      </c>
      <c r="Z6" s="20">
        <f>_xlfn.COUNTIFS('2020'!A:A,"Valle de Aburra",'2020'!S:S,"Bajo")</f>
        <v>0</v>
      </c>
      <c r="AA6" s="21">
        <f>(Z6/V6)*100</f>
        <v>0</v>
      </c>
      <c r="AB6" s="20">
        <f>_xlfn.COUNTIFS('2020'!A:A,"Valle de Aburra",'2020'!S:S,"Medio")</f>
        <v>0</v>
      </c>
      <c r="AC6" s="21">
        <f>(AB6/V6)*100</f>
        <v>0</v>
      </c>
      <c r="AD6" s="20">
        <f>_xlfn.COUNTIFS('2020'!A:A,"Valle de Aburra",'2020'!S:S,"Alto")</f>
        <v>0</v>
      </c>
      <c r="AE6" s="21">
        <f>(AD6/V6)*100</f>
        <v>0</v>
      </c>
      <c r="AF6" s="20">
        <f>_xlfn.COUNTIFS('2020'!A:A,"Valle de Aburra",'2020'!S:S,"Inviable Sanitariamente")</f>
        <v>0</v>
      </c>
      <c r="AG6" s="21">
        <f>(AF6/V6)*100</f>
        <v>0</v>
      </c>
      <c r="AH6" s="22">
        <f>V6-(X6+Z6+AB6+AD6+AF6)</f>
        <v>0</v>
      </c>
      <c r="AI6" s="21">
        <f>(AH6/V6)*100</f>
        <v>0</v>
      </c>
    </row>
    <row r="7" spans="2:35" ht="33" customHeight="1">
      <c r="B7" s="28"/>
      <c r="C7" s="54" t="s">
        <v>279</v>
      </c>
      <c r="D7" s="93" t="s">
        <v>38</v>
      </c>
      <c r="E7" s="94"/>
      <c r="F7" s="87" t="s">
        <v>280</v>
      </c>
      <c r="G7" s="88"/>
      <c r="H7" s="89"/>
      <c r="I7" s="103" t="s">
        <v>281</v>
      </c>
      <c r="J7" s="104"/>
      <c r="K7" s="105"/>
      <c r="L7" s="100" t="s">
        <v>285</v>
      </c>
      <c r="M7" s="101"/>
      <c r="N7" s="102"/>
      <c r="O7" s="97" t="s">
        <v>282</v>
      </c>
      <c r="P7" s="98"/>
      <c r="Q7" s="99"/>
      <c r="R7" s="95" t="s">
        <v>283</v>
      </c>
      <c r="S7" s="96"/>
      <c r="U7" s="23" t="s">
        <v>322</v>
      </c>
      <c r="V7" s="20">
        <f>COUNTIF('2020'!A:A,"Uraba")-_xlfn.COUNTIFS('2020'!A:A,"Uraba",'2020'!C:C,"")</f>
        <v>10</v>
      </c>
      <c r="W7" s="21">
        <f aca="true" t="shared" si="0" ref="W7:W15">(V7/$V$15)*100</f>
        <v>5.747126436781609</v>
      </c>
      <c r="X7" s="20">
        <f>_xlfn.COUNTIFS('2020'!A:A,"Uraba",'2020'!S:S,"Sin Riesgo")</f>
        <v>6</v>
      </c>
      <c r="Y7" s="21">
        <f aca="true" t="shared" si="1" ref="Y7:Y15">(X7/V7)*100</f>
        <v>60</v>
      </c>
      <c r="Z7" s="20">
        <f>_xlfn.COUNTIFS('2020'!A:A,"Uraba",'2020'!S:S,"Bajo")</f>
        <v>2</v>
      </c>
      <c r="AA7" s="21">
        <f aca="true" t="shared" si="2" ref="AA7:AA15">(Z7/V7)*100</f>
        <v>20</v>
      </c>
      <c r="AB7" s="20">
        <f>_xlfn.COUNTIFS('2020'!A:A,"Uraba",'2020'!S:S,"Medio")</f>
        <v>2</v>
      </c>
      <c r="AC7" s="21">
        <f aca="true" t="shared" si="3" ref="AC7:AC15">(AB7/V7)*100</f>
        <v>20</v>
      </c>
      <c r="AD7" s="20">
        <f>_xlfn.COUNTIFS('2020'!A:A,"Uraba",'2020'!S:S,"Alto")</f>
        <v>0</v>
      </c>
      <c r="AE7" s="21">
        <f aca="true" t="shared" si="4" ref="AE7:AE15">(AD7/V7)*100</f>
        <v>0</v>
      </c>
      <c r="AF7" s="20">
        <f>_xlfn.COUNTIFS('2020'!A:A,"Uraba",'2020'!S:S,"Inviable Sanitariamente")</f>
        <v>0</v>
      </c>
      <c r="AG7" s="21">
        <f aca="true" t="shared" si="5" ref="AG7:AG15">(AF7/V7)*100</f>
        <v>0</v>
      </c>
      <c r="AH7" s="22">
        <f aca="true" t="shared" si="6" ref="AH7:AH15">V7-(X7+Z7+AB7+AD7+AF7)</f>
        <v>0</v>
      </c>
      <c r="AI7" s="21">
        <f aca="true" t="shared" si="7" ref="AI7:AI15">(AH7/V7)*100</f>
        <v>0</v>
      </c>
    </row>
    <row r="8" spans="1:35" ht="24.75" customHeight="1">
      <c r="A8" s="71" t="s">
        <v>168</v>
      </c>
      <c r="B8" s="72" t="s">
        <v>0</v>
      </c>
      <c r="C8" s="73" t="s">
        <v>284</v>
      </c>
      <c r="D8" s="79" t="s">
        <v>23</v>
      </c>
      <c r="E8" s="84">
        <v>2020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65" t="s">
        <v>333</v>
      </c>
      <c r="R8" s="63" t="s">
        <v>10</v>
      </c>
      <c r="S8" s="73" t="s">
        <v>12</v>
      </c>
      <c r="T8" s="1"/>
      <c r="U8" s="24" t="s">
        <v>173</v>
      </c>
      <c r="V8" s="20">
        <f>COUNTIF('2020'!A:A,"Norte")-_xlfn.COUNTIFS('2020'!A:A,"Norte",'2020'!C:C,"")</f>
        <v>20</v>
      </c>
      <c r="W8" s="21">
        <f t="shared" si="0"/>
        <v>11.494252873563218</v>
      </c>
      <c r="X8" s="20">
        <f>_xlfn.COUNTIFS('2020'!A:A,"Norte",'2020'!S:S,"Sin Riesgo")</f>
        <v>16</v>
      </c>
      <c r="Y8" s="21">
        <f t="shared" si="1"/>
        <v>80</v>
      </c>
      <c r="Z8" s="20">
        <f>_xlfn.COUNTIFS('2020'!A:A,"Norte",'2020'!S:S,"Bajo")</f>
        <v>2</v>
      </c>
      <c r="AA8" s="21">
        <f t="shared" si="2"/>
        <v>10</v>
      </c>
      <c r="AB8" s="20">
        <f>_xlfn.COUNTIFS('2020'!A:A,"Norte",'2020'!S:S,"Medio")</f>
        <v>0</v>
      </c>
      <c r="AC8" s="21">
        <f t="shared" si="3"/>
        <v>0</v>
      </c>
      <c r="AD8" s="20">
        <f>_xlfn.COUNTIFS('2020'!A:A,"Norte",'2020'!S:S,"Alto")</f>
        <v>1</v>
      </c>
      <c r="AE8" s="21">
        <f t="shared" si="4"/>
        <v>5</v>
      </c>
      <c r="AF8" s="20">
        <f>_xlfn.COUNTIFS('2020'!A:A,"Norte",'2020'!S:S,"Inviable Sanitariamente")</f>
        <v>1</v>
      </c>
      <c r="AG8" s="21">
        <f t="shared" si="5"/>
        <v>5</v>
      </c>
      <c r="AH8" s="22">
        <f t="shared" si="6"/>
        <v>0</v>
      </c>
      <c r="AI8" s="21">
        <f t="shared" si="7"/>
        <v>0</v>
      </c>
    </row>
    <row r="9" spans="1:35" ht="24.75" customHeight="1">
      <c r="A9" s="71"/>
      <c r="B9" s="71"/>
      <c r="C9" s="74"/>
      <c r="D9" s="80"/>
      <c r="E9" s="55" t="s">
        <v>22</v>
      </c>
      <c r="F9" s="55" t="s">
        <v>21</v>
      </c>
      <c r="G9" s="55" t="s">
        <v>20</v>
      </c>
      <c r="H9" s="55" t="s">
        <v>1</v>
      </c>
      <c r="I9" s="55" t="s">
        <v>2</v>
      </c>
      <c r="J9" s="55" t="s">
        <v>19</v>
      </c>
      <c r="K9" s="55" t="s">
        <v>3</v>
      </c>
      <c r="L9" s="55" t="s">
        <v>4</v>
      </c>
      <c r="M9" s="55" t="s">
        <v>5</v>
      </c>
      <c r="N9" s="55" t="s">
        <v>6</v>
      </c>
      <c r="O9" s="55" t="s">
        <v>7</v>
      </c>
      <c r="P9" s="55" t="s">
        <v>8</v>
      </c>
      <c r="Q9" s="66"/>
      <c r="R9" s="64"/>
      <c r="S9" s="74"/>
      <c r="T9" s="1"/>
      <c r="U9" s="24" t="s">
        <v>170</v>
      </c>
      <c r="V9" s="20">
        <f>COUNTIF('2020'!A:A,"Occidente")-_xlfn.COUNTIFS('2020'!A:A,"Occidente",'2020'!C:C,"")</f>
        <v>24</v>
      </c>
      <c r="W9" s="21">
        <f t="shared" si="0"/>
        <v>13.793103448275861</v>
      </c>
      <c r="X9" s="20">
        <f>_xlfn.COUNTIFS('2020'!A:A,"Occidente",'2020'!S:S,"Sin Riesgo")</f>
        <v>21</v>
      </c>
      <c r="Y9" s="21">
        <f t="shared" si="1"/>
        <v>87.5</v>
      </c>
      <c r="Z9" s="20">
        <f>_xlfn.COUNTIFS('2020'!A:A,"Occidente",'2020'!S:S,"Bajo")</f>
        <v>0</v>
      </c>
      <c r="AA9" s="21">
        <f t="shared" si="2"/>
        <v>0</v>
      </c>
      <c r="AB9" s="20">
        <f>_xlfn.COUNTIFS('2020'!A:A,"Occidente",'2020'!S:S,"Medio")</f>
        <v>1</v>
      </c>
      <c r="AC9" s="21">
        <f t="shared" si="3"/>
        <v>4.166666666666666</v>
      </c>
      <c r="AD9" s="20">
        <f>_xlfn.COUNTIFS('2020'!A:A,"Occidente",'2020'!S:S,"Alto")</f>
        <v>0</v>
      </c>
      <c r="AE9" s="21">
        <f t="shared" si="4"/>
        <v>0</v>
      </c>
      <c r="AF9" s="20">
        <f>_xlfn.COUNTIFS('2020'!A:A,"Occidente",'2020'!S:S,"Inviable Sanitariamente")</f>
        <v>2</v>
      </c>
      <c r="AG9" s="21">
        <f t="shared" si="5"/>
        <v>8.333333333333332</v>
      </c>
      <c r="AH9" s="22">
        <f t="shared" si="6"/>
        <v>0</v>
      </c>
      <c r="AI9" s="21">
        <f t="shared" si="7"/>
        <v>0</v>
      </c>
    </row>
    <row r="10" spans="1:35" ht="36" customHeight="1">
      <c r="A10" s="29" t="s">
        <v>169</v>
      </c>
      <c r="B10" s="32" t="s">
        <v>39</v>
      </c>
      <c r="C10" s="42" t="s">
        <v>184</v>
      </c>
      <c r="D10" s="51">
        <v>3164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0.65</v>
      </c>
      <c r="O10" s="30">
        <v>0</v>
      </c>
      <c r="P10" s="30">
        <v>0</v>
      </c>
      <c r="Q10" s="38">
        <v>0.05</v>
      </c>
      <c r="R10" s="31" t="str">
        <f>IF(Q10&lt;=5,"SI","NO")</f>
        <v>SI</v>
      </c>
      <c r="S10" s="31" t="str">
        <f>IF(Q10&lt;=5,"Sin Riesgo",IF(Q10&lt;=14,"Bajo",IF(Q10&lt;=35,"Medio",IF(Q10&lt;=80,"Alto","Inviable Sanitariamente"))))</f>
        <v>Sin Riesgo</v>
      </c>
      <c r="T10" s="2"/>
      <c r="U10" s="24" t="s">
        <v>171</v>
      </c>
      <c r="V10" s="20">
        <f>COUNTIF('2020'!A:A,"Suroeste")-_xlfn.COUNTIFS('2020'!A:A,"Suroeste",'2020'!C:C,"")</f>
        <v>29</v>
      </c>
      <c r="W10" s="21">
        <f t="shared" si="0"/>
        <v>16.666666666666664</v>
      </c>
      <c r="X10" s="20">
        <f>_xlfn.COUNTIFS('2020'!A:A,"Suroeste",'2020'!S:S,"Sin Riesgo")</f>
        <v>28</v>
      </c>
      <c r="Y10" s="21">
        <f t="shared" si="1"/>
        <v>96.55172413793103</v>
      </c>
      <c r="Z10" s="20">
        <f>_xlfn.COUNTIFS('2020'!A:A,"Suroeste",'2020'!S:S,"Bajo")</f>
        <v>1</v>
      </c>
      <c r="AA10" s="21">
        <f t="shared" si="2"/>
        <v>3.4482758620689653</v>
      </c>
      <c r="AB10" s="20">
        <f>_xlfn.COUNTIFS('2020'!A:A,"Suroeste",'2020'!S:S,"Medio")</f>
        <v>0</v>
      </c>
      <c r="AC10" s="21">
        <f t="shared" si="3"/>
        <v>0</v>
      </c>
      <c r="AD10" s="20">
        <f>_xlfn.COUNTIFS('2020'!A:A,"Suroeste",'2020'!S:S,"Alto")</f>
        <v>0</v>
      </c>
      <c r="AE10" s="21">
        <f t="shared" si="4"/>
        <v>0</v>
      </c>
      <c r="AF10" s="20">
        <f>_xlfn.COUNTIFS('2020'!A:A,"Suroeste",'2020'!S:S,"Inviable Sanitariamente")</f>
        <v>0</v>
      </c>
      <c r="AG10" s="21">
        <f t="shared" si="5"/>
        <v>0</v>
      </c>
      <c r="AH10" s="22">
        <f t="shared" si="6"/>
        <v>0</v>
      </c>
      <c r="AI10" s="21">
        <f t="shared" si="7"/>
        <v>0</v>
      </c>
    </row>
    <row r="11" spans="1:35" ht="36.75" customHeight="1">
      <c r="A11" s="29" t="s">
        <v>169</v>
      </c>
      <c r="B11" s="32" t="s">
        <v>39</v>
      </c>
      <c r="C11" s="42" t="s">
        <v>185</v>
      </c>
      <c r="D11" s="51">
        <v>67</v>
      </c>
      <c r="E11" s="30">
        <v>2.58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6.45</v>
      </c>
      <c r="L11" s="30">
        <v>0.88</v>
      </c>
      <c r="M11" s="30">
        <v>0</v>
      </c>
      <c r="N11" s="30">
        <v>0</v>
      </c>
      <c r="O11" s="30">
        <v>0.88</v>
      </c>
      <c r="P11" s="30">
        <v>0</v>
      </c>
      <c r="Q11" s="38">
        <v>0.9</v>
      </c>
      <c r="R11" s="31" t="str">
        <f aca="true" t="shared" si="8" ref="R11:R67">IF(Q11&lt;=5,"SI","NO")</f>
        <v>SI</v>
      </c>
      <c r="S11" s="31" t="str">
        <f aca="true" t="shared" si="9" ref="S11:S66">IF(Q11&lt;=5,"Sin Riesgo",IF(Q11&lt;=14,"Bajo",IF(Q11&lt;=35,"Medio",IF(Q11&lt;=80,"Alto","Inviable Sanitariamente"))))</f>
        <v>Sin Riesgo</v>
      </c>
      <c r="T11" s="2"/>
      <c r="U11" s="24" t="s">
        <v>175</v>
      </c>
      <c r="V11" s="20">
        <f>COUNTIF('2020'!A:A,"Bajo Cauca")-_xlfn.COUNTIFS('2020'!A:A,"Bajo Cauca",'2020'!C:C,"")</f>
        <v>16</v>
      </c>
      <c r="W11" s="21">
        <f t="shared" si="0"/>
        <v>9.195402298850574</v>
      </c>
      <c r="X11" s="20">
        <f>_xlfn.COUNTIFS('2020'!A:A,"Bajo Cauca",'2020'!S:S,"Sin Riesgo")</f>
        <v>12</v>
      </c>
      <c r="Y11" s="21">
        <f t="shared" si="1"/>
        <v>75</v>
      </c>
      <c r="Z11" s="20">
        <f>_xlfn.COUNTIFS('2020'!A:A,"Bajo Cauca",'2020'!S:S,"Bajo")</f>
        <v>0</v>
      </c>
      <c r="AA11" s="21">
        <f t="shared" si="2"/>
        <v>0</v>
      </c>
      <c r="AB11" s="20">
        <f>_xlfn.COUNTIFS('2020'!A:A,"Bajo Cauca",'2020'!S:S,"Medio")</f>
        <v>0</v>
      </c>
      <c r="AC11" s="21">
        <f t="shared" si="3"/>
        <v>0</v>
      </c>
      <c r="AD11" s="20">
        <f>_xlfn.COUNTIFS('2020'!A:A,"Bajo Cauca",'2020'!S:S,"Alto")</f>
        <v>0</v>
      </c>
      <c r="AE11" s="21">
        <f t="shared" si="4"/>
        <v>0</v>
      </c>
      <c r="AF11" s="20">
        <f>_xlfn.COUNTIFS('2020'!A:A,"Bajo Cauca",'2020'!S:S,"Inviable Sanitariamente")</f>
        <v>4</v>
      </c>
      <c r="AG11" s="21">
        <f t="shared" si="5"/>
        <v>25</v>
      </c>
      <c r="AH11" s="22">
        <f t="shared" si="6"/>
        <v>0</v>
      </c>
      <c r="AI11" s="21">
        <f t="shared" si="7"/>
        <v>0</v>
      </c>
    </row>
    <row r="12" spans="1:35" ht="32.25" customHeight="1">
      <c r="A12" s="29" t="s">
        <v>170</v>
      </c>
      <c r="B12" s="32" t="s">
        <v>40</v>
      </c>
      <c r="C12" s="42" t="s">
        <v>186</v>
      </c>
      <c r="D12" s="51">
        <v>406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8.85</v>
      </c>
      <c r="M12" s="33">
        <v>0</v>
      </c>
      <c r="N12" s="33">
        <v>0</v>
      </c>
      <c r="O12" s="33">
        <v>6.45</v>
      </c>
      <c r="P12" s="33">
        <v>6.45</v>
      </c>
      <c r="Q12" s="38">
        <v>1.81</v>
      </c>
      <c r="R12" s="31" t="str">
        <f t="shared" si="8"/>
        <v>SI</v>
      </c>
      <c r="S12" s="31" t="str">
        <f t="shared" si="9"/>
        <v>Sin Riesgo</v>
      </c>
      <c r="T12" s="2"/>
      <c r="U12" s="24" t="s">
        <v>176</v>
      </c>
      <c r="V12" s="20">
        <f>COUNTIF('2020'!A:A,"Magdalena Medio")-_xlfn.COUNTIFS('2020'!A:A,"Magdalena Medio",'2020'!C:C,"")</f>
        <v>6</v>
      </c>
      <c r="W12" s="21">
        <f t="shared" si="0"/>
        <v>3.4482758620689653</v>
      </c>
      <c r="X12" s="20">
        <f>_xlfn.COUNTIFS('2020'!A:A,"Magdalena Medio",'2020'!S:S,"Sin Riesgo")</f>
        <v>6</v>
      </c>
      <c r="Y12" s="21">
        <f t="shared" si="1"/>
        <v>100</v>
      </c>
      <c r="Z12" s="20">
        <f>_xlfn.COUNTIFS('2020'!A:A,"Magdalena Medio",'2020'!S:S,"Bajo")</f>
        <v>0</v>
      </c>
      <c r="AA12" s="21">
        <f t="shared" si="2"/>
        <v>0</v>
      </c>
      <c r="AB12" s="20">
        <f>_xlfn.COUNTIFS('2020'!A:A,"Magdalena Medio",'2020'!S:S,"Medio")</f>
        <v>0</v>
      </c>
      <c r="AC12" s="21">
        <f t="shared" si="3"/>
        <v>0</v>
      </c>
      <c r="AD12" s="20">
        <f>_xlfn.COUNTIFS('2020'!A:A,"Magdalena Medio",'2020'!S:S,"Alto")</f>
        <v>0</v>
      </c>
      <c r="AE12" s="21">
        <f t="shared" si="4"/>
        <v>0</v>
      </c>
      <c r="AF12" s="20">
        <f>_xlfn.COUNTIFS('2020'!A:A,"Magdalena Medio",'2020'!S:S,"Inviable Sanitariamente")</f>
        <v>0</v>
      </c>
      <c r="AG12" s="21">
        <f t="shared" si="5"/>
        <v>0</v>
      </c>
      <c r="AH12" s="22">
        <f t="shared" si="6"/>
        <v>0</v>
      </c>
      <c r="AI12" s="21">
        <f t="shared" si="7"/>
        <v>0</v>
      </c>
    </row>
    <row r="13" spans="1:35" ht="33.75" customHeight="1">
      <c r="A13" s="29" t="s">
        <v>169</v>
      </c>
      <c r="B13" s="32" t="s">
        <v>41</v>
      </c>
      <c r="C13" s="42" t="s">
        <v>187</v>
      </c>
      <c r="D13" s="51">
        <v>1073</v>
      </c>
      <c r="E13" s="33">
        <v>0</v>
      </c>
      <c r="F13" s="33">
        <v>0</v>
      </c>
      <c r="G13" s="33">
        <v>0</v>
      </c>
      <c r="H13" s="33">
        <v>13.27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9">
        <v>1.11</v>
      </c>
      <c r="R13" s="31" t="str">
        <f t="shared" si="8"/>
        <v>SI</v>
      </c>
      <c r="S13" s="31" t="str">
        <f t="shared" si="9"/>
        <v>Sin Riesgo</v>
      </c>
      <c r="T13" s="2"/>
      <c r="U13" s="24" t="s">
        <v>180</v>
      </c>
      <c r="V13" s="20">
        <f>COUNTIF('2020'!A:A,"Nordeste")-_xlfn.COUNTIFS('2020'!A:A,"Nordeste",'2020'!C:C,"")</f>
        <v>17</v>
      </c>
      <c r="W13" s="21">
        <f t="shared" si="0"/>
        <v>9.770114942528735</v>
      </c>
      <c r="X13" s="20">
        <f>_xlfn.COUNTIFS('2020'!A:A,"Nordeste",'2020'!S:S,"Sin Riesgo")</f>
        <v>11</v>
      </c>
      <c r="Y13" s="21">
        <f t="shared" si="1"/>
        <v>64.70588235294117</v>
      </c>
      <c r="Z13" s="20">
        <f>_xlfn.COUNTIFS('2020'!A:A,"Nordeste",'2020'!S:S,"Bajo")</f>
        <v>0</v>
      </c>
      <c r="AA13" s="21">
        <f t="shared" si="2"/>
        <v>0</v>
      </c>
      <c r="AB13" s="20">
        <f>_xlfn.COUNTIFS('2020'!A:A,"Nordeste",'2020'!S:S,"Medio")</f>
        <v>0</v>
      </c>
      <c r="AC13" s="21">
        <f t="shared" si="3"/>
        <v>0</v>
      </c>
      <c r="AD13" s="20">
        <f>_xlfn.COUNTIFS('2020'!A:A,"Nordeste",'2020'!S:S,"Alto")</f>
        <v>0</v>
      </c>
      <c r="AE13" s="21">
        <f t="shared" si="4"/>
        <v>0</v>
      </c>
      <c r="AF13" s="20">
        <f>_xlfn.COUNTIFS('2020'!A:A,"Nordeste",'2020'!S:S,"Inviable Sanitariamente")</f>
        <v>6</v>
      </c>
      <c r="AG13" s="21">
        <f t="shared" si="5"/>
        <v>35.294117647058826</v>
      </c>
      <c r="AH13" s="22">
        <f t="shared" si="6"/>
        <v>0</v>
      </c>
      <c r="AI13" s="21">
        <f t="shared" si="7"/>
        <v>0</v>
      </c>
    </row>
    <row r="14" spans="1:35" ht="24.75" customHeight="1">
      <c r="A14" s="29" t="s">
        <v>171</v>
      </c>
      <c r="B14" s="32" t="s">
        <v>42</v>
      </c>
      <c r="C14" s="42" t="s">
        <v>188</v>
      </c>
      <c r="D14" s="51">
        <v>4691</v>
      </c>
      <c r="E14" s="33">
        <v>14.98</v>
      </c>
      <c r="F14" s="33">
        <v>0</v>
      </c>
      <c r="G14" s="33">
        <v>5.62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9">
        <v>1.72</v>
      </c>
      <c r="R14" s="31" t="str">
        <f t="shared" si="8"/>
        <v>SI</v>
      </c>
      <c r="S14" s="31" t="str">
        <f t="shared" si="9"/>
        <v>Sin Riesgo</v>
      </c>
      <c r="T14" s="2"/>
      <c r="U14" s="24" t="s">
        <v>169</v>
      </c>
      <c r="V14" s="20">
        <f>COUNTIF('2020'!A:A,"Oriente")-_xlfn.COUNTIFS('2020'!A:A,"Oriente",'2020'!C:C,"")</f>
        <v>32</v>
      </c>
      <c r="W14" s="21">
        <f t="shared" si="0"/>
        <v>18.39080459770115</v>
      </c>
      <c r="X14" s="20">
        <f>_xlfn.COUNTIFS('2020'!A:A,"Oriente",'2020'!S:S,"Sin Riesgo")</f>
        <v>30</v>
      </c>
      <c r="Y14" s="21">
        <f t="shared" si="1"/>
        <v>93.75</v>
      </c>
      <c r="Z14" s="20">
        <f>_xlfn.COUNTIFS('2020'!A:A,"Oriente",'2020'!S:S,"Bajo")</f>
        <v>1</v>
      </c>
      <c r="AA14" s="21">
        <f t="shared" si="2"/>
        <v>3.125</v>
      </c>
      <c r="AB14" s="20">
        <f>_xlfn.COUNTIFS('2020'!A:A,"Oriente",'2020'!S:S,"Medio")</f>
        <v>1</v>
      </c>
      <c r="AC14" s="21">
        <f t="shared" si="3"/>
        <v>3.125</v>
      </c>
      <c r="AD14" s="20">
        <f>_xlfn.COUNTIFS('2020'!A:A,"Oriente",'2020'!S:S,"Alto")</f>
        <v>0</v>
      </c>
      <c r="AE14" s="21">
        <f t="shared" si="4"/>
        <v>0</v>
      </c>
      <c r="AF14" s="20">
        <f>_xlfn.COUNTIFS('2020'!A:A,"Oriente",'2020'!S:S,"Inviable Sanitariamente")</f>
        <v>0</v>
      </c>
      <c r="AG14" s="21">
        <f t="shared" si="5"/>
        <v>0</v>
      </c>
      <c r="AH14" s="22">
        <f t="shared" si="6"/>
        <v>0</v>
      </c>
      <c r="AI14" s="21">
        <f t="shared" si="7"/>
        <v>0</v>
      </c>
    </row>
    <row r="15" spans="1:35" ht="33" customHeight="1">
      <c r="A15" s="29" t="s">
        <v>172</v>
      </c>
      <c r="B15" s="32" t="s">
        <v>43</v>
      </c>
      <c r="C15" s="43" t="s">
        <v>189</v>
      </c>
      <c r="D15" s="52">
        <v>4944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9">
        <v>0</v>
      </c>
      <c r="R15" s="31" t="str">
        <f t="shared" si="8"/>
        <v>SI</v>
      </c>
      <c r="S15" s="31" t="str">
        <f t="shared" si="9"/>
        <v>Sin Riesgo</v>
      </c>
      <c r="T15" s="2"/>
      <c r="U15" s="25" t="s">
        <v>181</v>
      </c>
      <c r="V15" s="18">
        <f>SUM(V6:V14)</f>
        <v>174</v>
      </c>
      <c r="W15" s="26">
        <f t="shared" si="0"/>
        <v>100</v>
      </c>
      <c r="X15" s="18">
        <f>SUM(X6:X14)</f>
        <v>150</v>
      </c>
      <c r="Y15" s="26">
        <f t="shared" si="1"/>
        <v>86.20689655172413</v>
      </c>
      <c r="Z15" s="18">
        <f>SUM(Z6:Z14)</f>
        <v>6</v>
      </c>
      <c r="AA15" s="26">
        <f t="shared" si="2"/>
        <v>3.4482758620689653</v>
      </c>
      <c r="AB15" s="18">
        <f>SUM(AB6:AB14)</f>
        <v>4</v>
      </c>
      <c r="AC15" s="26">
        <f t="shared" si="3"/>
        <v>2.2988505747126435</v>
      </c>
      <c r="AD15" s="18">
        <f>SUM(AD6:AD14)</f>
        <v>1</v>
      </c>
      <c r="AE15" s="26">
        <f t="shared" si="4"/>
        <v>0.5747126436781609</v>
      </c>
      <c r="AF15" s="18">
        <f>SUM(AF6:AF14)</f>
        <v>13</v>
      </c>
      <c r="AG15" s="26">
        <f t="shared" si="5"/>
        <v>7.471264367816093</v>
      </c>
      <c r="AH15" s="18">
        <f t="shared" si="6"/>
        <v>0</v>
      </c>
      <c r="AI15" s="26">
        <f t="shared" si="7"/>
        <v>0</v>
      </c>
    </row>
    <row r="16" spans="1:35" ht="33" customHeight="1">
      <c r="A16" s="29" t="s">
        <v>172</v>
      </c>
      <c r="B16" s="32" t="s">
        <v>43</v>
      </c>
      <c r="C16" s="43" t="s">
        <v>334</v>
      </c>
      <c r="D16" s="5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9">
        <v>0</v>
      </c>
      <c r="R16" s="31" t="str">
        <f t="shared" si="8"/>
        <v>SI</v>
      </c>
      <c r="S16" s="31" t="str">
        <f t="shared" si="9"/>
        <v>Sin Riesgo</v>
      </c>
      <c r="T16" s="2"/>
      <c r="U16" s="56"/>
      <c r="V16" s="57"/>
      <c r="W16" s="58"/>
      <c r="X16" s="57"/>
      <c r="Y16" s="58"/>
      <c r="Z16" s="57"/>
      <c r="AA16" s="58"/>
      <c r="AB16" s="57"/>
      <c r="AC16" s="58"/>
      <c r="AD16" s="57"/>
      <c r="AE16" s="58"/>
      <c r="AF16" s="57"/>
      <c r="AG16" s="58"/>
      <c r="AH16" s="57"/>
      <c r="AI16" s="58"/>
    </row>
    <row r="17" spans="1:35" ht="38.25" customHeight="1">
      <c r="A17" s="29" t="s">
        <v>171</v>
      </c>
      <c r="B17" s="32" t="s">
        <v>44</v>
      </c>
      <c r="C17" s="42" t="s">
        <v>287</v>
      </c>
      <c r="D17" s="20">
        <v>5185</v>
      </c>
      <c r="E17" s="30">
        <v>0.22</v>
      </c>
      <c r="F17" s="30">
        <v>0</v>
      </c>
      <c r="G17" s="30">
        <v>0.39</v>
      </c>
      <c r="H17" s="30">
        <v>0.39</v>
      </c>
      <c r="I17" s="30">
        <v>0.72</v>
      </c>
      <c r="J17" s="30">
        <v>0</v>
      </c>
      <c r="K17" s="30">
        <v>0</v>
      </c>
      <c r="L17" s="30">
        <v>0</v>
      </c>
      <c r="M17" s="30">
        <v>5.7</v>
      </c>
      <c r="N17" s="30">
        <v>0</v>
      </c>
      <c r="O17" s="30">
        <v>0</v>
      </c>
      <c r="P17" s="30">
        <v>0</v>
      </c>
      <c r="Q17" s="38">
        <v>0.72</v>
      </c>
      <c r="R17" s="31" t="str">
        <f t="shared" si="8"/>
        <v>SI</v>
      </c>
      <c r="S17" s="31" t="str">
        <f t="shared" si="9"/>
        <v>Sin Riesgo</v>
      </c>
      <c r="T17" s="2"/>
      <c r="U17" s="67" t="s">
        <v>332</v>
      </c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1:26" ht="38.25" customHeight="1">
      <c r="A18" s="29" t="s">
        <v>171</v>
      </c>
      <c r="B18" s="32" t="s">
        <v>44</v>
      </c>
      <c r="C18" s="42" t="s">
        <v>286</v>
      </c>
      <c r="D18" s="20">
        <v>1313</v>
      </c>
      <c r="E18" s="30">
        <v>0.65</v>
      </c>
      <c r="F18" s="30">
        <v>0.65</v>
      </c>
      <c r="G18" s="30">
        <v>0</v>
      </c>
      <c r="H18" s="30">
        <v>0</v>
      </c>
      <c r="I18" s="30">
        <v>0</v>
      </c>
      <c r="J18" s="30">
        <v>0.65</v>
      </c>
      <c r="K18" s="30">
        <v>0</v>
      </c>
      <c r="L18" s="30">
        <v>0</v>
      </c>
      <c r="M18" s="30">
        <v>0</v>
      </c>
      <c r="N18" s="30">
        <v>0.88</v>
      </c>
      <c r="O18" s="30">
        <v>0</v>
      </c>
      <c r="P18" s="30">
        <v>0</v>
      </c>
      <c r="Q18" s="38">
        <v>0.24</v>
      </c>
      <c r="R18" s="31" t="str">
        <f t="shared" si="8"/>
        <v>SI</v>
      </c>
      <c r="S18" s="31" t="str">
        <f t="shared" si="9"/>
        <v>Sin Riesgo</v>
      </c>
      <c r="T18" s="2"/>
      <c r="U18" s="2"/>
      <c r="V18" s="2"/>
      <c r="W18" s="2"/>
      <c r="X18" s="3"/>
      <c r="Y18" s="3"/>
      <c r="Z18" s="3"/>
    </row>
    <row r="19" spans="1:26" ht="37.5" customHeight="1">
      <c r="A19" s="29" t="s">
        <v>171</v>
      </c>
      <c r="B19" s="32" t="s">
        <v>45</v>
      </c>
      <c r="C19" s="42" t="s">
        <v>190</v>
      </c>
      <c r="D19" s="51">
        <v>1010</v>
      </c>
      <c r="E19" s="30">
        <v>0</v>
      </c>
      <c r="F19" s="30">
        <v>0</v>
      </c>
      <c r="G19" s="30">
        <v>4.36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8">
        <v>0.36</v>
      </c>
      <c r="R19" s="31" t="str">
        <f t="shared" si="8"/>
        <v>SI</v>
      </c>
      <c r="S19" s="3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36" customHeight="1">
      <c r="A20" s="29" t="s">
        <v>173</v>
      </c>
      <c r="B20" s="32" t="s">
        <v>46</v>
      </c>
      <c r="C20" s="42" t="s">
        <v>191</v>
      </c>
      <c r="D20" s="51">
        <v>1150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8">
        <v>0</v>
      </c>
      <c r="R20" s="31" t="str">
        <f t="shared" si="8"/>
        <v>SI</v>
      </c>
      <c r="S20" s="31" t="str">
        <f t="shared" si="9"/>
        <v>Sin Riesgo</v>
      </c>
      <c r="T20" s="4"/>
      <c r="U20" s="4"/>
      <c r="V20" s="4"/>
      <c r="W20" s="4"/>
      <c r="X20" s="3"/>
      <c r="Y20" s="3"/>
      <c r="Z20" s="3"/>
    </row>
    <row r="21" spans="1:26" ht="34.5" customHeight="1">
      <c r="A21" s="29" t="s">
        <v>172</v>
      </c>
      <c r="B21" s="32" t="s">
        <v>47</v>
      </c>
      <c r="C21" s="43" t="s">
        <v>335</v>
      </c>
      <c r="D21" s="52">
        <v>2454</v>
      </c>
      <c r="E21" s="30">
        <v>0</v>
      </c>
      <c r="F21" s="30">
        <v>0</v>
      </c>
      <c r="G21" s="30">
        <v>0</v>
      </c>
      <c r="H21" s="30"/>
      <c r="I21" s="30"/>
      <c r="J21" s="30"/>
      <c r="K21" s="30"/>
      <c r="L21" s="30">
        <v>0</v>
      </c>
      <c r="M21" s="30">
        <v>0</v>
      </c>
      <c r="N21" s="30">
        <v>0</v>
      </c>
      <c r="O21" s="30">
        <v>1.23</v>
      </c>
      <c r="P21" s="30">
        <v>0</v>
      </c>
      <c r="Q21" s="38">
        <v>0.15</v>
      </c>
      <c r="R21" s="31" t="str">
        <f t="shared" si="8"/>
        <v>SI</v>
      </c>
      <c r="S21" s="31" t="str">
        <f t="shared" si="9"/>
        <v>Sin Riesgo</v>
      </c>
      <c r="T21" s="4"/>
      <c r="U21" s="4"/>
      <c r="V21" s="4"/>
      <c r="W21" s="4"/>
      <c r="X21" s="5"/>
      <c r="Y21" s="5"/>
      <c r="Z21" s="5"/>
    </row>
    <row r="22" spans="1:26" ht="24.75" customHeight="1">
      <c r="A22" s="29" t="s">
        <v>170</v>
      </c>
      <c r="B22" s="32" t="s">
        <v>48</v>
      </c>
      <c r="C22" s="42" t="s">
        <v>193</v>
      </c>
      <c r="D22" s="51">
        <v>652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1" t="str">
        <f t="shared" si="8"/>
        <v>SI</v>
      </c>
      <c r="S22" s="3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6" ht="24.75" customHeight="1">
      <c r="A23" s="29" t="s">
        <v>174</v>
      </c>
      <c r="B23" s="32" t="s">
        <v>49</v>
      </c>
      <c r="C23" s="42" t="s">
        <v>194</v>
      </c>
      <c r="D23" s="51">
        <v>31980</v>
      </c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2.53</v>
      </c>
      <c r="M23" s="30">
        <v>0</v>
      </c>
      <c r="N23" s="30">
        <v>0</v>
      </c>
      <c r="O23" s="30">
        <v>0</v>
      </c>
      <c r="P23" s="30">
        <v>1.05</v>
      </c>
      <c r="Q23" s="38">
        <v>0.55</v>
      </c>
      <c r="R23" s="31" t="str">
        <f t="shared" si="8"/>
        <v>SI</v>
      </c>
      <c r="S23" s="31" t="str">
        <f t="shared" si="9"/>
        <v>Sin Riesgo</v>
      </c>
      <c r="T23" s="4"/>
      <c r="U23" s="4"/>
      <c r="V23" s="4"/>
      <c r="W23" s="4"/>
      <c r="X23" s="3"/>
      <c r="Y23" s="3"/>
      <c r="Z23" s="3"/>
    </row>
    <row r="24" spans="1:23" ht="24.75" customHeight="1">
      <c r="A24" s="29" t="s">
        <v>174</v>
      </c>
      <c r="B24" s="32" t="s">
        <v>50</v>
      </c>
      <c r="C24" s="43" t="s">
        <v>195</v>
      </c>
      <c r="D24" s="52">
        <v>3900</v>
      </c>
      <c r="E24" s="30"/>
      <c r="F24" s="30"/>
      <c r="G24" s="30"/>
      <c r="H24" s="30"/>
      <c r="I24" s="30"/>
      <c r="J24" s="30"/>
      <c r="K24" s="30"/>
      <c r="L24" s="30"/>
      <c r="M24" s="30">
        <v>2.4</v>
      </c>
      <c r="N24" s="30">
        <v>1.2</v>
      </c>
      <c r="O24" s="30">
        <v>24.8</v>
      </c>
      <c r="P24" s="30">
        <v>9</v>
      </c>
      <c r="Q24" s="38">
        <v>9.35</v>
      </c>
      <c r="R24" s="31" t="str">
        <f t="shared" si="8"/>
        <v>NO</v>
      </c>
      <c r="S24" s="31" t="str">
        <f t="shared" si="9"/>
        <v>Bajo</v>
      </c>
      <c r="T24" s="4"/>
      <c r="U24" s="4"/>
      <c r="V24" s="4"/>
      <c r="W24" s="4"/>
    </row>
    <row r="25" spans="1:23" ht="24.75" customHeight="1">
      <c r="A25" s="29" t="s">
        <v>169</v>
      </c>
      <c r="B25" s="48" t="s">
        <v>51</v>
      </c>
      <c r="C25" s="42" t="s">
        <v>25</v>
      </c>
      <c r="D25" s="51">
        <v>865</v>
      </c>
      <c r="E25" s="30">
        <v>97.35</v>
      </c>
      <c r="F25" s="30">
        <v>97.35</v>
      </c>
      <c r="G25" s="30">
        <v>64.9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8">
        <v>23.6</v>
      </c>
      <c r="R25" s="31" t="str">
        <f t="shared" si="8"/>
        <v>NO</v>
      </c>
      <c r="S25" s="31" t="str">
        <f t="shared" si="9"/>
        <v>Medio</v>
      </c>
      <c r="T25" s="4"/>
      <c r="U25" s="4"/>
      <c r="V25" s="4"/>
      <c r="W25" s="4"/>
    </row>
    <row r="26" spans="1:23" ht="24.75" customHeight="1">
      <c r="A26" s="29" t="s">
        <v>170</v>
      </c>
      <c r="B26" s="32" t="s">
        <v>52</v>
      </c>
      <c r="C26" s="43" t="s">
        <v>192</v>
      </c>
      <c r="D26" s="52">
        <v>1330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 t="str">
        <f t="shared" si="8"/>
        <v>SI</v>
      </c>
      <c r="S26" s="31" t="str">
        <f t="shared" si="9"/>
        <v>Sin Riesgo</v>
      </c>
      <c r="T26" s="4"/>
      <c r="U26" s="4"/>
      <c r="V26" s="4"/>
      <c r="W26" s="4"/>
    </row>
    <row r="27" spans="1:23" ht="24.75" customHeight="1">
      <c r="A27" s="29" t="s">
        <v>166</v>
      </c>
      <c r="B27" s="32" t="s">
        <v>53</v>
      </c>
      <c r="C27" s="42" t="s">
        <v>292</v>
      </c>
      <c r="D27" s="51">
        <v>7444</v>
      </c>
      <c r="E27" s="30">
        <v>0</v>
      </c>
      <c r="F27" s="30">
        <v>5.35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0.71</v>
      </c>
      <c r="M27" s="30">
        <v>3.87</v>
      </c>
      <c r="N27" s="30">
        <v>0.71</v>
      </c>
      <c r="O27" s="30">
        <v>0</v>
      </c>
      <c r="P27" s="30">
        <v>0</v>
      </c>
      <c r="Q27" s="38">
        <v>0.89</v>
      </c>
      <c r="R27" s="31" t="str">
        <f t="shared" si="8"/>
        <v>SI</v>
      </c>
      <c r="S27" s="31" t="str">
        <f t="shared" si="9"/>
        <v>Sin Riesgo</v>
      </c>
      <c r="T27" s="4"/>
      <c r="U27" s="4"/>
      <c r="V27" s="4"/>
      <c r="W27" s="4"/>
    </row>
    <row r="28" spans="1:23" ht="24.75" customHeight="1">
      <c r="A28" s="29" t="s">
        <v>166</v>
      </c>
      <c r="B28" s="32" t="s">
        <v>54</v>
      </c>
      <c r="C28" s="42" t="s">
        <v>292</v>
      </c>
      <c r="D28" s="51">
        <v>157283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1.94</v>
      </c>
      <c r="P28" s="30">
        <v>0</v>
      </c>
      <c r="Q28" s="38">
        <v>0.16</v>
      </c>
      <c r="R28" s="31" t="str">
        <f t="shared" si="8"/>
        <v>SI</v>
      </c>
      <c r="S28" s="31" t="str">
        <f t="shared" si="9"/>
        <v>Sin Riesgo</v>
      </c>
      <c r="T28" s="4"/>
      <c r="U28" s="4"/>
      <c r="V28" s="4"/>
      <c r="W28" s="4"/>
    </row>
    <row r="29" spans="1:23" ht="24.75" customHeight="1">
      <c r="A29" s="29" t="s">
        <v>173</v>
      </c>
      <c r="B29" s="32" t="s">
        <v>55</v>
      </c>
      <c r="C29" s="42" t="s">
        <v>196</v>
      </c>
      <c r="D29" s="51">
        <v>611</v>
      </c>
      <c r="E29" s="30">
        <v>0</v>
      </c>
      <c r="F29" s="30">
        <v>9.73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0.65</v>
      </c>
      <c r="Q29" s="38">
        <v>0.86</v>
      </c>
      <c r="R29" s="31" t="str">
        <f t="shared" si="8"/>
        <v>SI</v>
      </c>
      <c r="S29" s="31" t="str">
        <f t="shared" si="9"/>
        <v>Sin Riesgo</v>
      </c>
      <c r="T29" s="4"/>
      <c r="U29" s="4"/>
      <c r="V29" s="4"/>
      <c r="W29" s="4"/>
    </row>
    <row r="30" spans="1:23" ht="33.75" customHeight="1">
      <c r="A30" s="29" t="s">
        <v>171</v>
      </c>
      <c r="B30" s="32" t="s">
        <v>56</v>
      </c>
      <c r="C30" s="42" t="s">
        <v>197</v>
      </c>
      <c r="D30" s="51">
        <v>1189</v>
      </c>
      <c r="E30" s="30"/>
      <c r="F30" s="30"/>
      <c r="G30" s="30"/>
      <c r="H30" s="30"/>
      <c r="I30" s="30"/>
      <c r="J30" s="30"/>
      <c r="K30" s="30"/>
      <c r="L30" s="30">
        <v>0</v>
      </c>
      <c r="M30" s="30">
        <v>0</v>
      </c>
      <c r="N30" s="30">
        <v>0</v>
      </c>
      <c r="O30" s="30">
        <v>0.65</v>
      </c>
      <c r="P30" s="30">
        <v>0</v>
      </c>
      <c r="Q30" s="38">
        <v>0.13</v>
      </c>
      <c r="R30" s="31" t="str">
        <f t="shared" si="8"/>
        <v>SI</v>
      </c>
      <c r="S30" s="31" t="str">
        <f t="shared" si="9"/>
        <v>Sin Riesgo</v>
      </c>
      <c r="T30" s="4"/>
      <c r="U30" s="4"/>
      <c r="V30" s="4"/>
      <c r="W30" s="4"/>
    </row>
    <row r="31" spans="1:23" ht="24.75" customHeight="1">
      <c r="A31" s="29" t="s">
        <v>171</v>
      </c>
      <c r="B31" s="32" t="s">
        <v>57</v>
      </c>
      <c r="C31" s="42" t="s">
        <v>198</v>
      </c>
      <c r="D31" s="51">
        <v>1860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8.43</v>
      </c>
      <c r="L31" s="30">
        <v>0</v>
      </c>
      <c r="M31" s="30">
        <v>1.23</v>
      </c>
      <c r="N31" s="30">
        <v>0</v>
      </c>
      <c r="O31" s="30">
        <v>0</v>
      </c>
      <c r="P31" s="30">
        <v>0</v>
      </c>
      <c r="Q31" s="38">
        <v>0.8</v>
      </c>
      <c r="R31" s="31" t="str">
        <f t="shared" si="8"/>
        <v>SI</v>
      </c>
      <c r="S31" s="31" t="str">
        <f t="shared" si="9"/>
        <v>Sin Riesgo</v>
      </c>
      <c r="T31" s="4"/>
      <c r="U31" s="4"/>
      <c r="V31" s="4"/>
      <c r="W31" s="4"/>
    </row>
    <row r="32" spans="1:23" ht="24.75" customHeight="1">
      <c r="A32" s="29" t="s">
        <v>173</v>
      </c>
      <c r="B32" s="32" t="s">
        <v>58</v>
      </c>
      <c r="C32" s="42" t="s">
        <v>199</v>
      </c>
      <c r="D32" s="51">
        <v>1090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1" t="str">
        <f t="shared" si="8"/>
        <v>SI</v>
      </c>
      <c r="S32" s="31" t="str">
        <f t="shared" si="9"/>
        <v>Sin Riesgo</v>
      </c>
      <c r="T32" s="4"/>
      <c r="U32" s="4"/>
      <c r="V32" s="4"/>
      <c r="W32" s="4"/>
    </row>
    <row r="33" spans="1:23" ht="37.5" customHeight="1">
      <c r="A33" s="29" t="s">
        <v>170</v>
      </c>
      <c r="B33" s="32" t="s">
        <v>59</v>
      </c>
      <c r="C33" s="42" t="s">
        <v>200</v>
      </c>
      <c r="D33" s="51">
        <v>1081</v>
      </c>
      <c r="E33" s="30">
        <v>0</v>
      </c>
      <c r="F33" s="30">
        <v>0</v>
      </c>
      <c r="G33" s="30">
        <v>0</v>
      </c>
      <c r="H33" s="30"/>
      <c r="I33" s="30"/>
      <c r="J33" s="30">
        <v>0</v>
      </c>
      <c r="K33" s="30"/>
      <c r="L33" s="30">
        <v>16.27</v>
      </c>
      <c r="M33" s="30">
        <v>0</v>
      </c>
      <c r="N33" s="30">
        <v>0.88</v>
      </c>
      <c r="O33" s="30">
        <v>0</v>
      </c>
      <c r="P33" s="30">
        <v>0</v>
      </c>
      <c r="Q33" s="38">
        <v>1.91</v>
      </c>
      <c r="R33" s="31" t="str">
        <f t="shared" si="8"/>
        <v>SI</v>
      </c>
      <c r="S33" s="31" t="str">
        <f t="shared" si="9"/>
        <v>Sin Riesgo</v>
      </c>
      <c r="T33" s="4"/>
      <c r="U33" s="4"/>
      <c r="V33" s="4"/>
      <c r="W33" s="4"/>
    </row>
    <row r="34" spans="1:23" ht="24.75" customHeight="1">
      <c r="A34" s="29" t="s">
        <v>175</v>
      </c>
      <c r="B34" s="32" t="s">
        <v>60</v>
      </c>
      <c r="C34" s="42" t="s">
        <v>293</v>
      </c>
      <c r="D34" s="51">
        <v>1926</v>
      </c>
      <c r="E34" s="30">
        <v>0</v>
      </c>
      <c r="F34" s="30">
        <v>6.45</v>
      </c>
      <c r="G34" s="30">
        <v>0</v>
      </c>
      <c r="H34" s="30">
        <v>0</v>
      </c>
      <c r="I34" s="30">
        <v>0</v>
      </c>
      <c r="J34" s="30">
        <v>6.45</v>
      </c>
      <c r="K34" s="30">
        <v>6.45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8">
        <v>1.61</v>
      </c>
      <c r="R34" s="31" t="str">
        <f t="shared" si="8"/>
        <v>SI</v>
      </c>
      <c r="S34" s="31" t="str">
        <f t="shared" si="9"/>
        <v>Sin Riesgo</v>
      </c>
      <c r="T34" s="4"/>
      <c r="U34" s="4"/>
      <c r="V34" s="4"/>
      <c r="W34" s="4"/>
    </row>
    <row r="35" spans="1:23" ht="35.25" customHeight="1">
      <c r="A35" s="29" t="s">
        <v>170</v>
      </c>
      <c r="B35" s="32" t="s">
        <v>61</v>
      </c>
      <c r="C35" s="42" t="s">
        <v>201</v>
      </c>
      <c r="D35" s="51">
        <v>854</v>
      </c>
      <c r="E35" s="30"/>
      <c r="F35" s="30"/>
      <c r="G35" s="30"/>
      <c r="H35" s="30"/>
      <c r="I35" s="30"/>
      <c r="J35" s="30"/>
      <c r="K35" s="30"/>
      <c r="L35" s="30">
        <v>1.18</v>
      </c>
      <c r="M35" s="30">
        <v>0</v>
      </c>
      <c r="N35" s="30">
        <v>6.45</v>
      </c>
      <c r="O35" s="30">
        <v>0</v>
      </c>
      <c r="P35" s="30">
        <v>0</v>
      </c>
      <c r="Q35" s="38">
        <v>1.53</v>
      </c>
      <c r="R35" s="31" t="str">
        <f t="shared" si="8"/>
        <v>SI</v>
      </c>
      <c r="S35" s="31" t="str">
        <f t="shared" si="9"/>
        <v>Sin Riesgo</v>
      </c>
      <c r="T35" s="4"/>
      <c r="U35" s="4"/>
      <c r="V35" s="4"/>
      <c r="W35" s="4"/>
    </row>
    <row r="36" spans="1:23" ht="24.75" customHeight="1">
      <c r="A36" s="29" t="s">
        <v>166</v>
      </c>
      <c r="B36" s="32" t="s">
        <v>62</v>
      </c>
      <c r="C36" s="42" t="s">
        <v>292</v>
      </c>
      <c r="D36" s="51">
        <v>16713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1" t="str">
        <f t="shared" si="8"/>
        <v>SI</v>
      </c>
      <c r="S36" s="31" t="str">
        <f t="shared" si="9"/>
        <v>Sin Riesgo</v>
      </c>
      <c r="T36" s="4"/>
      <c r="U36" s="4"/>
      <c r="V36" s="4"/>
      <c r="W36" s="4"/>
    </row>
    <row r="37" spans="1:23" ht="32.25" customHeight="1">
      <c r="A37" s="29" t="s">
        <v>166</v>
      </c>
      <c r="B37" s="32" t="s">
        <v>62</v>
      </c>
      <c r="C37" s="42" t="s">
        <v>202</v>
      </c>
      <c r="D37" s="51">
        <v>249</v>
      </c>
      <c r="E37" s="30"/>
      <c r="F37" s="30"/>
      <c r="G37" s="30"/>
      <c r="H37" s="30">
        <v>0</v>
      </c>
      <c r="I37" s="30">
        <v>0</v>
      </c>
      <c r="J37" s="30">
        <v>6.45</v>
      </c>
      <c r="K37" s="30">
        <v>11.63</v>
      </c>
      <c r="L37" s="30">
        <v>6.45</v>
      </c>
      <c r="M37" s="30">
        <v>6.45</v>
      </c>
      <c r="N37" s="30">
        <v>0</v>
      </c>
      <c r="O37" s="30">
        <v>0</v>
      </c>
      <c r="P37" s="30">
        <v>0</v>
      </c>
      <c r="Q37" s="38">
        <v>3.44</v>
      </c>
      <c r="R37" s="31" t="str">
        <f t="shared" si="8"/>
        <v>SI</v>
      </c>
      <c r="S37" s="31" t="str">
        <f t="shared" si="9"/>
        <v>Sin Riesgo</v>
      </c>
      <c r="T37" s="4"/>
      <c r="U37" s="4"/>
      <c r="V37" s="4"/>
      <c r="W37" s="4"/>
    </row>
    <row r="38" spans="1:23" ht="37.5" customHeight="1">
      <c r="A38" s="29" t="s">
        <v>166</v>
      </c>
      <c r="B38" s="32" t="s">
        <v>62</v>
      </c>
      <c r="C38" s="42" t="s">
        <v>203</v>
      </c>
      <c r="D38" s="51">
        <v>1151</v>
      </c>
      <c r="E38" s="30"/>
      <c r="F38" s="30"/>
      <c r="G38" s="30"/>
      <c r="H38" s="30">
        <v>0</v>
      </c>
      <c r="I38" s="30">
        <v>0</v>
      </c>
      <c r="J38" s="30">
        <v>0</v>
      </c>
      <c r="K38" s="30">
        <v>0</v>
      </c>
      <c r="L38" s="30">
        <v>5.81</v>
      </c>
      <c r="M38" s="30">
        <v>6.45</v>
      </c>
      <c r="N38" s="30">
        <v>0</v>
      </c>
      <c r="O38" s="30">
        <v>0</v>
      </c>
      <c r="P38" s="30">
        <v>0</v>
      </c>
      <c r="Q38" s="38">
        <v>1.36</v>
      </c>
      <c r="R38" s="31" t="str">
        <f t="shared" si="8"/>
        <v>SI</v>
      </c>
      <c r="S38" s="31" t="str">
        <f t="shared" si="9"/>
        <v>Sin Riesgo</v>
      </c>
      <c r="T38" s="4"/>
      <c r="U38" s="4"/>
      <c r="V38" s="4"/>
      <c r="W38" s="4"/>
    </row>
    <row r="39" spans="1:23" ht="33.75" customHeight="1">
      <c r="A39" s="29" t="s">
        <v>173</v>
      </c>
      <c r="B39" s="32" t="s">
        <v>63</v>
      </c>
      <c r="C39" s="44" t="s">
        <v>204</v>
      </c>
      <c r="D39" s="53">
        <v>1024</v>
      </c>
      <c r="E39" s="30">
        <v>0</v>
      </c>
      <c r="F39" s="30">
        <v>0</v>
      </c>
      <c r="G39" s="30">
        <v>0</v>
      </c>
      <c r="H39" s="30">
        <v>0</v>
      </c>
      <c r="I39" s="30">
        <v>16.85</v>
      </c>
      <c r="J39" s="30">
        <v>0</v>
      </c>
      <c r="K39" s="30">
        <v>0</v>
      </c>
      <c r="L39" s="30">
        <v>6.45</v>
      </c>
      <c r="M39" s="30">
        <v>9.03</v>
      </c>
      <c r="N39" s="30">
        <v>0</v>
      </c>
      <c r="O39" s="30">
        <v>8.59</v>
      </c>
      <c r="P39" s="30">
        <v>0</v>
      </c>
      <c r="Q39" s="38">
        <v>3.41</v>
      </c>
      <c r="R39" s="31" t="str">
        <f t="shared" si="8"/>
        <v>SI</v>
      </c>
      <c r="S39" s="31" t="str">
        <f t="shared" si="9"/>
        <v>Sin Riesgo</v>
      </c>
      <c r="T39" s="4"/>
      <c r="U39" s="4"/>
      <c r="V39" s="4"/>
      <c r="W39" s="4"/>
    </row>
    <row r="40" spans="1:23" ht="24.75" customHeight="1">
      <c r="A40" s="29" t="s">
        <v>170</v>
      </c>
      <c r="B40" s="32" t="s">
        <v>64</v>
      </c>
      <c r="C40" s="42" t="s">
        <v>205</v>
      </c>
      <c r="D40" s="51">
        <v>1685</v>
      </c>
      <c r="E40" s="30">
        <v>0</v>
      </c>
      <c r="F40" s="30">
        <v>8.85</v>
      </c>
      <c r="G40" s="30">
        <v>0</v>
      </c>
      <c r="H40" s="30">
        <v>0</v>
      </c>
      <c r="I40" s="30">
        <v>0</v>
      </c>
      <c r="J40" s="30">
        <v>15.24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6.45</v>
      </c>
      <c r="Q40" s="38">
        <v>2.54</v>
      </c>
      <c r="R40" s="31" t="str">
        <f t="shared" si="8"/>
        <v>SI</v>
      </c>
      <c r="S40" s="31" t="str">
        <f t="shared" si="9"/>
        <v>Sin Riesgo</v>
      </c>
      <c r="T40" s="4"/>
      <c r="U40" s="4"/>
      <c r="V40" s="4"/>
      <c r="W40" s="4"/>
    </row>
    <row r="41" spans="1:23" ht="32.25" customHeight="1">
      <c r="A41" s="34" t="s">
        <v>176</v>
      </c>
      <c r="B41" s="32" t="s">
        <v>65</v>
      </c>
      <c r="C41" s="42" t="s">
        <v>206</v>
      </c>
      <c r="D41" s="51">
        <v>1173</v>
      </c>
      <c r="E41" s="30"/>
      <c r="F41" s="30"/>
      <c r="G41" s="30"/>
      <c r="H41" s="30"/>
      <c r="I41" s="30"/>
      <c r="J41" s="30"/>
      <c r="K41" s="30">
        <v>1.69</v>
      </c>
      <c r="L41" s="30">
        <v>0</v>
      </c>
      <c r="M41" s="30">
        <v>0</v>
      </c>
      <c r="N41" s="30">
        <v>0.88</v>
      </c>
      <c r="O41" s="30">
        <v>0.65</v>
      </c>
      <c r="P41" s="30">
        <v>0.65</v>
      </c>
      <c r="Q41" s="38">
        <v>0.32</v>
      </c>
      <c r="R41" s="31" t="str">
        <f t="shared" si="8"/>
        <v>SI</v>
      </c>
      <c r="S41" s="31" t="str">
        <f t="shared" si="9"/>
        <v>Sin Riesgo</v>
      </c>
      <c r="T41" s="13"/>
      <c r="U41" s="4"/>
      <c r="V41" s="4"/>
      <c r="W41" s="4"/>
    </row>
    <row r="42" spans="1:23" ht="26.25" customHeight="1">
      <c r="A42" s="29" t="s">
        <v>171</v>
      </c>
      <c r="B42" s="32" t="s">
        <v>66</v>
      </c>
      <c r="C42" s="42" t="s">
        <v>207</v>
      </c>
      <c r="D42" s="51">
        <v>1048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1" t="str">
        <f t="shared" si="8"/>
        <v>SI</v>
      </c>
      <c r="S42" s="31" t="str">
        <f t="shared" si="9"/>
        <v>Sin Riesgo</v>
      </c>
      <c r="T42" s="4"/>
      <c r="U42" s="4"/>
      <c r="V42" s="4"/>
      <c r="W42" s="4"/>
    </row>
    <row r="43" spans="1:23" ht="24.75" customHeight="1">
      <c r="A43" s="29" t="s">
        <v>174</v>
      </c>
      <c r="B43" s="32" t="s">
        <v>67</v>
      </c>
      <c r="C43" s="42" t="s">
        <v>194</v>
      </c>
      <c r="D43" s="51">
        <v>11045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1" t="str">
        <f t="shared" si="8"/>
        <v>SI</v>
      </c>
      <c r="S43" s="31" t="str">
        <f t="shared" si="9"/>
        <v>Sin Riesgo</v>
      </c>
      <c r="T43" s="4"/>
      <c r="U43" s="4"/>
      <c r="V43" s="4"/>
      <c r="W43" s="4"/>
    </row>
    <row r="44" spans="1:23" ht="35.25" customHeight="1">
      <c r="A44" s="29" t="s">
        <v>173</v>
      </c>
      <c r="B44" s="32" t="s">
        <v>177</v>
      </c>
      <c r="C44" s="42" t="s">
        <v>208</v>
      </c>
      <c r="D44" s="51">
        <v>1113</v>
      </c>
      <c r="E44" s="30">
        <v>0</v>
      </c>
      <c r="F44" s="30"/>
      <c r="G44" s="30">
        <v>0</v>
      </c>
      <c r="H44" s="30">
        <v>0</v>
      </c>
      <c r="I44" s="30">
        <v>0</v>
      </c>
      <c r="J44" s="30">
        <v>0</v>
      </c>
      <c r="K44" s="30">
        <v>17.2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8">
        <v>1.56</v>
      </c>
      <c r="R44" s="31" t="str">
        <f t="shared" si="8"/>
        <v>SI</v>
      </c>
      <c r="S44" s="31" t="str">
        <f t="shared" si="9"/>
        <v>Sin Riesgo</v>
      </c>
      <c r="T44" s="4"/>
      <c r="U44" s="4"/>
      <c r="V44" s="4"/>
      <c r="W44" s="4"/>
    </row>
    <row r="45" spans="1:23" ht="24.75" customHeight="1">
      <c r="A45" s="29" t="s">
        <v>175</v>
      </c>
      <c r="B45" s="32" t="s">
        <v>68</v>
      </c>
      <c r="C45" s="42" t="s">
        <v>306</v>
      </c>
      <c r="D45" s="51">
        <v>14978</v>
      </c>
      <c r="E45" s="30">
        <v>0</v>
      </c>
      <c r="F45" s="30">
        <v>3.87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3.87</v>
      </c>
      <c r="M45" s="30">
        <v>0</v>
      </c>
      <c r="N45" s="30">
        <v>0</v>
      </c>
      <c r="O45" s="30">
        <v>0</v>
      </c>
      <c r="P45" s="30">
        <v>0</v>
      </c>
      <c r="Q45" s="38">
        <v>1.19</v>
      </c>
      <c r="R45" s="31" t="str">
        <f t="shared" si="8"/>
        <v>SI</v>
      </c>
      <c r="S45" s="31" t="str">
        <f t="shared" si="9"/>
        <v>Sin Riesgo</v>
      </c>
      <c r="T45" s="4"/>
      <c r="U45" s="4"/>
      <c r="V45" s="4"/>
      <c r="W45" s="4"/>
    </row>
    <row r="46" spans="1:23" ht="24.75" customHeight="1">
      <c r="A46" s="29" t="s">
        <v>175</v>
      </c>
      <c r="B46" s="32" t="s">
        <v>68</v>
      </c>
      <c r="C46" s="42" t="s">
        <v>307</v>
      </c>
      <c r="D46" s="51">
        <v>1576</v>
      </c>
      <c r="E46" s="30">
        <v>0</v>
      </c>
      <c r="F46" s="30">
        <v>6.45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8">
        <v>0.54</v>
      </c>
      <c r="R46" s="31" t="str">
        <f t="shared" si="8"/>
        <v>SI</v>
      </c>
      <c r="S46" s="31" t="str">
        <f t="shared" si="9"/>
        <v>Sin Riesgo</v>
      </c>
      <c r="T46" s="4"/>
      <c r="U46" s="4"/>
      <c r="V46" s="4"/>
      <c r="W46" s="4"/>
    </row>
    <row r="47" spans="1:23" ht="24.75" customHeight="1">
      <c r="A47" s="29" t="s">
        <v>175</v>
      </c>
      <c r="B47" s="32" t="s">
        <v>68</v>
      </c>
      <c r="C47" s="42" t="s">
        <v>308</v>
      </c>
      <c r="D47" s="51">
        <v>1112</v>
      </c>
      <c r="E47" s="30">
        <v>0</v>
      </c>
      <c r="F47" s="30">
        <v>0</v>
      </c>
      <c r="G47" s="30">
        <v>0</v>
      </c>
      <c r="H47" s="30">
        <v>6.45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8">
        <v>0.54</v>
      </c>
      <c r="R47" s="31" t="str">
        <f t="shared" si="8"/>
        <v>SI</v>
      </c>
      <c r="S47" s="31" t="str">
        <f t="shared" si="9"/>
        <v>Sin Riesgo</v>
      </c>
      <c r="T47" s="4"/>
      <c r="U47" s="4"/>
      <c r="V47" s="4"/>
      <c r="W47" s="4"/>
    </row>
    <row r="48" spans="1:23" ht="24.75" customHeight="1">
      <c r="A48" s="29" t="s">
        <v>175</v>
      </c>
      <c r="B48" s="32" t="s">
        <v>68</v>
      </c>
      <c r="C48" s="42" t="s">
        <v>309</v>
      </c>
      <c r="D48" s="51">
        <v>983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1.18</v>
      </c>
      <c r="O48" s="30">
        <v>0</v>
      </c>
      <c r="P48" s="30">
        <v>0</v>
      </c>
      <c r="Q48" s="30">
        <v>0.1</v>
      </c>
      <c r="R48" s="31" t="str">
        <f t="shared" si="8"/>
        <v>SI</v>
      </c>
      <c r="S48" s="31" t="str">
        <f t="shared" si="9"/>
        <v>Sin Riesgo</v>
      </c>
      <c r="T48" s="4"/>
      <c r="U48" s="4"/>
      <c r="V48" s="4"/>
      <c r="W48" s="4"/>
    </row>
    <row r="49" spans="1:23" ht="24.75" customHeight="1">
      <c r="A49" s="29" t="s">
        <v>175</v>
      </c>
      <c r="B49" s="32" t="s">
        <v>68</v>
      </c>
      <c r="C49" s="42" t="s">
        <v>310</v>
      </c>
      <c r="D49" s="51">
        <v>2045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6.1</v>
      </c>
      <c r="M49" s="30">
        <v>0</v>
      </c>
      <c r="N49" s="30">
        <v>5.92</v>
      </c>
      <c r="O49" s="30">
        <v>0</v>
      </c>
      <c r="P49" s="30">
        <v>9.68</v>
      </c>
      <c r="Q49" s="38">
        <v>1.81</v>
      </c>
      <c r="R49" s="31" t="str">
        <f t="shared" si="8"/>
        <v>SI</v>
      </c>
      <c r="S49" s="31" t="str">
        <f t="shared" si="9"/>
        <v>Sin Riesgo</v>
      </c>
      <c r="T49" s="4"/>
      <c r="U49" s="4"/>
      <c r="V49" s="4"/>
      <c r="W49" s="4"/>
    </row>
    <row r="50" spans="1:23" ht="24.75" customHeight="1">
      <c r="A50" s="29" t="s">
        <v>174</v>
      </c>
      <c r="B50" s="32" t="s">
        <v>69</v>
      </c>
      <c r="C50" s="42" t="s">
        <v>194</v>
      </c>
      <c r="D50" s="51">
        <v>15571</v>
      </c>
      <c r="E50" s="30">
        <v>0</v>
      </c>
      <c r="F50" s="30">
        <v>0</v>
      </c>
      <c r="G50" s="30">
        <v>0</v>
      </c>
      <c r="H50" s="30">
        <v>0</v>
      </c>
      <c r="I50" s="30">
        <v>1.55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0.13</v>
      </c>
      <c r="R50" s="31" t="str">
        <f t="shared" si="8"/>
        <v>SI</v>
      </c>
      <c r="S50" s="31" t="str">
        <f t="shared" si="9"/>
        <v>Sin Riesgo</v>
      </c>
      <c r="T50" s="4"/>
      <c r="U50" s="4"/>
      <c r="V50" s="4"/>
      <c r="W50" s="4"/>
    </row>
    <row r="51" spans="1:23" ht="36" customHeight="1">
      <c r="A51" s="29" t="s">
        <v>172</v>
      </c>
      <c r="B51" s="32" t="s">
        <v>70</v>
      </c>
      <c r="C51" s="42" t="s">
        <v>209</v>
      </c>
      <c r="D51" s="51">
        <v>208</v>
      </c>
      <c r="E51" s="30">
        <v>97.35</v>
      </c>
      <c r="F51" s="30">
        <v>97.35</v>
      </c>
      <c r="G51" s="30">
        <v>97.35</v>
      </c>
      <c r="H51" s="30">
        <v>97.35</v>
      </c>
      <c r="I51" s="30">
        <v>97.35</v>
      </c>
      <c r="J51" s="30">
        <v>97.35</v>
      </c>
      <c r="K51" s="30">
        <v>97.35</v>
      </c>
      <c r="L51" s="30">
        <v>98.06</v>
      </c>
      <c r="M51" s="30">
        <v>98.06</v>
      </c>
      <c r="N51" s="30">
        <v>86.58</v>
      </c>
      <c r="O51" s="30">
        <v>90.32</v>
      </c>
      <c r="P51" s="30">
        <v>70.97</v>
      </c>
      <c r="Q51" s="38">
        <v>93.78</v>
      </c>
      <c r="R51" s="31" t="str">
        <f t="shared" si="8"/>
        <v>NO</v>
      </c>
      <c r="S51" s="3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29" t="s">
        <v>172</v>
      </c>
      <c r="B52" s="32" t="s">
        <v>70</v>
      </c>
      <c r="C52" s="42" t="s">
        <v>210</v>
      </c>
      <c r="D52" s="51">
        <v>26</v>
      </c>
      <c r="E52" s="30">
        <v>97.35</v>
      </c>
      <c r="F52" s="30">
        <v>97.35</v>
      </c>
      <c r="G52" s="30">
        <v>97.35</v>
      </c>
      <c r="H52" s="30"/>
      <c r="I52" s="30">
        <v>97.35</v>
      </c>
      <c r="J52" s="30">
        <v>97.35</v>
      </c>
      <c r="K52" s="30">
        <v>97.35</v>
      </c>
      <c r="L52" s="30">
        <v>90.32</v>
      </c>
      <c r="M52" s="30">
        <v>97.6</v>
      </c>
      <c r="N52" s="30">
        <v>65.09</v>
      </c>
      <c r="O52" s="30">
        <v>70.97</v>
      </c>
      <c r="P52" s="30">
        <v>90.32</v>
      </c>
      <c r="Q52" s="38">
        <v>90.76</v>
      </c>
      <c r="R52" s="31" t="str">
        <f t="shared" si="8"/>
        <v>NO</v>
      </c>
      <c r="S52" s="31" t="str">
        <f t="shared" si="9"/>
        <v>Inviable Sanitariamente</v>
      </c>
      <c r="T52" s="4"/>
      <c r="U52" s="4"/>
      <c r="V52" s="4"/>
      <c r="W52" s="4"/>
    </row>
    <row r="53" spans="1:23" ht="33.75" customHeight="1">
      <c r="A53" s="29" t="s">
        <v>172</v>
      </c>
      <c r="B53" s="32" t="s">
        <v>70</v>
      </c>
      <c r="C53" s="42" t="s">
        <v>211</v>
      </c>
      <c r="D53" s="51">
        <v>49</v>
      </c>
      <c r="E53" s="30">
        <v>97.35</v>
      </c>
      <c r="F53" s="30">
        <v>97.35</v>
      </c>
      <c r="G53" s="30">
        <v>53.1</v>
      </c>
      <c r="H53" s="30">
        <v>97.35</v>
      </c>
      <c r="I53" s="30">
        <v>97.35</v>
      </c>
      <c r="J53" s="30">
        <v>97.35</v>
      </c>
      <c r="K53" s="30">
        <v>97.35</v>
      </c>
      <c r="L53" s="30">
        <v>90.32</v>
      </c>
      <c r="M53" s="30">
        <v>90.32</v>
      </c>
      <c r="N53" s="30">
        <v>82.84</v>
      </c>
      <c r="O53" s="30">
        <v>90.06</v>
      </c>
      <c r="P53" s="30">
        <v>90.32</v>
      </c>
      <c r="Q53" s="38">
        <v>90.75</v>
      </c>
      <c r="R53" s="31" t="str">
        <f t="shared" si="8"/>
        <v>NO</v>
      </c>
      <c r="S53" s="31" t="str">
        <f t="shared" si="9"/>
        <v>Inviable Sanitariamente</v>
      </c>
      <c r="T53" s="4"/>
      <c r="U53" s="4"/>
      <c r="V53" s="4"/>
      <c r="W53" s="4"/>
    </row>
    <row r="54" spans="1:23" ht="30.75" customHeight="1">
      <c r="A54" s="29" t="s">
        <v>172</v>
      </c>
      <c r="B54" s="32" t="s">
        <v>70</v>
      </c>
      <c r="C54" s="42" t="s">
        <v>212</v>
      </c>
      <c r="D54" s="51">
        <v>210</v>
      </c>
      <c r="E54" s="30">
        <v>97.35</v>
      </c>
      <c r="F54" s="30">
        <v>97.35</v>
      </c>
      <c r="G54" s="30">
        <v>97.35</v>
      </c>
      <c r="H54" s="30">
        <v>97.35</v>
      </c>
      <c r="I54" s="30">
        <v>97.35</v>
      </c>
      <c r="J54" s="30">
        <v>97.35</v>
      </c>
      <c r="K54" s="30">
        <v>97.35</v>
      </c>
      <c r="L54" s="30">
        <v>70.97</v>
      </c>
      <c r="M54" s="30">
        <v>70.97</v>
      </c>
      <c r="N54" s="30">
        <v>65.09</v>
      </c>
      <c r="O54" s="30">
        <v>90.32</v>
      </c>
      <c r="P54" s="30">
        <v>19.35</v>
      </c>
      <c r="Q54" s="38">
        <v>83.18</v>
      </c>
      <c r="R54" s="31" t="str">
        <f t="shared" si="8"/>
        <v>NO</v>
      </c>
      <c r="S54" s="31" t="str">
        <f t="shared" si="9"/>
        <v>Inviable Sanitariamente</v>
      </c>
      <c r="T54" s="4"/>
      <c r="U54" s="4"/>
      <c r="V54" s="4"/>
      <c r="W54" s="4"/>
    </row>
    <row r="55" spans="1:23" ht="33.75" customHeight="1">
      <c r="A55" s="29" t="s">
        <v>172</v>
      </c>
      <c r="B55" s="32" t="s">
        <v>70</v>
      </c>
      <c r="C55" s="42" t="s">
        <v>213</v>
      </c>
      <c r="D55" s="51">
        <v>2915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16.85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8">
        <v>1.4</v>
      </c>
      <c r="R55" s="31" t="str">
        <f t="shared" si="8"/>
        <v>SI</v>
      </c>
      <c r="S55" s="31" t="str">
        <f t="shared" si="9"/>
        <v>Sin Riesgo</v>
      </c>
      <c r="T55" s="4"/>
      <c r="U55" s="4"/>
      <c r="V55" s="4"/>
      <c r="W55" s="4"/>
    </row>
    <row r="56" spans="1:23" ht="33.75" customHeight="1">
      <c r="A56" s="29" t="s">
        <v>172</v>
      </c>
      <c r="B56" s="32" t="s">
        <v>70</v>
      </c>
      <c r="C56" s="42" t="s">
        <v>214</v>
      </c>
      <c r="D56" s="51">
        <v>430</v>
      </c>
      <c r="E56" s="30">
        <v>97.35</v>
      </c>
      <c r="F56" s="30">
        <v>97.35</v>
      </c>
      <c r="G56" s="30">
        <v>97.35</v>
      </c>
      <c r="H56" s="30">
        <v>97.35</v>
      </c>
      <c r="I56" s="30">
        <v>97.35</v>
      </c>
      <c r="J56" s="30">
        <v>97.35</v>
      </c>
      <c r="K56" s="30">
        <v>97.35</v>
      </c>
      <c r="L56" s="30">
        <v>90.32</v>
      </c>
      <c r="M56" s="30">
        <v>70.97</v>
      </c>
      <c r="N56" s="30">
        <v>82.84</v>
      </c>
      <c r="O56" s="30">
        <v>90.32</v>
      </c>
      <c r="P56" s="30">
        <v>70.97</v>
      </c>
      <c r="Q56" s="38">
        <v>90.57</v>
      </c>
      <c r="R56" s="31" t="str">
        <f t="shared" si="8"/>
        <v>NO</v>
      </c>
      <c r="S56" s="31" t="str">
        <f t="shared" si="9"/>
        <v>Inviable Sanitariamente</v>
      </c>
      <c r="T56" s="4"/>
      <c r="U56" s="4"/>
      <c r="V56" s="4"/>
      <c r="W56" s="4"/>
    </row>
    <row r="57" spans="1:23" ht="35.25" customHeight="1">
      <c r="A57" s="29" t="s">
        <v>172</v>
      </c>
      <c r="B57" s="32" t="s">
        <v>70</v>
      </c>
      <c r="C57" s="42" t="s">
        <v>215</v>
      </c>
      <c r="D57" s="51">
        <v>51</v>
      </c>
      <c r="E57" s="30">
        <v>97.35</v>
      </c>
      <c r="F57" s="30">
        <v>97.35</v>
      </c>
      <c r="G57" s="30">
        <v>97.35</v>
      </c>
      <c r="H57" s="30">
        <v>97.35</v>
      </c>
      <c r="I57" s="30">
        <v>97.35</v>
      </c>
      <c r="J57" s="30">
        <v>97.35</v>
      </c>
      <c r="K57" s="30">
        <v>97.35</v>
      </c>
      <c r="L57" s="30">
        <v>98.06</v>
      </c>
      <c r="M57" s="30">
        <v>90.32</v>
      </c>
      <c r="N57" s="30">
        <v>65.09</v>
      </c>
      <c r="O57" s="30">
        <v>90.32</v>
      </c>
      <c r="P57" s="30">
        <v>0</v>
      </c>
      <c r="Q57" s="38">
        <v>85.43</v>
      </c>
      <c r="R57" s="31" t="str">
        <f t="shared" si="8"/>
        <v>NO</v>
      </c>
      <c r="S57" s="31" t="str">
        <f t="shared" si="9"/>
        <v>Inviable Sanitariamente</v>
      </c>
      <c r="T57" s="4"/>
      <c r="U57" s="4"/>
      <c r="V57" s="4"/>
      <c r="W57" s="4"/>
    </row>
    <row r="58" spans="1:23" ht="24.75" customHeight="1">
      <c r="A58" s="29" t="s">
        <v>171</v>
      </c>
      <c r="B58" s="32" t="s">
        <v>71</v>
      </c>
      <c r="C58" s="42" t="s">
        <v>11</v>
      </c>
      <c r="D58" s="51">
        <v>442</v>
      </c>
      <c r="E58" s="30">
        <v>0</v>
      </c>
      <c r="F58" s="30">
        <v>0</v>
      </c>
      <c r="G58" s="30">
        <v>0</v>
      </c>
      <c r="H58" s="30"/>
      <c r="I58" s="30">
        <v>0</v>
      </c>
      <c r="J58" s="30">
        <v>0</v>
      </c>
      <c r="K58" s="30">
        <v>5.62</v>
      </c>
      <c r="L58" s="30">
        <v>0</v>
      </c>
      <c r="M58" s="30">
        <v>0</v>
      </c>
      <c r="N58" s="30">
        <v>6.45</v>
      </c>
      <c r="O58" s="30">
        <v>0</v>
      </c>
      <c r="P58" s="30">
        <v>9.03</v>
      </c>
      <c r="Q58" s="38">
        <v>1.92</v>
      </c>
      <c r="R58" s="31" t="str">
        <f t="shared" si="8"/>
        <v>SI</v>
      </c>
      <c r="S58" s="31" t="str">
        <f t="shared" si="9"/>
        <v>Sin Riesgo</v>
      </c>
      <c r="T58" s="4"/>
      <c r="U58" s="4"/>
      <c r="V58" s="4"/>
      <c r="W58" s="4"/>
    </row>
    <row r="59" spans="1:23" ht="24.75" customHeight="1">
      <c r="A59" s="29" t="s">
        <v>171</v>
      </c>
      <c r="B59" s="32" t="s">
        <v>71</v>
      </c>
      <c r="C59" s="42" t="s">
        <v>24</v>
      </c>
      <c r="D59" s="51">
        <v>4968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 t="str">
        <f t="shared" si="8"/>
        <v>SI</v>
      </c>
      <c r="S59" s="31" t="str">
        <f t="shared" si="9"/>
        <v>Sin Riesgo</v>
      </c>
      <c r="T59" s="4"/>
      <c r="U59" s="4"/>
      <c r="V59" s="4"/>
      <c r="W59" s="4"/>
    </row>
    <row r="60" spans="1:23" ht="40.5" customHeight="1">
      <c r="A60" s="29" t="s">
        <v>171</v>
      </c>
      <c r="B60" s="32" t="s">
        <v>71</v>
      </c>
      <c r="C60" s="42" t="s">
        <v>216</v>
      </c>
      <c r="D60" s="51">
        <v>198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14.47</v>
      </c>
      <c r="K60" s="30">
        <v>5.62</v>
      </c>
      <c r="L60" s="30">
        <v>6.45</v>
      </c>
      <c r="M60" s="30">
        <v>0</v>
      </c>
      <c r="N60" s="30">
        <v>38.9</v>
      </c>
      <c r="O60" s="30">
        <v>6.45</v>
      </c>
      <c r="P60" s="30">
        <v>0</v>
      </c>
      <c r="Q60" s="38">
        <v>5.99</v>
      </c>
      <c r="R60" s="31" t="str">
        <f t="shared" si="8"/>
        <v>NO</v>
      </c>
      <c r="S60" s="31" t="str">
        <f t="shared" si="9"/>
        <v>Bajo</v>
      </c>
      <c r="T60" s="4"/>
      <c r="U60" s="4"/>
      <c r="V60" s="4"/>
      <c r="W60" s="4"/>
    </row>
    <row r="61" spans="1:23" ht="24.75" customHeight="1">
      <c r="A61" s="29" t="s">
        <v>169</v>
      </c>
      <c r="B61" s="32" t="s">
        <v>72</v>
      </c>
      <c r="C61" s="42" t="s">
        <v>217</v>
      </c>
      <c r="D61" s="51">
        <v>3015</v>
      </c>
      <c r="E61" s="30">
        <v>0</v>
      </c>
      <c r="F61" s="30">
        <v>0</v>
      </c>
      <c r="G61" s="30">
        <v>19.35</v>
      </c>
      <c r="H61" s="30">
        <v>13.55</v>
      </c>
      <c r="I61" s="30">
        <v>32.9</v>
      </c>
      <c r="J61" s="30">
        <v>0</v>
      </c>
      <c r="K61" s="30">
        <v>0</v>
      </c>
      <c r="L61" s="30">
        <v>2.37</v>
      </c>
      <c r="M61" s="30">
        <v>6.45</v>
      </c>
      <c r="N61" s="30">
        <v>9.03</v>
      </c>
      <c r="O61" s="30">
        <v>0</v>
      </c>
      <c r="P61" s="30">
        <v>0</v>
      </c>
      <c r="Q61" s="38">
        <v>6.97</v>
      </c>
      <c r="R61" s="31" t="str">
        <f t="shared" si="8"/>
        <v>NO</v>
      </c>
      <c r="S61" s="31" t="str">
        <f t="shared" si="9"/>
        <v>Bajo</v>
      </c>
      <c r="T61" s="4"/>
      <c r="U61" s="4"/>
      <c r="V61" s="4"/>
      <c r="W61" s="4"/>
    </row>
    <row r="62" spans="1:23" ht="33.75" customHeight="1">
      <c r="A62" s="29" t="s">
        <v>169</v>
      </c>
      <c r="B62" s="32" t="s">
        <v>73</v>
      </c>
      <c r="C62" s="42" t="s">
        <v>218</v>
      </c>
      <c r="D62" s="51">
        <v>1167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0.88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0.65</v>
      </c>
      <c r="Q62" s="38">
        <v>0.13</v>
      </c>
      <c r="R62" s="31" t="str">
        <f t="shared" si="8"/>
        <v>SI</v>
      </c>
      <c r="S62" s="31" t="str">
        <f t="shared" si="9"/>
        <v>Sin Riesgo</v>
      </c>
      <c r="T62" s="4"/>
      <c r="U62" s="4"/>
      <c r="V62" s="4"/>
      <c r="W62" s="4"/>
    </row>
    <row r="63" spans="1:23" ht="24.75" customHeight="1">
      <c r="A63" s="29" t="s">
        <v>171</v>
      </c>
      <c r="B63" s="32" t="s">
        <v>74</v>
      </c>
      <c r="C63" s="42" t="s">
        <v>219</v>
      </c>
      <c r="D63" s="51">
        <v>3244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/>
      <c r="L63" s="30">
        <v>0</v>
      </c>
      <c r="M63" s="30">
        <v>1.23</v>
      </c>
      <c r="N63" s="30">
        <v>0</v>
      </c>
      <c r="O63" s="30">
        <v>0</v>
      </c>
      <c r="P63" s="30">
        <v>0</v>
      </c>
      <c r="Q63" s="38">
        <v>0.11</v>
      </c>
      <c r="R63" s="31" t="str">
        <f t="shared" si="8"/>
        <v>SI</v>
      </c>
      <c r="S63" s="31" t="str">
        <f t="shared" si="9"/>
        <v>Sin Riesgo</v>
      </c>
      <c r="T63" s="4"/>
      <c r="U63" s="4"/>
      <c r="V63" s="4"/>
      <c r="W63" s="4"/>
    </row>
    <row r="64" spans="1:23" ht="24.75" customHeight="1">
      <c r="A64" s="29" t="s">
        <v>166</v>
      </c>
      <c r="B64" s="32" t="s">
        <v>75</v>
      </c>
      <c r="C64" s="42" t="s">
        <v>292</v>
      </c>
      <c r="D64" s="51">
        <v>20540</v>
      </c>
      <c r="E64" s="30">
        <v>0</v>
      </c>
      <c r="F64" s="30">
        <v>0</v>
      </c>
      <c r="G64" s="30">
        <v>0</v>
      </c>
      <c r="H64" s="30">
        <v>3.87</v>
      </c>
      <c r="I64" s="30">
        <v>0</v>
      </c>
      <c r="J64" s="30">
        <v>0</v>
      </c>
      <c r="K64" s="30">
        <v>3.23</v>
      </c>
      <c r="L64" s="30">
        <v>0</v>
      </c>
      <c r="M64" s="30">
        <v>0</v>
      </c>
      <c r="N64" s="30">
        <v>4.77</v>
      </c>
      <c r="O64" s="30">
        <v>0</v>
      </c>
      <c r="P64" s="30">
        <v>2.77</v>
      </c>
      <c r="Q64" s="38">
        <v>1.22</v>
      </c>
      <c r="R64" s="31" t="str">
        <f t="shared" si="8"/>
        <v>SI</v>
      </c>
      <c r="S64" s="31" t="str">
        <f t="shared" si="9"/>
        <v>Sin Riesgo</v>
      </c>
      <c r="T64" s="4"/>
      <c r="U64" s="4"/>
      <c r="V64" s="4"/>
      <c r="W64" s="4"/>
    </row>
    <row r="65" spans="1:23" ht="37.5" customHeight="1">
      <c r="A65" s="29" t="s">
        <v>170</v>
      </c>
      <c r="B65" s="32" t="s">
        <v>76</v>
      </c>
      <c r="C65" s="42" t="s">
        <v>220</v>
      </c>
      <c r="D65" s="51">
        <v>2539</v>
      </c>
      <c r="E65" s="30">
        <v>0</v>
      </c>
      <c r="F65" s="30">
        <v>0</v>
      </c>
      <c r="G65" s="30">
        <v>0</v>
      </c>
      <c r="H65" s="30">
        <v>0</v>
      </c>
      <c r="I65" s="30">
        <v>1.69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8">
        <v>0.14</v>
      </c>
      <c r="R65" s="31" t="str">
        <f t="shared" si="8"/>
        <v>SI</v>
      </c>
      <c r="S65" s="31" t="str">
        <f t="shared" si="9"/>
        <v>Sin Riesgo</v>
      </c>
      <c r="T65" s="4"/>
      <c r="U65" s="4"/>
      <c r="V65" s="4"/>
      <c r="W65" s="4"/>
    </row>
    <row r="66" spans="1:23" ht="30.75" customHeight="1">
      <c r="A66" s="29" t="s">
        <v>170</v>
      </c>
      <c r="B66" s="32" t="s">
        <v>76</v>
      </c>
      <c r="C66" s="42" t="s">
        <v>221</v>
      </c>
      <c r="D66" s="51">
        <v>129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 t="str">
        <f t="shared" si="8"/>
        <v>SI</v>
      </c>
      <c r="S66" s="31" t="str">
        <f t="shared" si="9"/>
        <v>Sin Riesgo</v>
      </c>
      <c r="T66" s="4"/>
      <c r="U66" s="4"/>
      <c r="V66" s="4"/>
      <c r="W66" s="4"/>
    </row>
    <row r="67" spans="1:23" ht="24.75" customHeight="1">
      <c r="A67" s="29" t="s">
        <v>173</v>
      </c>
      <c r="B67" s="32" t="s">
        <v>77</v>
      </c>
      <c r="C67" s="42" t="s">
        <v>294</v>
      </c>
      <c r="D67" s="51">
        <v>5389</v>
      </c>
      <c r="E67" s="30"/>
      <c r="F67" s="30"/>
      <c r="G67" s="30"/>
      <c r="H67" s="30"/>
      <c r="I67" s="30"/>
      <c r="J67" s="30"/>
      <c r="K67" s="30"/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1" t="str">
        <f t="shared" si="8"/>
        <v>SI</v>
      </c>
      <c r="S67" s="31" t="str">
        <f aca="true" t="shared" si="10" ref="S67:S130">IF(Q67&lt;=5,"Sin Riesgo",IF(Q67&lt;=14,"Bajo",IF(Q67&lt;=35,"Medio",IF(Q67&lt;=80,"Alto","Inviable Sanitariamente"))))</f>
        <v>Sin Riesgo</v>
      </c>
      <c r="T67" s="4"/>
      <c r="U67" s="4"/>
      <c r="V67" s="4"/>
      <c r="W67" s="4"/>
    </row>
    <row r="68" spans="1:23" ht="24.75" customHeight="1">
      <c r="A68" s="29" t="s">
        <v>170</v>
      </c>
      <c r="B68" s="32" t="s">
        <v>78</v>
      </c>
      <c r="C68" s="42" t="s">
        <v>222</v>
      </c>
      <c r="D68" s="51">
        <v>950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1" t="str">
        <f aca="true" t="shared" si="11" ref="R68:R141">IF(Q68&lt;=5,"SI","NO")</f>
        <v>SI</v>
      </c>
      <c r="S68" s="31" t="str">
        <f t="shared" si="10"/>
        <v>Sin Riesgo</v>
      </c>
      <c r="T68" s="4"/>
      <c r="U68" s="4"/>
      <c r="V68" s="4"/>
      <c r="W68" s="4"/>
    </row>
    <row r="69" spans="1:23" ht="32.25" customHeight="1">
      <c r="A69" s="29" t="s">
        <v>175</v>
      </c>
      <c r="B69" s="32" t="s">
        <v>79</v>
      </c>
      <c r="C69" s="42" t="s">
        <v>223</v>
      </c>
      <c r="D69" s="51">
        <v>8890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13.55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8">
        <v>1.13</v>
      </c>
      <c r="R69" s="31" t="str">
        <f t="shared" si="11"/>
        <v>SI</v>
      </c>
      <c r="S69" s="31" t="str">
        <f t="shared" si="10"/>
        <v>Sin Riesgo</v>
      </c>
      <c r="T69" s="4"/>
      <c r="U69" s="4"/>
      <c r="V69" s="4"/>
      <c r="W69" s="4"/>
    </row>
    <row r="70" spans="1:23" ht="24.75" customHeight="1">
      <c r="A70" s="29" t="s">
        <v>175</v>
      </c>
      <c r="B70" s="32" t="s">
        <v>79</v>
      </c>
      <c r="C70" s="42" t="s">
        <v>295</v>
      </c>
      <c r="D70" s="51">
        <v>280</v>
      </c>
      <c r="E70" s="30">
        <v>0</v>
      </c>
      <c r="F70" s="30">
        <v>0</v>
      </c>
      <c r="G70" s="30">
        <v>0</v>
      </c>
      <c r="H70" s="30"/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6.45</v>
      </c>
      <c r="P70" s="30">
        <v>0</v>
      </c>
      <c r="Q70" s="38">
        <v>0.59</v>
      </c>
      <c r="R70" s="31" t="str">
        <f t="shared" si="11"/>
        <v>SI</v>
      </c>
      <c r="S70" s="31" t="str">
        <f t="shared" si="10"/>
        <v>Sin Riesgo</v>
      </c>
      <c r="T70" s="4"/>
      <c r="U70" s="4"/>
      <c r="V70" s="4"/>
      <c r="W70" s="4"/>
    </row>
    <row r="71" spans="1:23" ht="24.75" customHeight="1">
      <c r="A71" s="29" t="s">
        <v>169</v>
      </c>
      <c r="B71" s="32" t="s">
        <v>178</v>
      </c>
      <c r="C71" s="42" t="s">
        <v>224</v>
      </c>
      <c r="D71" s="51">
        <v>12023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0.48</v>
      </c>
      <c r="Q71" s="38">
        <v>0.04</v>
      </c>
      <c r="R71" s="31" t="str">
        <f t="shared" si="11"/>
        <v>SI</v>
      </c>
      <c r="S71" s="31" t="str">
        <f t="shared" si="10"/>
        <v>Sin Riesgo</v>
      </c>
      <c r="T71" s="4"/>
      <c r="U71" s="4"/>
      <c r="V71" s="4"/>
      <c r="W71" s="4"/>
    </row>
    <row r="72" spans="1:23" ht="38.25" customHeight="1">
      <c r="A72" s="29" t="s">
        <v>169</v>
      </c>
      <c r="B72" s="32" t="s">
        <v>80</v>
      </c>
      <c r="C72" s="42" t="s">
        <v>225</v>
      </c>
      <c r="D72" s="51">
        <v>7177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/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1" t="str">
        <f t="shared" si="11"/>
        <v>SI</v>
      </c>
      <c r="S72" s="31" t="str">
        <f t="shared" si="10"/>
        <v>Sin Riesgo</v>
      </c>
      <c r="T72" s="4"/>
      <c r="U72" s="4"/>
      <c r="V72" s="4"/>
      <c r="W72" s="4"/>
    </row>
    <row r="73" spans="1:23" ht="43.5" customHeight="1">
      <c r="A73" s="29" t="s">
        <v>169</v>
      </c>
      <c r="B73" s="32" t="s">
        <v>80</v>
      </c>
      <c r="C73" s="42" t="s">
        <v>296</v>
      </c>
      <c r="D73" s="51">
        <v>178</v>
      </c>
      <c r="E73" s="30">
        <v>0</v>
      </c>
      <c r="F73" s="30"/>
      <c r="G73" s="30">
        <v>0</v>
      </c>
      <c r="H73" s="30">
        <v>0</v>
      </c>
      <c r="I73" s="30"/>
      <c r="J73" s="30"/>
      <c r="K73" s="30"/>
      <c r="L73" s="30"/>
      <c r="M73" s="30"/>
      <c r="N73" s="30">
        <v>0</v>
      </c>
      <c r="O73" s="30">
        <v>0</v>
      </c>
      <c r="P73" s="30">
        <v>0</v>
      </c>
      <c r="Q73" s="30">
        <v>0</v>
      </c>
      <c r="R73" s="31" t="str">
        <f t="shared" si="11"/>
        <v>SI</v>
      </c>
      <c r="S73" s="31" t="str">
        <f t="shared" si="10"/>
        <v>Sin Riesgo</v>
      </c>
      <c r="T73" s="4"/>
      <c r="U73" s="4"/>
      <c r="V73" s="4"/>
      <c r="W73" s="4"/>
    </row>
    <row r="74" spans="1:23" ht="33.75" customHeight="1">
      <c r="A74" s="29" t="s">
        <v>169</v>
      </c>
      <c r="B74" s="32" t="s">
        <v>80</v>
      </c>
      <c r="C74" s="42" t="s">
        <v>28</v>
      </c>
      <c r="D74" s="51">
        <v>390</v>
      </c>
      <c r="E74" s="30"/>
      <c r="F74" s="30"/>
      <c r="G74" s="30">
        <v>0</v>
      </c>
      <c r="H74" s="30">
        <v>0</v>
      </c>
      <c r="I74" s="30"/>
      <c r="J74" s="30"/>
      <c r="K74" s="30"/>
      <c r="L74" s="30"/>
      <c r="M74" s="30"/>
      <c r="N74" s="30">
        <v>0</v>
      </c>
      <c r="O74" s="30"/>
      <c r="P74" s="30">
        <v>0</v>
      </c>
      <c r="Q74" s="38">
        <v>0</v>
      </c>
      <c r="R74" s="31" t="str">
        <f t="shared" si="11"/>
        <v>SI</v>
      </c>
      <c r="S74" s="31" t="str">
        <f t="shared" si="10"/>
        <v>Sin Riesgo</v>
      </c>
      <c r="T74" s="4"/>
      <c r="U74" s="4"/>
      <c r="V74" s="4"/>
      <c r="W74" s="4"/>
    </row>
    <row r="75" spans="1:23" ht="39.75" customHeight="1">
      <c r="A75" s="29" t="s">
        <v>173</v>
      </c>
      <c r="B75" s="32" t="s">
        <v>81</v>
      </c>
      <c r="C75" s="42" t="s">
        <v>226</v>
      </c>
      <c r="D75" s="51">
        <v>2166</v>
      </c>
      <c r="E75" s="30">
        <v>18.54</v>
      </c>
      <c r="F75" s="30"/>
      <c r="G75" s="30"/>
      <c r="H75" s="30">
        <v>0</v>
      </c>
      <c r="I75" s="30">
        <v>11.89</v>
      </c>
      <c r="J75" s="30">
        <v>5.06</v>
      </c>
      <c r="K75" s="30">
        <v>25.28</v>
      </c>
      <c r="L75" s="30">
        <v>15.3</v>
      </c>
      <c r="M75" s="30">
        <v>15.48</v>
      </c>
      <c r="N75" s="30">
        <v>0</v>
      </c>
      <c r="O75" s="30">
        <v>9.47</v>
      </c>
      <c r="P75" s="30">
        <v>30.6</v>
      </c>
      <c r="Q75" s="38">
        <v>13.16</v>
      </c>
      <c r="R75" s="31" t="str">
        <f t="shared" si="11"/>
        <v>NO</v>
      </c>
      <c r="S75" s="31" t="str">
        <f t="shared" si="10"/>
        <v>Bajo</v>
      </c>
      <c r="T75" s="4"/>
      <c r="U75" s="4"/>
      <c r="V75" s="4"/>
      <c r="W75" s="4"/>
    </row>
    <row r="76" spans="1:23" ht="24.75" customHeight="1">
      <c r="A76" s="29" t="s">
        <v>166</v>
      </c>
      <c r="B76" s="32" t="s">
        <v>82</v>
      </c>
      <c r="C76" s="46" t="s">
        <v>292</v>
      </c>
      <c r="D76" s="51">
        <v>57150</v>
      </c>
      <c r="E76" s="30">
        <v>2.58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3.49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8">
        <v>0.51</v>
      </c>
      <c r="R76" s="31" t="str">
        <f t="shared" si="11"/>
        <v>SI</v>
      </c>
      <c r="S76" s="31" t="str">
        <f t="shared" si="10"/>
        <v>Sin Riesgo</v>
      </c>
      <c r="T76" s="4"/>
      <c r="U76" s="4"/>
      <c r="V76" s="4"/>
      <c r="W76" s="4"/>
    </row>
    <row r="77" spans="1:23" ht="24.75" customHeight="1">
      <c r="A77" s="29" t="s">
        <v>171</v>
      </c>
      <c r="B77" s="32" t="s">
        <v>83</v>
      </c>
      <c r="C77" s="42" t="s">
        <v>227</v>
      </c>
      <c r="D77" s="51">
        <v>3333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1" t="str">
        <f t="shared" si="11"/>
        <v>SI</v>
      </c>
      <c r="S77" s="31" t="str">
        <f t="shared" si="10"/>
        <v>Sin Riesgo</v>
      </c>
      <c r="T77" s="4"/>
      <c r="U77" s="4"/>
      <c r="V77" s="4"/>
      <c r="W77" s="4"/>
    </row>
    <row r="78" spans="1:23" ht="32.25" customHeight="1">
      <c r="A78" s="29" t="s">
        <v>170</v>
      </c>
      <c r="B78" s="32" t="s">
        <v>84</v>
      </c>
      <c r="C78" s="42" t="s">
        <v>228</v>
      </c>
      <c r="D78" s="51">
        <v>1715</v>
      </c>
      <c r="E78" s="30">
        <v>0</v>
      </c>
      <c r="F78" s="30">
        <v>0</v>
      </c>
      <c r="G78" s="30">
        <v>0</v>
      </c>
      <c r="H78" s="30"/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1" t="str">
        <f t="shared" si="11"/>
        <v>SI</v>
      </c>
      <c r="S78" s="31" t="str">
        <f t="shared" si="10"/>
        <v>Sin Riesgo</v>
      </c>
      <c r="T78" s="4"/>
      <c r="U78" s="4"/>
      <c r="V78" s="4"/>
      <c r="W78" s="4"/>
    </row>
    <row r="79" spans="1:23" ht="39.75" customHeight="1">
      <c r="A79" s="29" t="s">
        <v>170</v>
      </c>
      <c r="B79" s="32" t="s">
        <v>84</v>
      </c>
      <c r="C79" s="42" t="s">
        <v>229</v>
      </c>
      <c r="D79" s="51">
        <v>1212</v>
      </c>
      <c r="E79" s="30">
        <v>0</v>
      </c>
      <c r="F79" s="30">
        <v>0</v>
      </c>
      <c r="G79" s="30">
        <v>44.94</v>
      </c>
      <c r="H79" s="30"/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8">
        <v>4.09</v>
      </c>
      <c r="R79" s="31" t="str">
        <f t="shared" si="11"/>
        <v>SI</v>
      </c>
      <c r="S79" s="31" t="str">
        <f t="shared" si="10"/>
        <v>Sin Riesgo</v>
      </c>
      <c r="T79" s="4"/>
      <c r="U79" s="4"/>
      <c r="V79" s="4"/>
      <c r="W79" s="4"/>
    </row>
    <row r="80" spans="1:23" ht="39" customHeight="1">
      <c r="A80" s="29" t="s">
        <v>170</v>
      </c>
      <c r="B80" s="32" t="s">
        <v>85</v>
      </c>
      <c r="C80" s="42" t="s">
        <v>297</v>
      </c>
      <c r="D80" s="51">
        <v>587</v>
      </c>
      <c r="E80" s="30">
        <v>0</v>
      </c>
      <c r="F80" s="30">
        <v>0</v>
      </c>
      <c r="G80" s="30">
        <v>0</v>
      </c>
      <c r="H80" s="30">
        <v>0</v>
      </c>
      <c r="I80" s="30">
        <v>1.12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6.45</v>
      </c>
      <c r="P80" s="30">
        <v>6.45</v>
      </c>
      <c r="Q80" s="38">
        <v>1.17</v>
      </c>
      <c r="R80" s="31" t="str">
        <f t="shared" si="11"/>
        <v>SI</v>
      </c>
      <c r="S80" s="31" t="str">
        <f t="shared" si="10"/>
        <v>Sin Riesgo</v>
      </c>
      <c r="T80" s="4"/>
      <c r="U80" s="4"/>
      <c r="V80" s="4"/>
      <c r="W80" s="4"/>
    </row>
    <row r="81" spans="1:23" ht="39" customHeight="1">
      <c r="A81" s="29" t="s">
        <v>170</v>
      </c>
      <c r="B81" s="32" t="s">
        <v>85</v>
      </c>
      <c r="C81" s="42" t="s">
        <v>288</v>
      </c>
      <c r="D81" s="51">
        <v>53</v>
      </c>
      <c r="E81" s="30">
        <v>97.35</v>
      </c>
      <c r="F81" s="30">
        <v>97.35</v>
      </c>
      <c r="G81" s="30">
        <v>97.35</v>
      </c>
      <c r="H81" s="30">
        <v>97.35</v>
      </c>
      <c r="I81" s="30">
        <v>97.35</v>
      </c>
      <c r="J81" s="30">
        <v>97.35</v>
      </c>
      <c r="K81" s="30">
        <v>97.35</v>
      </c>
      <c r="L81" s="30">
        <v>65.09</v>
      </c>
      <c r="M81" s="30"/>
      <c r="N81" s="30">
        <v>70.97</v>
      </c>
      <c r="O81" s="30"/>
      <c r="P81" s="30">
        <v>90.32</v>
      </c>
      <c r="Q81" s="38">
        <v>90.78</v>
      </c>
      <c r="R81" s="31" t="str">
        <f t="shared" si="11"/>
        <v>NO</v>
      </c>
      <c r="S81" s="31" t="str">
        <f t="shared" si="10"/>
        <v>Inviable Sanitariamente</v>
      </c>
      <c r="T81" s="4"/>
      <c r="U81" s="4"/>
      <c r="V81" s="4"/>
      <c r="W81" s="4"/>
    </row>
    <row r="82" spans="1:23" ht="24.75" customHeight="1">
      <c r="A82" s="29" t="s">
        <v>166</v>
      </c>
      <c r="B82" s="32" t="s">
        <v>86</v>
      </c>
      <c r="C82" s="42" t="s">
        <v>292</v>
      </c>
      <c r="D82" s="51">
        <v>9509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1.55</v>
      </c>
      <c r="M82" s="30">
        <v>0.66</v>
      </c>
      <c r="N82" s="30">
        <v>0</v>
      </c>
      <c r="O82" s="30">
        <v>4.91</v>
      </c>
      <c r="P82" s="30">
        <v>1.55</v>
      </c>
      <c r="Q82" s="38">
        <v>0.72</v>
      </c>
      <c r="R82" s="31" t="str">
        <f t="shared" si="11"/>
        <v>SI</v>
      </c>
      <c r="S82" s="31" t="str">
        <f t="shared" si="10"/>
        <v>Sin Riesgo</v>
      </c>
      <c r="T82" s="4"/>
      <c r="U82" s="4"/>
      <c r="V82" s="4"/>
      <c r="W82" s="4"/>
    </row>
    <row r="83" spans="1:23" ht="36" customHeight="1">
      <c r="A83" s="29" t="s">
        <v>173</v>
      </c>
      <c r="B83" s="32" t="s">
        <v>87</v>
      </c>
      <c r="C83" s="42" t="s">
        <v>230</v>
      </c>
      <c r="D83" s="51">
        <v>1891</v>
      </c>
      <c r="E83" s="30"/>
      <c r="F83" s="30"/>
      <c r="G83" s="30"/>
      <c r="H83" s="30"/>
      <c r="I83" s="30"/>
      <c r="J83" s="30"/>
      <c r="K83" s="30"/>
      <c r="L83" s="30">
        <v>13.27</v>
      </c>
      <c r="M83" s="30">
        <v>8.85</v>
      </c>
      <c r="N83" s="30">
        <v>0</v>
      </c>
      <c r="O83" s="30">
        <v>13.27</v>
      </c>
      <c r="P83" s="30">
        <v>6.45</v>
      </c>
      <c r="Q83" s="38">
        <v>8.37</v>
      </c>
      <c r="R83" s="31" t="str">
        <f t="shared" si="11"/>
        <v>NO</v>
      </c>
      <c r="S83" s="31" t="str">
        <f t="shared" si="10"/>
        <v>Bajo</v>
      </c>
      <c r="T83" s="4"/>
      <c r="U83" s="4"/>
      <c r="V83" s="4"/>
      <c r="W83" s="4"/>
    </row>
    <row r="84" spans="1:23" ht="33.75" customHeight="1">
      <c r="A84" s="29" t="s">
        <v>169</v>
      </c>
      <c r="B84" s="32" t="s">
        <v>88</v>
      </c>
      <c r="C84" s="42" t="s">
        <v>231</v>
      </c>
      <c r="D84" s="51">
        <v>2783</v>
      </c>
      <c r="E84" s="30">
        <v>0</v>
      </c>
      <c r="F84" s="30">
        <v>0</v>
      </c>
      <c r="G84" s="30">
        <v>1.12</v>
      </c>
      <c r="H84" s="30">
        <v>0</v>
      </c>
      <c r="I84" s="30">
        <v>0</v>
      </c>
      <c r="J84" s="30">
        <v>5.62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8">
        <v>0.56</v>
      </c>
      <c r="R84" s="31" t="str">
        <f t="shared" si="11"/>
        <v>SI</v>
      </c>
      <c r="S84" s="31" t="str">
        <f t="shared" si="10"/>
        <v>Sin Riesgo</v>
      </c>
      <c r="T84" s="4"/>
      <c r="U84" s="4"/>
      <c r="V84" s="4"/>
      <c r="W84" s="4"/>
    </row>
    <row r="85" spans="1:23" ht="34.5" customHeight="1">
      <c r="A85" s="29" t="s">
        <v>173</v>
      </c>
      <c r="B85" s="32" t="s">
        <v>89</v>
      </c>
      <c r="C85" s="42" t="s">
        <v>232</v>
      </c>
      <c r="D85" s="51">
        <v>918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/>
      <c r="L85" s="30">
        <v>0</v>
      </c>
      <c r="M85" s="30">
        <v>0</v>
      </c>
      <c r="N85" s="30">
        <v>0.88</v>
      </c>
      <c r="O85" s="30">
        <v>0</v>
      </c>
      <c r="P85" s="30">
        <v>0</v>
      </c>
      <c r="Q85" s="38">
        <v>0.08</v>
      </c>
      <c r="R85" s="31" t="str">
        <f t="shared" si="11"/>
        <v>SI</v>
      </c>
      <c r="S85" s="31" t="str">
        <f t="shared" si="10"/>
        <v>Sin Riesgo</v>
      </c>
      <c r="T85" s="4"/>
      <c r="U85" s="4"/>
      <c r="V85" s="4"/>
      <c r="W85" s="4"/>
    </row>
    <row r="86" spans="1:23" ht="24.75" customHeight="1">
      <c r="A86" s="29" t="s">
        <v>169</v>
      </c>
      <c r="B86" s="32" t="s">
        <v>90</v>
      </c>
      <c r="C86" s="42" t="s">
        <v>299</v>
      </c>
      <c r="D86" s="51">
        <v>6796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1" t="str">
        <f t="shared" si="11"/>
        <v>SI</v>
      </c>
      <c r="S86" s="31" t="str">
        <f t="shared" si="10"/>
        <v>Sin Riesgo</v>
      </c>
      <c r="T86" s="4"/>
      <c r="U86" s="4"/>
      <c r="V86" s="4"/>
      <c r="W86" s="4"/>
    </row>
    <row r="87" spans="1:23" ht="30.75" customHeight="1">
      <c r="A87" s="29" t="s">
        <v>169</v>
      </c>
      <c r="B87" s="32" t="s">
        <v>91</v>
      </c>
      <c r="C87" s="42" t="s">
        <v>298</v>
      </c>
      <c r="D87" s="51">
        <v>2507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1" t="str">
        <f t="shared" si="11"/>
        <v>SI</v>
      </c>
      <c r="S87" s="31" t="str">
        <f t="shared" si="10"/>
        <v>Sin Riesgo</v>
      </c>
      <c r="T87" s="4"/>
      <c r="U87" s="4"/>
      <c r="V87" s="4"/>
      <c r="W87" s="4"/>
    </row>
    <row r="88" spans="1:23" ht="24.75" customHeight="1">
      <c r="A88" s="29" t="s">
        <v>170</v>
      </c>
      <c r="B88" s="32" t="s">
        <v>92</v>
      </c>
      <c r="C88" s="42" t="s">
        <v>14</v>
      </c>
      <c r="D88" s="51">
        <v>885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/>
      <c r="K88" s="30"/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1" t="str">
        <f t="shared" si="11"/>
        <v>SI</v>
      </c>
      <c r="S88" s="31" t="str">
        <f t="shared" si="10"/>
        <v>Sin Riesgo</v>
      </c>
      <c r="T88" s="4"/>
      <c r="U88" s="4"/>
      <c r="V88" s="4"/>
      <c r="W88" s="4"/>
    </row>
    <row r="89" spans="1:23" ht="24.75" customHeight="1">
      <c r="A89" s="29" t="s">
        <v>171</v>
      </c>
      <c r="B89" s="32" t="s">
        <v>93</v>
      </c>
      <c r="C89" s="42" t="s">
        <v>15</v>
      </c>
      <c r="D89" s="51">
        <v>1500</v>
      </c>
      <c r="E89" s="30"/>
      <c r="F89" s="30"/>
      <c r="G89" s="30"/>
      <c r="H89" s="30"/>
      <c r="I89" s="30"/>
      <c r="J89" s="30"/>
      <c r="K89" s="30"/>
      <c r="L89" s="30">
        <v>0</v>
      </c>
      <c r="M89" s="30">
        <v>0</v>
      </c>
      <c r="N89" s="30">
        <v>0</v>
      </c>
      <c r="O89" s="30">
        <v>0.65</v>
      </c>
      <c r="P89" s="30">
        <v>0.65</v>
      </c>
      <c r="Q89" s="38">
        <v>0.26</v>
      </c>
      <c r="R89" s="31" t="str">
        <f t="shared" si="11"/>
        <v>SI</v>
      </c>
      <c r="S89" s="31" t="str">
        <f t="shared" si="10"/>
        <v>Sin Riesgo</v>
      </c>
      <c r="T89" s="4"/>
      <c r="U89" s="4"/>
      <c r="V89" s="4"/>
      <c r="W89" s="4"/>
    </row>
    <row r="90" spans="1:23" ht="24.75" customHeight="1">
      <c r="A90" s="29" t="s">
        <v>166</v>
      </c>
      <c r="B90" s="32" t="s">
        <v>94</v>
      </c>
      <c r="C90" s="42" t="s">
        <v>292</v>
      </c>
      <c r="D90" s="51">
        <v>79051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1</v>
      </c>
      <c r="M90" s="30">
        <v>0</v>
      </c>
      <c r="N90" s="30">
        <v>0</v>
      </c>
      <c r="O90" s="30">
        <v>0</v>
      </c>
      <c r="P90" s="30">
        <v>0</v>
      </c>
      <c r="Q90" s="38">
        <v>0.1</v>
      </c>
      <c r="R90" s="31" t="str">
        <f t="shared" si="11"/>
        <v>SI</v>
      </c>
      <c r="S90" s="31" t="str">
        <f t="shared" si="10"/>
        <v>Sin Riesgo</v>
      </c>
      <c r="T90" s="4"/>
      <c r="U90" s="4"/>
      <c r="V90" s="4"/>
      <c r="W90" s="4"/>
    </row>
    <row r="91" spans="1:23" ht="38.25" customHeight="1">
      <c r="A91" s="29" t="s">
        <v>173</v>
      </c>
      <c r="B91" s="32" t="s">
        <v>95</v>
      </c>
      <c r="C91" s="43" t="s">
        <v>233</v>
      </c>
      <c r="D91" s="52">
        <v>2872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1" t="str">
        <f t="shared" si="11"/>
        <v>SI</v>
      </c>
      <c r="S91" s="31" t="str">
        <f t="shared" si="10"/>
        <v>Sin Riesgo</v>
      </c>
      <c r="T91" s="4"/>
      <c r="U91" s="4"/>
      <c r="V91" s="4"/>
      <c r="W91" s="4"/>
    </row>
    <row r="92" spans="1:23" ht="38.25" customHeight="1">
      <c r="A92" s="29" t="s">
        <v>173</v>
      </c>
      <c r="B92" s="32" t="s">
        <v>95</v>
      </c>
      <c r="C92" s="43" t="s">
        <v>301</v>
      </c>
      <c r="D92" s="52">
        <v>20</v>
      </c>
      <c r="E92" s="30">
        <v>96.39</v>
      </c>
      <c r="F92" s="30"/>
      <c r="G92" s="30"/>
      <c r="H92" s="30"/>
      <c r="I92" s="30"/>
      <c r="J92" s="30"/>
      <c r="K92" s="30"/>
      <c r="L92" s="30">
        <v>97.35</v>
      </c>
      <c r="M92" s="30">
        <v>90.32</v>
      </c>
      <c r="N92" s="30">
        <v>70.97</v>
      </c>
      <c r="O92" s="30">
        <v>35.4</v>
      </c>
      <c r="P92" s="30">
        <v>70.97</v>
      </c>
      <c r="Q92" s="38">
        <v>76.9</v>
      </c>
      <c r="R92" s="31" t="str">
        <f t="shared" si="11"/>
        <v>NO</v>
      </c>
      <c r="S92" s="31" t="str">
        <f t="shared" si="10"/>
        <v>Alto</v>
      </c>
      <c r="T92" s="4"/>
      <c r="U92" s="4"/>
      <c r="V92" s="4"/>
      <c r="W92" s="4"/>
    </row>
    <row r="93" spans="1:23" ht="29.25" customHeight="1">
      <c r="A93" s="29" t="s">
        <v>173</v>
      </c>
      <c r="B93" s="32" t="s">
        <v>95</v>
      </c>
      <c r="C93" s="43" t="s">
        <v>300</v>
      </c>
      <c r="D93" s="20">
        <v>79</v>
      </c>
      <c r="E93" s="30">
        <v>97.35</v>
      </c>
      <c r="F93" s="30">
        <v>97.35</v>
      </c>
      <c r="G93" s="30">
        <v>100</v>
      </c>
      <c r="H93" s="30">
        <v>97.35</v>
      </c>
      <c r="I93" s="30">
        <v>97.35</v>
      </c>
      <c r="J93" s="30">
        <v>97.35</v>
      </c>
      <c r="K93" s="30"/>
      <c r="L93" s="30">
        <v>70.97</v>
      </c>
      <c r="M93" s="30">
        <v>70.97</v>
      </c>
      <c r="N93" s="30">
        <v>70.97</v>
      </c>
      <c r="O93" s="30">
        <v>67.48</v>
      </c>
      <c r="P93" s="30">
        <v>90.32</v>
      </c>
      <c r="Q93" s="38">
        <v>87.04</v>
      </c>
      <c r="R93" s="31" t="str">
        <f t="shared" si="11"/>
        <v>NO</v>
      </c>
      <c r="S93" s="31" t="str">
        <f t="shared" si="10"/>
        <v>Inviable Sanitariamente</v>
      </c>
      <c r="T93" s="4"/>
      <c r="U93" s="4"/>
      <c r="V93" s="4"/>
      <c r="W93" s="4"/>
    </row>
    <row r="94" spans="1:23" ht="24.75" customHeight="1">
      <c r="A94" s="29" t="s">
        <v>171</v>
      </c>
      <c r="B94" s="32" t="s">
        <v>96</v>
      </c>
      <c r="C94" s="42" t="s">
        <v>302</v>
      </c>
      <c r="D94" s="51">
        <v>2671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1" t="str">
        <f t="shared" si="11"/>
        <v>SI</v>
      </c>
      <c r="S94" s="31" t="str">
        <f t="shared" si="10"/>
        <v>Sin Riesgo</v>
      </c>
      <c r="T94" s="4"/>
      <c r="U94" s="4"/>
      <c r="V94" s="4"/>
      <c r="W94" s="4"/>
    </row>
    <row r="95" spans="1:23" ht="24.75" customHeight="1">
      <c r="A95" s="29" t="s">
        <v>171</v>
      </c>
      <c r="B95" s="32" t="s">
        <v>97</v>
      </c>
      <c r="C95" s="42" t="s">
        <v>303</v>
      </c>
      <c r="D95" s="51">
        <v>2711</v>
      </c>
      <c r="E95" s="30">
        <v>0</v>
      </c>
      <c r="F95" s="30">
        <v>0</v>
      </c>
      <c r="G95" s="30">
        <v>0</v>
      </c>
      <c r="H95" s="30">
        <v>0</v>
      </c>
      <c r="I95" s="30"/>
      <c r="J95" s="30"/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1" t="str">
        <f t="shared" si="11"/>
        <v>SI</v>
      </c>
      <c r="S95" s="31" t="str">
        <f t="shared" si="10"/>
        <v>Sin Riesgo</v>
      </c>
      <c r="T95" s="4"/>
      <c r="U95" s="4"/>
      <c r="V95" s="4"/>
      <c r="W95" s="4"/>
    </row>
    <row r="96" spans="1:23" ht="24.75" customHeight="1">
      <c r="A96" s="29" t="s">
        <v>169</v>
      </c>
      <c r="B96" s="32" t="s">
        <v>98</v>
      </c>
      <c r="C96" s="42" t="s">
        <v>234</v>
      </c>
      <c r="D96" s="51">
        <v>13970</v>
      </c>
      <c r="E96" s="30">
        <v>0</v>
      </c>
      <c r="F96" s="30"/>
      <c r="G96" s="30"/>
      <c r="H96" s="30"/>
      <c r="I96" s="30"/>
      <c r="J96" s="30"/>
      <c r="K96" s="30"/>
      <c r="L96" s="30">
        <v>5.33</v>
      </c>
      <c r="M96" s="30">
        <v>0</v>
      </c>
      <c r="N96" s="30"/>
      <c r="O96" s="30"/>
      <c r="P96" s="30"/>
      <c r="Q96" s="38">
        <v>1.68</v>
      </c>
      <c r="R96" s="31" t="str">
        <f t="shared" si="11"/>
        <v>SI</v>
      </c>
      <c r="S96" s="31" t="str">
        <f t="shared" si="10"/>
        <v>Sin Riesgo</v>
      </c>
      <c r="T96" s="4"/>
      <c r="U96" s="4"/>
      <c r="V96" s="4"/>
      <c r="W96" s="4"/>
    </row>
    <row r="97" spans="1:23" ht="39.75" customHeight="1">
      <c r="A97" s="29" t="s">
        <v>169</v>
      </c>
      <c r="B97" s="32" t="s">
        <v>98</v>
      </c>
      <c r="C97" s="42" t="s">
        <v>235</v>
      </c>
      <c r="D97" s="51">
        <v>2454</v>
      </c>
      <c r="E97" s="30"/>
      <c r="F97" s="30"/>
      <c r="G97" s="30"/>
      <c r="H97" s="30"/>
      <c r="I97" s="30"/>
      <c r="J97" s="30"/>
      <c r="K97" s="30"/>
      <c r="L97" s="30">
        <v>0</v>
      </c>
      <c r="M97" s="30"/>
      <c r="N97" s="30"/>
      <c r="O97" s="30">
        <v>0</v>
      </c>
      <c r="P97" s="30"/>
      <c r="Q97" s="38">
        <v>0</v>
      </c>
      <c r="R97" s="31" t="str">
        <f t="shared" si="11"/>
        <v>SI</v>
      </c>
      <c r="S97" s="31" t="str">
        <f t="shared" si="10"/>
        <v>Sin Riesgo</v>
      </c>
      <c r="T97" s="4"/>
      <c r="U97" s="4"/>
      <c r="V97" s="4"/>
      <c r="W97" s="4"/>
    </row>
    <row r="98" spans="1:23" ht="35.25" customHeight="1">
      <c r="A98" s="29" t="s">
        <v>169</v>
      </c>
      <c r="B98" s="32" t="s">
        <v>98</v>
      </c>
      <c r="C98" s="42" t="s">
        <v>236</v>
      </c>
      <c r="D98" s="51">
        <v>3720</v>
      </c>
      <c r="E98" s="30"/>
      <c r="F98" s="30"/>
      <c r="G98" s="30"/>
      <c r="H98" s="30"/>
      <c r="I98" s="30"/>
      <c r="J98" s="30"/>
      <c r="K98" s="30"/>
      <c r="L98" s="30">
        <v>0</v>
      </c>
      <c r="M98" s="30">
        <v>0</v>
      </c>
      <c r="N98" s="30"/>
      <c r="O98" s="30"/>
      <c r="P98" s="30"/>
      <c r="Q98" s="38">
        <v>0</v>
      </c>
      <c r="R98" s="31" t="str">
        <f t="shared" si="11"/>
        <v>SI</v>
      </c>
      <c r="S98" s="31" t="str">
        <f t="shared" si="10"/>
        <v>Sin Riesgo</v>
      </c>
      <c r="T98" s="4"/>
      <c r="U98" s="4"/>
      <c r="V98" s="4"/>
      <c r="W98" s="4"/>
    </row>
    <row r="99" spans="1:23" ht="27" customHeight="1">
      <c r="A99" s="29" t="s">
        <v>166</v>
      </c>
      <c r="B99" s="32" t="s">
        <v>99</v>
      </c>
      <c r="C99" s="42" t="s">
        <v>292</v>
      </c>
      <c r="D99" s="51">
        <v>13914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/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/>
      <c r="Q99" s="38">
        <v>0</v>
      </c>
      <c r="R99" s="31" t="str">
        <f t="shared" si="11"/>
        <v>SI</v>
      </c>
      <c r="S99" s="31" t="str">
        <f t="shared" si="10"/>
        <v>Sin Riesgo</v>
      </c>
      <c r="T99" s="4"/>
      <c r="U99" s="4"/>
      <c r="V99" s="4"/>
      <c r="W99" s="4"/>
    </row>
    <row r="100" spans="1:23" ht="24.75" customHeight="1">
      <c r="A100" s="29" t="s">
        <v>171</v>
      </c>
      <c r="B100" s="32" t="s">
        <v>100</v>
      </c>
      <c r="C100" s="42" t="s">
        <v>237</v>
      </c>
      <c r="D100" s="51">
        <v>204</v>
      </c>
      <c r="E100" s="30">
        <v>19.35</v>
      </c>
      <c r="F100" s="30"/>
      <c r="G100" s="30">
        <v>0</v>
      </c>
      <c r="H100" s="30"/>
      <c r="I100" s="30">
        <v>0</v>
      </c>
      <c r="J100" s="30">
        <v>0</v>
      </c>
      <c r="K100" s="30"/>
      <c r="L100" s="30">
        <v>0</v>
      </c>
      <c r="M100" s="30">
        <v>0</v>
      </c>
      <c r="N100" s="30">
        <v>6.45</v>
      </c>
      <c r="O100" s="30">
        <v>0</v>
      </c>
      <c r="P100" s="30">
        <v>6.45</v>
      </c>
      <c r="Q100" s="38">
        <v>3.58</v>
      </c>
      <c r="R100" s="31" t="str">
        <f t="shared" si="11"/>
        <v>SI</v>
      </c>
      <c r="S100" s="31" t="str">
        <f t="shared" si="10"/>
        <v>Sin Riesgo</v>
      </c>
      <c r="T100" s="4"/>
      <c r="U100" s="4"/>
      <c r="V100" s="4"/>
      <c r="W100" s="4"/>
    </row>
    <row r="101" spans="1:23" ht="24.75" customHeight="1">
      <c r="A101" s="29" t="s">
        <v>171</v>
      </c>
      <c r="B101" s="32" t="s">
        <v>100</v>
      </c>
      <c r="C101" s="42" t="s">
        <v>304</v>
      </c>
      <c r="D101" s="51">
        <v>1636</v>
      </c>
      <c r="E101" s="30">
        <v>14.98</v>
      </c>
      <c r="F101" s="30">
        <v>0</v>
      </c>
      <c r="G101" s="30">
        <v>5.62</v>
      </c>
      <c r="H101" s="30">
        <v>0</v>
      </c>
      <c r="I101" s="30">
        <v>5.62</v>
      </c>
      <c r="J101" s="30">
        <v>0</v>
      </c>
      <c r="K101" s="30">
        <v>5.62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8">
        <v>2.65</v>
      </c>
      <c r="R101" s="31" t="str">
        <f t="shared" si="11"/>
        <v>SI</v>
      </c>
      <c r="S101" s="31" t="str">
        <f t="shared" si="10"/>
        <v>Sin Riesgo</v>
      </c>
      <c r="T101" s="4"/>
      <c r="U101" s="4"/>
      <c r="V101" s="4"/>
      <c r="W101" s="4"/>
    </row>
    <row r="102" spans="1:23" ht="34.5" customHeight="1">
      <c r="A102" s="29" t="s">
        <v>169</v>
      </c>
      <c r="B102" s="32" t="s">
        <v>101</v>
      </c>
      <c r="C102" s="42" t="s">
        <v>238</v>
      </c>
      <c r="D102" s="51">
        <v>4173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/>
      <c r="L102" s="30">
        <v>1.18</v>
      </c>
      <c r="M102" s="30">
        <v>0</v>
      </c>
      <c r="N102" s="30">
        <v>0</v>
      </c>
      <c r="O102" s="30">
        <v>0</v>
      </c>
      <c r="P102" s="30">
        <v>0</v>
      </c>
      <c r="Q102" s="38">
        <v>0.11</v>
      </c>
      <c r="R102" s="31" t="str">
        <f t="shared" si="11"/>
        <v>SI</v>
      </c>
      <c r="S102" s="31" t="str">
        <f t="shared" si="10"/>
        <v>Sin Riesgo</v>
      </c>
      <c r="T102" s="4"/>
      <c r="U102" s="4"/>
      <c r="V102" s="4"/>
      <c r="W102" s="4"/>
    </row>
    <row r="103" spans="1:23" ht="33" customHeight="1">
      <c r="A103" s="29" t="s">
        <v>170</v>
      </c>
      <c r="B103" s="32" t="s">
        <v>102</v>
      </c>
      <c r="C103" s="42" t="s">
        <v>239</v>
      </c>
      <c r="D103" s="51">
        <v>798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/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1" t="str">
        <f t="shared" si="11"/>
        <v>SI</v>
      </c>
      <c r="S103" s="31" t="str">
        <f t="shared" si="10"/>
        <v>Sin Riesgo</v>
      </c>
      <c r="T103" s="4"/>
      <c r="U103" s="4"/>
      <c r="V103" s="4"/>
      <c r="W103" s="4"/>
    </row>
    <row r="104" spans="1:23" ht="24.75" customHeight="1">
      <c r="A104" s="29" t="s">
        <v>176</v>
      </c>
      <c r="B104" s="32" t="s">
        <v>103</v>
      </c>
      <c r="C104" s="42" t="s">
        <v>305</v>
      </c>
      <c r="D104" s="51">
        <v>1416</v>
      </c>
      <c r="E104" s="30">
        <v>0</v>
      </c>
      <c r="F104" s="30">
        <v>9.03</v>
      </c>
      <c r="G104" s="30">
        <v>0</v>
      </c>
      <c r="H104" s="30"/>
      <c r="I104" s="30"/>
      <c r="J104" s="30"/>
      <c r="K104" s="30"/>
      <c r="L104" s="30">
        <v>1.76</v>
      </c>
      <c r="M104" s="30">
        <v>0</v>
      </c>
      <c r="N104" s="30">
        <v>0</v>
      </c>
      <c r="O104" s="30">
        <v>0</v>
      </c>
      <c r="P104" s="30">
        <v>0</v>
      </c>
      <c r="Q104" s="38">
        <v>1.35</v>
      </c>
      <c r="R104" s="31" t="str">
        <f t="shared" si="11"/>
        <v>SI</v>
      </c>
      <c r="S104" s="31" t="str">
        <f t="shared" si="10"/>
        <v>Sin Riesgo</v>
      </c>
      <c r="T104" s="4"/>
      <c r="U104" s="4"/>
      <c r="V104" s="4"/>
      <c r="W104" s="4"/>
    </row>
    <row r="105" spans="1:23" ht="37.5" customHeight="1">
      <c r="A105" s="29" t="s">
        <v>169</v>
      </c>
      <c r="B105" s="32" t="s">
        <v>104</v>
      </c>
      <c r="C105" s="42" t="s">
        <v>240</v>
      </c>
      <c r="D105" s="51">
        <v>13045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4.84</v>
      </c>
      <c r="P105" s="30">
        <v>0</v>
      </c>
      <c r="Q105" s="30">
        <v>0.4</v>
      </c>
      <c r="R105" s="31" t="str">
        <f t="shared" si="11"/>
        <v>SI</v>
      </c>
      <c r="S105" s="31" t="str">
        <f t="shared" si="10"/>
        <v>Sin Riesgo</v>
      </c>
      <c r="T105" s="4"/>
      <c r="U105" s="4"/>
      <c r="V105" s="4"/>
      <c r="W105" s="4"/>
    </row>
    <row r="106" spans="1:23" ht="33.75" customHeight="1">
      <c r="A106" s="29" t="s">
        <v>169</v>
      </c>
      <c r="B106" s="32" t="s">
        <v>104</v>
      </c>
      <c r="C106" s="42" t="s">
        <v>241</v>
      </c>
      <c r="D106" s="51">
        <v>1032</v>
      </c>
      <c r="E106" s="30">
        <v>0</v>
      </c>
      <c r="F106" s="30">
        <v>0</v>
      </c>
      <c r="G106" s="30">
        <v>0</v>
      </c>
      <c r="H106" s="30">
        <v>1.29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9.03</v>
      </c>
      <c r="O106" s="30">
        <v>0</v>
      </c>
      <c r="P106" s="30">
        <v>0</v>
      </c>
      <c r="Q106" s="38">
        <v>0.86</v>
      </c>
      <c r="R106" s="31" t="str">
        <f t="shared" si="11"/>
        <v>SI</v>
      </c>
      <c r="S106" s="31" t="str">
        <f t="shared" si="10"/>
        <v>Sin Riesgo</v>
      </c>
      <c r="T106" s="4"/>
      <c r="U106" s="4"/>
      <c r="V106" s="4"/>
      <c r="W106" s="4"/>
    </row>
    <row r="107" spans="1:23" ht="24.75" customHeight="1">
      <c r="A107" s="29" t="s">
        <v>166</v>
      </c>
      <c r="B107" s="32" t="s">
        <v>105</v>
      </c>
      <c r="C107" s="42" t="s">
        <v>29</v>
      </c>
      <c r="D107" s="59">
        <v>29691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3.2967</v>
      </c>
      <c r="Q107" s="61">
        <f aca="true" t="shared" si="12" ref="Q107:Q115">AVERAGE(E107:P107)</f>
        <v>0.274725</v>
      </c>
      <c r="R107" s="31" t="str">
        <f t="shared" si="11"/>
        <v>SI</v>
      </c>
      <c r="S107" s="31" t="str">
        <f t="shared" si="10"/>
        <v>Sin Riesgo</v>
      </c>
      <c r="T107" s="4"/>
      <c r="U107" s="4"/>
      <c r="V107" s="4"/>
      <c r="W107" s="4"/>
    </row>
    <row r="108" spans="1:23" ht="24.75" customHeight="1">
      <c r="A108" s="29" t="s">
        <v>166</v>
      </c>
      <c r="B108" s="32" t="s">
        <v>105</v>
      </c>
      <c r="C108" s="42" t="s">
        <v>30</v>
      </c>
      <c r="D108" s="59">
        <v>664432</v>
      </c>
      <c r="E108" s="60">
        <v>1.9849</v>
      </c>
      <c r="F108" s="60">
        <v>0</v>
      </c>
      <c r="G108" s="60">
        <v>0</v>
      </c>
      <c r="H108" s="60">
        <v>0.2581</v>
      </c>
      <c r="I108" s="60">
        <v>3.3318</v>
      </c>
      <c r="J108" s="60">
        <v>0.7348</v>
      </c>
      <c r="K108" s="60">
        <v>1.133</v>
      </c>
      <c r="L108" s="60">
        <v>1.2668</v>
      </c>
      <c r="M108" s="60">
        <v>0.6034</v>
      </c>
      <c r="N108" s="60">
        <v>1.6821</v>
      </c>
      <c r="O108" s="60">
        <v>3.1909</v>
      </c>
      <c r="P108" s="60">
        <v>3.2832</v>
      </c>
      <c r="Q108" s="61">
        <f t="shared" si="12"/>
        <v>1.45575</v>
      </c>
      <c r="R108" s="31" t="str">
        <f t="shared" si="11"/>
        <v>SI</v>
      </c>
      <c r="S108" s="31" t="str">
        <f t="shared" si="10"/>
        <v>Sin Riesgo</v>
      </c>
      <c r="T108" s="4"/>
      <c r="U108" s="4"/>
      <c r="V108" s="4"/>
      <c r="W108" s="4"/>
    </row>
    <row r="109" spans="1:23" ht="24.75" customHeight="1">
      <c r="A109" s="29" t="s">
        <v>166</v>
      </c>
      <c r="B109" s="32" t="s">
        <v>105</v>
      </c>
      <c r="C109" s="42" t="s">
        <v>31</v>
      </c>
      <c r="D109" s="59">
        <v>5860</v>
      </c>
      <c r="E109" s="37">
        <v>0</v>
      </c>
      <c r="F109" s="37"/>
      <c r="G109" s="37"/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3.7267</v>
      </c>
      <c r="Q109" s="61">
        <f t="shared" si="12"/>
        <v>0.37267</v>
      </c>
      <c r="R109" s="31" t="str">
        <f t="shared" si="11"/>
        <v>SI</v>
      </c>
      <c r="S109" s="31" t="str">
        <f t="shared" si="10"/>
        <v>Sin Riesgo</v>
      </c>
      <c r="T109" s="4"/>
      <c r="U109" s="4"/>
      <c r="V109" s="4"/>
      <c r="W109" s="4"/>
    </row>
    <row r="110" spans="1:23" ht="24.75" customHeight="1">
      <c r="A110" s="29" t="s">
        <v>166</v>
      </c>
      <c r="B110" s="32" t="s">
        <v>105</v>
      </c>
      <c r="C110" s="42" t="s">
        <v>32</v>
      </c>
      <c r="D110" s="59">
        <v>8913</v>
      </c>
      <c r="E110" s="60">
        <v>0</v>
      </c>
      <c r="F110" s="60">
        <v>0</v>
      </c>
      <c r="G110" s="60">
        <v>0</v>
      </c>
      <c r="H110" s="60">
        <v>0</v>
      </c>
      <c r="I110" s="62"/>
      <c r="J110" s="60">
        <v>0</v>
      </c>
      <c r="K110" s="60">
        <v>0</v>
      </c>
      <c r="L110" s="60">
        <v>1.9886</v>
      </c>
      <c r="M110" s="60">
        <v>0</v>
      </c>
      <c r="N110" s="60">
        <v>0</v>
      </c>
      <c r="O110" s="60">
        <v>0</v>
      </c>
      <c r="P110" s="60">
        <v>0</v>
      </c>
      <c r="Q110" s="61">
        <f t="shared" si="12"/>
        <v>0.18078181818181818</v>
      </c>
      <c r="R110" s="31" t="str">
        <f t="shared" si="11"/>
        <v>SI</v>
      </c>
      <c r="S110" s="31" t="str">
        <f t="shared" si="10"/>
        <v>Sin Riesgo</v>
      </c>
      <c r="T110" s="4"/>
      <c r="U110" s="4"/>
      <c r="V110" s="4"/>
      <c r="W110" s="4"/>
    </row>
    <row r="111" spans="1:23" ht="24.75" customHeight="1">
      <c r="A111" s="29" t="s">
        <v>166</v>
      </c>
      <c r="B111" s="32" t="s">
        <v>105</v>
      </c>
      <c r="C111" s="42" t="s">
        <v>33</v>
      </c>
      <c r="D111" s="59">
        <v>518188</v>
      </c>
      <c r="E111" s="60">
        <v>1.4001870967741936</v>
      </c>
      <c r="F111" s="60">
        <v>0.6451600000000001</v>
      </c>
      <c r="G111" s="60">
        <v>0</v>
      </c>
      <c r="H111" s="60">
        <v>2.4516066666666663</v>
      </c>
      <c r="I111" s="60">
        <v>1.2903190476190478</v>
      </c>
      <c r="J111" s="60">
        <v>0.241934375</v>
      </c>
      <c r="K111" s="60">
        <v>0.5231027027027028</v>
      </c>
      <c r="L111" s="60">
        <v>0</v>
      </c>
      <c r="M111" s="60">
        <v>0.7899918367346939</v>
      </c>
      <c r="N111" s="60">
        <v>1.4701906976744186</v>
      </c>
      <c r="O111" s="60">
        <v>4.282235897435898</v>
      </c>
      <c r="P111" s="60">
        <v>2.5128603773584905</v>
      </c>
      <c r="Q111" s="61">
        <f t="shared" si="12"/>
        <v>1.300632391497176</v>
      </c>
      <c r="R111" s="31" t="str">
        <f t="shared" si="11"/>
        <v>SI</v>
      </c>
      <c r="S111" s="31" t="str">
        <f t="shared" si="10"/>
        <v>Sin Riesgo</v>
      </c>
      <c r="T111" s="4"/>
      <c r="U111" s="4"/>
      <c r="V111" s="4"/>
      <c r="W111" s="4"/>
    </row>
    <row r="112" spans="1:23" ht="24.75" customHeight="1">
      <c r="A112" s="29" t="s">
        <v>166</v>
      </c>
      <c r="B112" s="32" t="s">
        <v>105</v>
      </c>
      <c r="C112" s="42" t="s">
        <v>34</v>
      </c>
      <c r="D112" s="59">
        <v>17239</v>
      </c>
      <c r="E112" s="60">
        <v>1.1628</v>
      </c>
      <c r="F112" s="60">
        <v>0</v>
      </c>
      <c r="G112" s="60">
        <v>0</v>
      </c>
      <c r="H112" s="60">
        <v>0</v>
      </c>
      <c r="I112" s="60">
        <v>0</v>
      </c>
      <c r="J112" s="60">
        <v>3.3333</v>
      </c>
      <c r="K112" s="60">
        <v>0</v>
      </c>
      <c r="L112" s="60">
        <v>0</v>
      </c>
      <c r="M112" s="60">
        <v>3.4483</v>
      </c>
      <c r="N112" s="60">
        <v>0.2299</v>
      </c>
      <c r="O112" s="60">
        <v>3.2258</v>
      </c>
      <c r="P112" s="60">
        <v>3.2258</v>
      </c>
      <c r="Q112" s="61">
        <f t="shared" si="12"/>
        <v>1.218825</v>
      </c>
      <c r="R112" s="31" t="str">
        <f t="shared" si="11"/>
        <v>SI</v>
      </c>
      <c r="S112" s="31" t="str">
        <f t="shared" si="10"/>
        <v>Sin Riesgo</v>
      </c>
      <c r="T112" s="4"/>
      <c r="U112" s="4"/>
      <c r="V112" s="4"/>
      <c r="W112" s="4"/>
    </row>
    <row r="113" spans="1:23" ht="24.75" customHeight="1">
      <c r="A113" s="29" t="s">
        <v>166</v>
      </c>
      <c r="B113" s="32" t="s">
        <v>105</v>
      </c>
      <c r="C113" s="42" t="s">
        <v>35</v>
      </c>
      <c r="D113" s="59">
        <v>11467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2.1978</v>
      </c>
      <c r="K113" s="60">
        <v>0</v>
      </c>
      <c r="L113" s="60">
        <v>0</v>
      </c>
      <c r="M113" s="60">
        <v>4.8387</v>
      </c>
      <c r="N113" s="60">
        <v>0</v>
      </c>
      <c r="O113" s="60">
        <v>0</v>
      </c>
      <c r="P113" s="60">
        <v>2.1552</v>
      </c>
      <c r="Q113" s="61">
        <f t="shared" si="12"/>
        <v>0.7659750000000001</v>
      </c>
      <c r="R113" s="31" t="str">
        <f t="shared" si="11"/>
        <v>SI</v>
      </c>
      <c r="S113" s="31" t="str">
        <f t="shared" si="10"/>
        <v>Sin Riesgo</v>
      </c>
      <c r="T113" s="4"/>
      <c r="U113" s="4"/>
      <c r="V113" s="4"/>
      <c r="W113" s="4"/>
    </row>
    <row r="114" spans="1:23" ht="24.75" customHeight="1">
      <c r="A114" s="29" t="s">
        <v>166</v>
      </c>
      <c r="B114" s="32" t="s">
        <v>105</v>
      </c>
      <c r="C114" s="42" t="s">
        <v>36</v>
      </c>
      <c r="D114" s="59">
        <v>1772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0.6593</v>
      </c>
      <c r="K114" s="62"/>
      <c r="L114" s="60">
        <v>1.66665</v>
      </c>
      <c r="M114" s="60">
        <v>0</v>
      </c>
      <c r="N114" s="60">
        <v>0</v>
      </c>
      <c r="O114" s="60">
        <v>0</v>
      </c>
      <c r="P114" s="60">
        <v>0</v>
      </c>
      <c r="Q114" s="61">
        <f t="shared" si="12"/>
        <v>0.21144999999999997</v>
      </c>
      <c r="R114" s="31" t="str">
        <f t="shared" si="11"/>
        <v>SI</v>
      </c>
      <c r="S114" s="31" t="str">
        <f t="shared" si="10"/>
        <v>Sin Riesgo</v>
      </c>
      <c r="T114" s="4"/>
      <c r="U114" s="4"/>
      <c r="V114" s="4"/>
      <c r="W114" s="4"/>
    </row>
    <row r="115" spans="1:23" ht="24.75" customHeight="1">
      <c r="A115" s="29" t="s">
        <v>166</v>
      </c>
      <c r="B115" s="32" t="s">
        <v>105</v>
      </c>
      <c r="C115" s="42" t="s">
        <v>37</v>
      </c>
      <c r="D115" s="59">
        <v>188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1">
        <f t="shared" si="12"/>
        <v>0</v>
      </c>
      <c r="R115" s="31" t="str">
        <f t="shared" si="11"/>
        <v>SI</v>
      </c>
      <c r="S115" s="31" t="str">
        <f t="shared" si="10"/>
        <v>Sin Riesgo</v>
      </c>
      <c r="T115" s="4"/>
      <c r="U115" s="4"/>
      <c r="V115" s="4"/>
      <c r="W115" s="4"/>
    </row>
    <row r="116" spans="1:23" ht="24.75" customHeight="1">
      <c r="A116" s="29" t="s">
        <v>171</v>
      </c>
      <c r="B116" s="32" t="s">
        <v>106</v>
      </c>
      <c r="C116" s="42" t="s">
        <v>16</v>
      </c>
      <c r="D116" s="51">
        <v>957</v>
      </c>
      <c r="E116" s="30">
        <v>0</v>
      </c>
      <c r="F116" s="30">
        <v>0</v>
      </c>
      <c r="G116" s="30"/>
      <c r="H116" s="30">
        <v>0</v>
      </c>
      <c r="I116" s="30">
        <v>0</v>
      </c>
      <c r="J116" s="30">
        <v>0</v>
      </c>
      <c r="K116" s="30">
        <v>0</v>
      </c>
      <c r="L116" s="30">
        <v>17.88</v>
      </c>
      <c r="M116" s="30">
        <v>0</v>
      </c>
      <c r="N116" s="30">
        <v>13.27</v>
      </c>
      <c r="O116" s="30">
        <v>6.45</v>
      </c>
      <c r="P116" s="30">
        <v>0</v>
      </c>
      <c r="Q116" s="38">
        <v>3.42</v>
      </c>
      <c r="R116" s="31" t="str">
        <f t="shared" si="11"/>
        <v>SI</v>
      </c>
      <c r="S116" s="31" t="str">
        <f t="shared" si="10"/>
        <v>Sin Riesgo</v>
      </c>
      <c r="T116" s="4"/>
      <c r="U116" s="4"/>
      <c r="V116" s="4"/>
      <c r="W116" s="4"/>
    </row>
    <row r="117" spans="1:23" ht="24.75" customHeight="1">
      <c r="A117" s="29" t="s">
        <v>321</v>
      </c>
      <c r="B117" s="32" t="s">
        <v>107</v>
      </c>
      <c r="C117" s="42" t="s">
        <v>242</v>
      </c>
      <c r="D117" s="51">
        <v>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40"/>
      <c r="R117" s="31" t="s">
        <v>278</v>
      </c>
      <c r="S117" s="31" t="s">
        <v>278</v>
      </c>
      <c r="T117" s="4"/>
      <c r="U117" s="4"/>
      <c r="V117" s="4"/>
      <c r="W117" s="4"/>
    </row>
    <row r="118" spans="1:23" ht="24.75" customHeight="1">
      <c r="A118" s="29" t="s">
        <v>174</v>
      </c>
      <c r="B118" s="32" t="s">
        <v>108</v>
      </c>
      <c r="C118" s="42" t="s">
        <v>194</v>
      </c>
      <c r="D118" s="51">
        <v>1356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1" t="str">
        <f t="shared" si="11"/>
        <v>SI</v>
      </c>
      <c r="S118" s="31" t="str">
        <f t="shared" si="10"/>
        <v>Sin Riesgo</v>
      </c>
      <c r="T118" s="4"/>
      <c r="U118" s="4"/>
      <c r="V118" s="4"/>
      <c r="W118" s="4"/>
    </row>
    <row r="119" spans="1:23" ht="35.25" customHeight="1">
      <c r="A119" s="29" t="s">
        <v>169</v>
      </c>
      <c r="B119" s="48" t="s">
        <v>109</v>
      </c>
      <c r="C119" s="42" t="s">
        <v>243</v>
      </c>
      <c r="D119" s="51">
        <v>1067</v>
      </c>
      <c r="E119" s="30">
        <v>0</v>
      </c>
      <c r="F119" s="30">
        <v>8.43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8">
        <v>0.7</v>
      </c>
      <c r="R119" s="31" t="str">
        <f t="shared" si="11"/>
        <v>SI</v>
      </c>
      <c r="S119" s="31" t="str">
        <f t="shared" si="10"/>
        <v>Sin Riesgo</v>
      </c>
      <c r="T119" s="4"/>
      <c r="U119" s="4"/>
      <c r="V119" s="4"/>
      <c r="W119" s="4"/>
    </row>
    <row r="120" spans="1:23" ht="35.25" customHeight="1">
      <c r="A120" s="29" t="s">
        <v>169</v>
      </c>
      <c r="B120" s="48" t="s">
        <v>109</v>
      </c>
      <c r="C120" s="42" t="s">
        <v>244</v>
      </c>
      <c r="D120" s="51">
        <v>281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1" t="str">
        <f t="shared" si="11"/>
        <v>SI</v>
      </c>
      <c r="S120" s="31" t="str">
        <f t="shared" si="10"/>
        <v>Sin Riesgo</v>
      </c>
      <c r="T120" s="4"/>
      <c r="U120" s="4"/>
      <c r="V120" s="4"/>
      <c r="W120" s="4"/>
    </row>
    <row r="121" spans="1:23" ht="24.75" customHeight="1">
      <c r="A121" s="29" t="s">
        <v>175</v>
      </c>
      <c r="B121" s="32" t="s">
        <v>110</v>
      </c>
      <c r="C121" s="42" t="s">
        <v>293</v>
      </c>
      <c r="D121" s="51">
        <v>3606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4.84</v>
      </c>
      <c r="N121" s="30">
        <v>9.68</v>
      </c>
      <c r="O121" s="30">
        <v>0</v>
      </c>
      <c r="P121" s="30">
        <v>0</v>
      </c>
      <c r="Q121" s="38">
        <v>1.21</v>
      </c>
      <c r="R121" s="31" t="str">
        <f t="shared" si="11"/>
        <v>SI</v>
      </c>
      <c r="S121" s="31" t="str">
        <f t="shared" si="10"/>
        <v>Sin Riesgo</v>
      </c>
      <c r="T121" s="4"/>
      <c r="U121" s="4"/>
      <c r="V121" s="4"/>
      <c r="W121" s="4"/>
    </row>
    <row r="122" spans="1:23" ht="24" customHeight="1">
      <c r="A122" s="29" t="s">
        <v>174</v>
      </c>
      <c r="B122" s="32" t="s">
        <v>111</v>
      </c>
      <c r="C122" s="42" t="s">
        <v>326</v>
      </c>
      <c r="D122" s="51">
        <v>4500</v>
      </c>
      <c r="E122" s="30">
        <v>22.58</v>
      </c>
      <c r="F122" s="30">
        <v>39.29</v>
      </c>
      <c r="G122" s="30"/>
      <c r="H122" s="30"/>
      <c r="I122" s="30"/>
      <c r="J122" s="30"/>
      <c r="K122" s="30"/>
      <c r="L122" s="30">
        <v>29.5</v>
      </c>
      <c r="M122" s="30">
        <v>11.47</v>
      </c>
      <c r="N122" s="30">
        <v>39.98</v>
      </c>
      <c r="O122" s="30">
        <v>39.31</v>
      </c>
      <c r="P122" s="30">
        <v>26.57</v>
      </c>
      <c r="Q122" s="38">
        <v>29.81</v>
      </c>
      <c r="R122" s="31" t="str">
        <f t="shared" si="11"/>
        <v>NO</v>
      </c>
      <c r="S122" s="31" t="str">
        <f t="shared" si="10"/>
        <v>Medio</v>
      </c>
      <c r="T122" s="4"/>
      <c r="U122" s="4"/>
      <c r="V122" s="4"/>
      <c r="W122" s="4"/>
    </row>
    <row r="123" spans="1:23" ht="24.75" customHeight="1">
      <c r="A123" s="29" t="s">
        <v>170</v>
      </c>
      <c r="B123" s="32" t="s">
        <v>112</v>
      </c>
      <c r="C123" s="42" t="s">
        <v>245</v>
      </c>
      <c r="D123" s="51">
        <v>90</v>
      </c>
      <c r="E123" s="30">
        <v>0</v>
      </c>
      <c r="F123" s="30">
        <v>9.68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8">
        <v>0.81</v>
      </c>
      <c r="R123" s="31" t="str">
        <f t="shared" si="11"/>
        <v>SI</v>
      </c>
      <c r="S123" s="31" t="str">
        <f t="shared" si="10"/>
        <v>Sin Riesgo</v>
      </c>
      <c r="T123" s="4"/>
      <c r="U123" s="4"/>
      <c r="V123" s="4"/>
      <c r="W123" s="4"/>
    </row>
    <row r="124" spans="1:23" ht="24.75" customHeight="1">
      <c r="A124" s="29" t="s">
        <v>169</v>
      </c>
      <c r="B124" s="32" t="s">
        <v>113</v>
      </c>
      <c r="C124" s="42" t="s">
        <v>17</v>
      </c>
      <c r="D124" s="51">
        <v>4783</v>
      </c>
      <c r="E124" s="30">
        <v>0</v>
      </c>
      <c r="F124" s="30">
        <v>0</v>
      </c>
      <c r="G124" s="30">
        <v>0</v>
      </c>
      <c r="H124" s="30">
        <v>0.58</v>
      </c>
      <c r="I124" s="30">
        <v>0</v>
      </c>
      <c r="J124" s="30">
        <v>0</v>
      </c>
      <c r="K124" s="30">
        <v>0.59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8">
        <v>0.1</v>
      </c>
      <c r="R124" s="31" t="str">
        <f t="shared" si="11"/>
        <v>SI</v>
      </c>
      <c r="S124" s="31" t="str">
        <f t="shared" si="10"/>
        <v>Sin Riesgo</v>
      </c>
      <c r="T124" s="4"/>
      <c r="U124" s="4"/>
      <c r="V124" s="4"/>
      <c r="W124" s="4"/>
    </row>
    <row r="125" spans="1:23" ht="24.75" customHeight="1">
      <c r="A125" s="29" t="s">
        <v>170</v>
      </c>
      <c r="B125" s="32" t="s">
        <v>114</v>
      </c>
      <c r="C125" s="42" t="s">
        <v>246</v>
      </c>
      <c r="D125" s="51">
        <v>951</v>
      </c>
      <c r="E125" s="30">
        <v>0</v>
      </c>
      <c r="F125" s="30">
        <v>0</v>
      </c>
      <c r="G125" s="30">
        <v>0</v>
      </c>
      <c r="H125" s="30">
        <v>0</v>
      </c>
      <c r="I125" s="30"/>
      <c r="J125" s="30"/>
      <c r="K125" s="30"/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1" t="str">
        <f t="shared" si="11"/>
        <v>SI</v>
      </c>
      <c r="S125" s="31" t="str">
        <f t="shared" si="10"/>
        <v>Sin Riesgo</v>
      </c>
      <c r="T125" s="4"/>
      <c r="U125" s="4"/>
      <c r="V125" s="4"/>
      <c r="W125" s="4"/>
    </row>
    <row r="126" spans="1:23" ht="30.75" customHeight="1">
      <c r="A126" s="29" t="s">
        <v>171</v>
      </c>
      <c r="B126" s="32" t="s">
        <v>115</v>
      </c>
      <c r="C126" s="42" t="s">
        <v>311</v>
      </c>
      <c r="D126" s="51">
        <v>1591</v>
      </c>
      <c r="E126" s="30">
        <v>0</v>
      </c>
      <c r="F126" s="30">
        <v>0</v>
      </c>
      <c r="G126" s="30">
        <v>0</v>
      </c>
      <c r="H126" s="30">
        <v>5.62</v>
      </c>
      <c r="I126" s="30">
        <v>0</v>
      </c>
      <c r="J126" s="30">
        <v>0</v>
      </c>
      <c r="K126" s="30">
        <v>5.62</v>
      </c>
      <c r="L126" s="30">
        <v>0</v>
      </c>
      <c r="M126" s="30">
        <v>1.18</v>
      </c>
      <c r="N126" s="30">
        <v>0</v>
      </c>
      <c r="O126" s="30">
        <v>6.45</v>
      </c>
      <c r="P126" s="30">
        <v>0</v>
      </c>
      <c r="Q126" s="38">
        <v>1.57</v>
      </c>
      <c r="R126" s="31" t="str">
        <f t="shared" si="11"/>
        <v>SI</v>
      </c>
      <c r="S126" s="31" t="str">
        <f t="shared" si="10"/>
        <v>Sin Riesgo</v>
      </c>
      <c r="T126" s="4"/>
      <c r="U126" s="4"/>
      <c r="V126" s="4"/>
      <c r="W126" s="4"/>
    </row>
    <row r="127" spans="1:23" ht="24.75" customHeight="1">
      <c r="A127" s="34" t="s">
        <v>176</v>
      </c>
      <c r="B127" s="32" t="s">
        <v>116</v>
      </c>
      <c r="C127" s="42" t="s">
        <v>247</v>
      </c>
      <c r="D127" s="51">
        <v>10773</v>
      </c>
      <c r="E127" s="30"/>
      <c r="F127" s="30"/>
      <c r="G127" s="30">
        <v>0</v>
      </c>
      <c r="H127" s="30"/>
      <c r="I127" s="30"/>
      <c r="J127" s="30"/>
      <c r="K127" s="30"/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1" t="str">
        <f t="shared" si="11"/>
        <v>SI</v>
      </c>
      <c r="S127" s="31" t="str">
        <f t="shared" si="10"/>
        <v>Sin Riesgo</v>
      </c>
      <c r="T127" s="4"/>
      <c r="U127" s="4"/>
      <c r="V127" s="4"/>
      <c r="W127" s="4"/>
    </row>
    <row r="128" spans="1:23" ht="24.75" customHeight="1">
      <c r="A128" s="34" t="s">
        <v>176</v>
      </c>
      <c r="B128" s="32" t="s">
        <v>117</v>
      </c>
      <c r="C128" s="42" t="s">
        <v>312</v>
      </c>
      <c r="D128" s="51">
        <v>2166</v>
      </c>
      <c r="E128" s="30">
        <v>0</v>
      </c>
      <c r="F128" s="30"/>
      <c r="G128" s="30">
        <v>0</v>
      </c>
      <c r="H128" s="30">
        <v>24.14</v>
      </c>
      <c r="I128" s="30"/>
      <c r="J128" s="30"/>
      <c r="K128" s="30"/>
      <c r="L128" s="30">
        <v>0</v>
      </c>
      <c r="M128" s="30">
        <v>0</v>
      </c>
      <c r="N128" s="30">
        <v>0</v>
      </c>
      <c r="O128" s="30">
        <v>3.87</v>
      </c>
      <c r="P128" s="30">
        <v>0</v>
      </c>
      <c r="Q128" s="38">
        <v>3.5</v>
      </c>
      <c r="R128" s="31" t="str">
        <f t="shared" si="11"/>
        <v>SI</v>
      </c>
      <c r="S128" s="31" t="str">
        <f t="shared" si="10"/>
        <v>Sin Riesgo</v>
      </c>
      <c r="T128" s="4"/>
      <c r="U128" s="4"/>
      <c r="V128" s="4"/>
      <c r="W128" s="4"/>
    </row>
    <row r="129" spans="1:23" ht="24.75" customHeight="1">
      <c r="A129" s="29" t="s">
        <v>176</v>
      </c>
      <c r="B129" s="48" t="s">
        <v>118</v>
      </c>
      <c r="C129" s="43" t="s">
        <v>192</v>
      </c>
      <c r="D129" s="52">
        <v>1130</v>
      </c>
      <c r="E129" s="30">
        <v>0</v>
      </c>
      <c r="F129" s="30">
        <v>0</v>
      </c>
      <c r="G129" s="30">
        <v>0.6</v>
      </c>
      <c r="H129" s="30">
        <v>24.7</v>
      </c>
      <c r="I129" s="30">
        <v>1.1</v>
      </c>
      <c r="J129" s="30">
        <v>4.3</v>
      </c>
      <c r="K129" s="30">
        <v>1.1</v>
      </c>
      <c r="L129" s="30">
        <v>0</v>
      </c>
      <c r="M129" s="30">
        <v>0</v>
      </c>
      <c r="N129" s="30">
        <v>4.8</v>
      </c>
      <c r="O129" s="30">
        <v>0</v>
      </c>
      <c r="P129" s="30">
        <v>0</v>
      </c>
      <c r="Q129" s="38">
        <v>3</v>
      </c>
      <c r="R129" s="31" t="str">
        <f t="shared" si="11"/>
        <v>SI</v>
      </c>
      <c r="S129" s="31" t="str">
        <f t="shared" si="10"/>
        <v>Sin Riesgo</v>
      </c>
      <c r="T129" s="4"/>
      <c r="U129" s="4"/>
      <c r="V129" s="4"/>
      <c r="W129" s="4"/>
    </row>
    <row r="130" spans="1:23" ht="24.75" customHeight="1">
      <c r="A130" s="29" t="s">
        <v>172</v>
      </c>
      <c r="B130" s="48" t="s">
        <v>119</v>
      </c>
      <c r="C130" s="42" t="s">
        <v>248</v>
      </c>
      <c r="D130" s="20">
        <v>4039</v>
      </c>
      <c r="E130" s="30">
        <v>12</v>
      </c>
      <c r="F130" s="30">
        <v>0</v>
      </c>
      <c r="G130" s="30">
        <v>0</v>
      </c>
      <c r="H130" s="30">
        <v>0</v>
      </c>
      <c r="I130" s="30"/>
      <c r="J130" s="30"/>
      <c r="K130" s="30"/>
      <c r="L130" s="30">
        <v>2.12</v>
      </c>
      <c r="M130" s="30">
        <v>0.8</v>
      </c>
      <c r="N130" s="30">
        <v>0</v>
      </c>
      <c r="O130" s="30">
        <v>0</v>
      </c>
      <c r="P130" s="30">
        <v>0</v>
      </c>
      <c r="Q130" s="38">
        <v>1.66</v>
      </c>
      <c r="R130" s="31" t="str">
        <f t="shared" si="11"/>
        <v>SI</v>
      </c>
      <c r="S130" s="31" t="str">
        <f t="shared" si="10"/>
        <v>Sin Riesgo</v>
      </c>
      <c r="T130" s="4"/>
      <c r="U130" s="4"/>
      <c r="V130" s="4"/>
      <c r="W130" s="4"/>
    </row>
    <row r="131" spans="1:23" ht="24.75" customHeight="1">
      <c r="A131" s="29" t="s">
        <v>169</v>
      </c>
      <c r="B131" s="32" t="s">
        <v>179</v>
      </c>
      <c r="C131" s="42" t="s">
        <v>18</v>
      </c>
      <c r="D131" s="51">
        <v>5098</v>
      </c>
      <c r="E131" s="30">
        <v>0</v>
      </c>
      <c r="F131" s="30">
        <v>0</v>
      </c>
      <c r="G131" s="30">
        <v>5.24</v>
      </c>
      <c r="H131" s="30"/>
      <c r="I131" s="30"/>
      <c r="J131" s="30"/>
      <c r="K131" s="30"/>
      <c r="L131" s="30">
        <v>0</v>
      </c>
      <c r="M131" s="30"/>
      <c r="N131" s="30"/>
      <c r="O131" s="30"/>
      <c r="P131" s="30"/>
      <c r="Q131" s="38">
        <v>1.31</v>
      </c>
      <c r="R131" s="31" t="str">
        <f t="shared" si="11"/>
        <v>SI</v>
      </c>
      <c r="S131" s="31" t="str">
        <f aca="true" t="shared" si="13" ref="S131:S184">IF(Q131&lt;=5,"Sin Riesgo",IF(Q131&lt;=14,"Bajo",IF(Q131&lt;=35,"Medio",IF(Q131&lt;=80,"Alto","Inviable Sanitariamente"))))</f>
        <v>Sin Riesgo</v>
      </c>
      <c r="T131" s="4"/>
      <c r="U131" s="4"/>
      <c r="V131" s="4"/>
      <c r="W131" s="4"/>
    </row>
    <row r="132" spans="1:23" ht="36.75" customHeight="1">
      <c r="A132" s="29" t="s">
        <v>169</v>
      </c>
      <c r="B132" s="32" t="s">
        <v>179</v>
      </c>
      <c r="C132" s="42" t="s">
        <v>313</v>
      </c>
      <c r="D132" s="51">
        <v>340</v>
      </c>
      <c r="E132" s="30">
        <v>0</v>
      </c>
      <c r="F132" s="30">
        <v>0</v>
      </c>
      <c r="G132" s="30"/>
      <c r="H132" s="30">
        <v>0</v>
      </c>
      <c r="I132" s="30">
        <v>0</v>
      </c>
      <c r="J132" s="30">
        <v>0</v>
      </c>
      <c r="K132" s="30"/>
      <c r="L132" s="30"/>
      <c r="M132" s="30"/>
      <c r="N132" s="30">
        <v>0</v>
      </c>
      <c r="O132" s="30"/>
      <c r="P132" s="30">
        <v>0</v>
      </c>
      <c r="Q132" s="38">
        <v>0</v>
      </c>
      <c r="R132" s="31" t="str">
        <f t="shared" si="11"/>
        <v>SI</v>
      </c>
      <c r="S132" s="31" t="str">
        <f t="shared" si="13"/>
        <v>Sin Riesgo</v>
      </c>
      <c r="T132" s="4"/>
      <c r="U132" s="4"/>
      <c r="V132" s="4"/>
      <c r="W132" s="4"/>
    </row>
    <row r="133" spans="1:23" ht="24.75" customHeight="1">
      <c r="A133" s="29" t="s">
        <v>169</v>
      </c>
      <c r="B133" s="32" t="s">
        <v>120</v>
      </c>
      <c r="C133" s="42" t="s">
        <v>327</v>
      </c>
      <c r="D133" s="51">
        <v>30280</v>
      </c>
      <c r="E133" s="30"/>
      <c r="F133" s="30"/>
      <c r="G133" s="30"/>
      <c r="H133" s="30"/>
      <c r="I133" s="30">
        <v>0</v>
      </c>
      <c r="J133" s="30"/>
      <c r="K133" s="30"/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1" t="str">
        <f t="shared" si="11"/>
        <v>SI</v>
      </c>
      <c r="S133" s="31" t="str">
        <f t="shared" si="13"/>
        <v>Sin Riesgo</v>
      </c>
      <c r="T133" s="4"/>
      <c r="U133" s="4"/>
      <c r="V133" s="4"/>
      <c r="W133" s="4"/>
    </row>
    <row r="134" spans="1:23" ht="33.75" customHeight="1">
      <c r="A134" s="29" t="s">
        <v>170</v>
      </c>
      <c r="B134" s="32" t="s">
        <v>121</v>
      </c>
      <c r="C134" s="42" t="s">
        <v>249</v>
      </c>
      <c r="D134" s="51">
        <v>1516</v>
      </c>
      <c r="E134" s="30">
        <v>0</v>
      </c>
      <c r="F134" s="30">
        <v>6.45</v>
      </c>
      <c r="G134" s="30"/>
      <c r="H134" s="30"/>
      <c r="I134" s="30">
        <v>0</v>
      </c>
      <c r="J134" s="30"/>
      <c r="K134" s="30"/>
      <c r="L134" s="30">
        <v>0</v>
      </c>
      <c r="M134" s="30">
        <v>0</v>
      </c>
      <c r="N134" s="30">
        <v>0</v>
      </c>
      <c r="O134" s="30">
        <v>2.58</v>
      </c>
      <c r="P134" s="30">
        <v>0</v>
      </c>
      <c r="Q134" s="38">
        <v>1.29</v>
      </c>
      <c r="R134" s="31" t="str">
        <f t="shared" si="11"/>
        <v>SI</v>
      </c>
      <c r="S134" s="31" t="str">
        <f t="shared" si="13"/>
        <v>Sin Riesgo</v>
      </c>
      <c r="T134" s="4"/>
      <c r="U134" s="4"/>
      <c r="V134" s="4"/>
      <c r="W134" s="4"/>
    </row>
    <row r="135" spans="1:23" ht="24.75" customHeight="1">
      <c r="A135" s="29" t="s">
        <v>166</v>
      </c>
      <c r="B135" s="32" t="s">
        <v>122</v>
      </c>
      <c r="C135" s="42" t="s">
        <v>292</v>
      </c>
      <c r="D135" s="51">
        <v>27621</v>
      </c>
      <c r="E135" s="30">
        <v>0</v>
      </c>
      <c r="F135" s="30">
        <v>0</v>
      </c>
      <c r="G135" s="30">
        <v>3.87</v>
      </c>
      <c r="H135" s="30">
        <v>0</v>
      </c>
      <c r="I135" s="30">
        <v>0</v>
      </c>
      <c r="J135" s="30">
        <v>0.38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8">
        <v>0.35</v>
      </c>
      <c r="R135" s="31" t="str">
        <f t="shared" si="11"/>
        <v>SI</v>
      </c>
      <c r="S135" s="31" t="str">
        <f t="shared" si="13"/>
        <v>Sin Riesgo</v>
      </c>
      <c r="T135" s="4"/>
      <c r="U135" s="4"/>
      <c r="V135" s="4"/>
      <c r="W135" s="4"/>
    </row>
    <row r="136" spans="1:23" ht="24.75" customHeight="1">
      <c r="A136" s="29" t="s">
        <v>171</v>
      </c>
      <c r="B136" s="32" t="s">
        <v>123</v>
      </c>
      <c r="C136" s="42" t="s">
        <v>250</v>
      </c>
      <c r="D136" s="51">
        <v>2390</v>
      </c>
      <c r="E136" s="30">
        <v>0</v>
      </c>
      <c r="F136" s="30">
        <v>0</v>
      </c>
      <c r="G136" s="30">
        <v>0</v>
      </c>
      <c r="H136" s="30">
        <v>0</v>
      </c>
      <c r="I136" s="30"/>
      <c r="J136" s="30"/>
      <c r="K136" s="30"/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1" t="str">
        <f t="shared" si="11"/>
        <v>SI</v>
      </c>
      <c r="S136" s="31" t="str">
        <f t="shared" si="13"/>
        <v>Sin Riesgo</v>
      </c>
      <c r="T136" s="4"/>
      <c r="U136" s="4"/>
      <c r="V136" s="4"/>
      <c r="W136" s="4"/>
    </row>
    <row r="137" spans="1:23" ht="24.75" customHeight="1">
      <c r="A137" s="29" t="s">
        <v>171</v>
      </c>
      <c r="B137" s="32" t="s">
        <v>123</v>
      </c>
      <c r="C137" s="42" t="s">
        <v>314</v>
      </c>
      <c r="D137" s="51">
        <v>170</v>
      </c>
      <c r="E137" s="30"/>
      <c r="F137" s="30"/>
      <c r="G137" s="30"/>
      <c r="H137" s="30"/>
      <c r="I137" s="30"/>
      <c r="J137" s="30"/>
      <c r="K137" s="30"/>
      <c r="L137" s="30">
        <v>0</v>
      </c>
      <c r="M137" s="30">
        <v>0</v>
      </c>
      <c r="N137" s="30">
        <v>6.45</v>
      </c>
      <c r="O137" s="30">
        <v>12.9</v>
      </c>
      <c r="P137" s="30">
        <v>0</v>
      </c>
      <c r="Q137" s="38">
        <v>3.87</v>
      </c>
      <c r="R137" s="31" t="str">
        <f t="shared" si="11"/>
        <v>SI</v>
      </c>
      <c r="S137" s="31" t="str">
        <f t="shared" si="13"/>
        <v>Sin Riesgo</v>
      </c>
      <c r="T137" s="4"/>
      <c r="U137" s="4"/>
      <c r="V137" s="4"/>
      <c r="W137" s="4"/>
    </row>
    <row r="138" spans="1:23" ht="32.25" customHeight="1">
      <c r="A138" s="29" t="s">
        <v>173</v>
      </c>
      <c r="B138" s="32" t="s">
        <v>124</v>
      </c>
      <c r="C138" s="42" t="s">
        <v>251</v>
      </c>
      <c r="D138" s="51">
        <v>1158</v>
      </c>
      <c r="E138" s="30">
        <v>1.69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/>
      <c r="L138" s="30">
        <v>9.03</v>
      </c>
      <c r="M138" s="30">
        <v>0</v>
      </c>
      <c r="N138" s="30">
        <v>0</v>
      </c>
      <c r="O138" s="30">
        <v>6.14</v>
      </c>
      <c r="P138" s="30">
        <v>0</v>
      </c>
      <c r="Q138" s="38">
        <v>1.53</v>
      </c>
      <c r="R138" s="31" t="str">
        <f t="shared" si="11"/>
        <v>SI</v>
      </c>
      <c r="S138" s="31" t="str">
        <f t="shared" si="13"/>
        <v>Sin Riesgo</v>
      </c>
      <c r="T138" s="4"/>
      <c r="U138" s="4"/>
      <c r="V138" s="4"/>
      <c r="W138" s="4"/>
    </row>
    <row r="139" spans="1:23" ht="34.5" customHeight="1">
      <c r="A139" s="29" t="s">
        <v>169</v>
      </c>
      <c r="B139" s="32" t="s">
        <v>125</v>
      </c>
      <c r="C139" s="42" t="s">
        <v>252</v>
      </c>
      <c r="D139" s="51">
        <v>3157</v>
      </c>
      <c r="E139" s="30"/>
      <c r="F139" s="30">
        <v>5.62</v>
      </c>
      <c r="G139" s="30">
        <v>0</v>
      </c>
      <c r="H139" s="30">
        <v>0</v>
      </c>
      <c r="I139" s="30">
        <v>0</v>
      </c>
      <c r="J139" s="30">
        <v>5.62</v>
      </c>
      <c r="K139" s="30"/>
      <c r="L139" s="30">
        <v>6.45</v>
      </c>
      <c r="M139" s="30">
        <v>0.88</v>
      </c>
      <c r="N139" s="30">
        <v>0</v>
      </c>
      <c r="O139" s="30">
        <v>0.88</v>
      </c>
      <c r="P139" s="30">
        <v>6.45</v>
      </c>
      <c r="Q139" s="38">
        <v>2.59</v>
      </c>
      <c r="R139" s="31" t="str">
        <f t="shared" si="11"/>
        <v>SI</v>
      </c>
      <c r="S139" s="31" t="str">
        <f t="shared" si="13"/>
        <v>Sin Riesgo</v>
      </c>
      <c r="T139" s="4"/>
      <c r="U139" s="4"/>
      <c r="V139" s="4"/>
      <c r="W139" s="4"/>
    </row>
    <row r="140" spans="1:23" ht="24.75" customHeight="1">
      <c r="A140" s="29" t="s">
        <v>169</v>
      </c>
      <c r="B140" s="32" t="s">
        <v>126</v>
      </c>
      <c r="C140" s="42" t="s">
        <v>253</v>
      </c>
      <c r="D140" s="51">
        <v>1112</v>
      </c>
      <c r="E140" s="30">
        <v>6.45</v>
      </c>
      <c r="F140" s="30">
        <v>6.45</v>
      </c>
      <c r="G140" s="30">
        <v>0</v>
      </c>
      <c r="H140" s="30">
        <v>0</v>
      </c>
      <c r="I140" s="30">
        <v>9.68</v>
      </c>
      <c r="J140" s="30">
        <v>0</v>
      </c>
      <c r="K140" s="30"/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8">
        <v>2.05</v>
      </c>
      <c r="R140" s="31" t="str">
        <f t="shared" si="11"/>
        <v>SI</v>
      </c>
      <c r="S140" s="31" t="str">
        <f t="shared" si="13"/>
        <v>Sin Riesgo</v>
      </c>
      <c r="T140" s="4"/>
      <c r="U140" s="4"/>
      <c r="V140" s="4"/>
      <c r="W140" s="4"/>
    </row>
    <row r="141" spans="1:23" ht="24.75" customHeight="1">
      <c r="A141" s="29" t="s">
        <v>170</v>
      </c>
      <c r="B141" s="32" t="s">
        <v>127</v>
      </c>
      <c r="C141" s="42" t="s">
        <v>254</v>
      </c>
      <c r="D141" s="51">
        <v>2199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1" t="str">
        <f t="shared" si="11"/>
        <v>SI</v>
      </c>
      <c r="S141" s="31" t="str">
        <f t="shared" si="13"/>
        <v>Sin Riesgo</v>
      </c>
      <c r="T141" s="4"/>
      <c r="U141" s="4"/>
      <c r="V141" s="4"/>
      <c r="W141" s="4"/>
    </row>
    <row r="142" spans="1:23" ht="24.75" customHeight="1">
      <c r="A142" s="29" t="s">
        <v>170</v>
      </c>
      <c r="B142" s="32" t="s">
        <v>127</v>
      </c>
      <c r="C142" s="42" t="s">
        <v>328</v>
      </c>
      <c r="D142" s="51">
        <v>15</v>
      </c>
      <c r="E142" s="30"/>
      <c r="F142" s="30"/>
      <c r="G142" s="30"/>
      <c r="H142" s="30"/>
      <c r="I142" s="30"/>
      <c r="J142" s="30">
        <v>97.35</v>
      </c>
      <c r="K142" s="30"/>
      <c r="L142" s="30"/>
      <c r="M142" s="30"/>
      <c r="N142" s="30"/>
      <c r="O142" s="30"/>
      <c r="P142" s="30"/>
      <c r="Q142" s="38">
        <v>97.35</v>
      </c>
      <c r="R142" s="31" t="str">
        <f>IF(Q142&lt;=5,"SI","NO")</f>
        <v>NO</v>
      </c>
      <c r="S142" s="31" t="str">
        <f>IF(Q142&lt;=5,"Sin Riesgo",IF(Q142&lt;=14,"Bajo",IF(Q142&lt;=35,"Medio",IF(Q142&lt;=80,"Alto","Inviable Sanitariamente"))))</f>
        <v>Inviable Sanitariamente</v>
      </c>
      <c r="T142" s="4"/>
      <c r="U142" s="4"/>
      <c r="V142" s="4"/>
      <c r="W142" s="4"/>
    </row>
    <row r="143" spans="1:23" ht="24.75" customHeight="1">
      <c r="A143" s="29" t="s">
        <v>173</v>
      </c>
      <c r="B143" s="32" t="s">
        <v>128</v>
      </c>
      <c r="C143" s="43" t="s">
        <v>195</v>
      </c>
      <c r="D143" s="52">
        <v>768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1" t="str">
        <f aca="true" t="shared" si="14" ref="R143:R184">IF(Q143&lt;=5,"SI","NO")</f>
        <v>SI</v>
      </c>
      <c r="S143" s="31" t="str">
        <f t="shared" si="13"/>
        <v>Sin Riesgo</v>
      </c>
      <c r="T143" s="4"/>
      <c r="U143" s="4"/>
      <c r="V143" s="4"/>
      <c r="W143" s="4"/>
    </row>
    <row r="144" spans="1:23" ht="24.75" customHeight="1">
      <c r="A144" s="29" t="s">
        <v>174</v>
      </c>
      <c r="B144" s="32" t="s">
        <v>129</v>
      </c>
      <c r="C144" s="42" t="s">
        <v>192</v>
      </c>
      <c r="D144" s="51">
        <v>2559</v>
      </c>
      <c r="E144" s="30">
        <v>1.57</v>
      </c>
      <c r="F144" s="30">
        <v>1.56</v>
      </c>
      <c r="G144" s="30">
        <v>1.3</v>
      </c>
      <c r="H144" s="30">
        <v>1.16</v>
      </c>
      <c r="I144" s="30">
        <v>20.21</v>
      </c>
      <c r="J144" s="30">
        <v>7.74</v>
      </c>
      <c r="K144" s="30">
        <v>9.26</v>
      </c>
      <c r="L144" s="30">
        <v>15.05</v>
      </c>
      <c r="M144" s="30">
        <v>0</v>
      </c>
      <c r="N144" s="30">
        <v>8.85</v>
      </c>
      <c r="O144" s="30">
        <v>8.85</v>
      </c>
      <c r="P144" s="30">
        <v>0</v>
      </c>
      <c r="Q144" s="38">
        <v>6.3</v>
      </c>
      <c r="R144" s="31" t="str">
        <f t="shared" si="14"/>
        <v>NO</v>
      </c>
      <c r="S144" s="31" t="str">
        <f t="shared" si="13"/>
        <v>Bajo</v>
      </c>
      <c r="T144" s="4"/>
      <c r="U144" s="4"/>
      <c r="V144" s="4"/>
      <c r="W144" s="4"/>
    </row>
    <row r="145" spans="1:23" ht="36" customHeight="1">
      <c r="A145" s="29" t="s">
        <v>169</v>
      </c>
      <c r="B145" s="32" t="s">
        <v>130</v>
      </c>
      <c r="C145" s="42" t="s">
        <v>255</v>
      </c>
      <c r="D145" s="51">
        <v>524</v>
      </c>
      <c r="E145" s="30"/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/>
      <c r="L145" s="30">
        <v>0</v>
      </c>
      <c r="M145" s="30">
        <v>0</v>
      </c>
      <c r="N145" s="30">
        <v>0</v>
      </c>
      <c r="O145" s="30">
        <v>0</v>
      </c>
      <c r="P145" s="30">
        <v>9.68</v>
      </c>
      <c r="Q145" s="41">
        <v>0.97</v>
      </c>
      <c r="R145" s="31" t="str">
        <f t="shared" si="14"/>
        <v>SI</v>
      </c>
      <c r="S145" s="31" t="str">
        <f t="shared" si="13"/>
        <v>Sin Riesgo</v>
      </c>
      <c r="T145" s="4"/>
      <c r="U145" s="4"/>
      <c r="V145" s="4"/>
      <c r="W145" s="4"/>
    </row>
    <row r="146" spans="1:23" ht="38.25" customHeight="1">
      <c r="A146" s="29" t="s">
        <v>169</v>
      </c>
      <c r="B146" s="32" t="s">
        <v>130</v>
      </c>
      <c r="C146" s="42" t="s">
        <v>256</v>
      </c>
      <c r="D146" s="51">
        <v>2106</v>
      </c>
      <c r="E146" s="30"/>
      <c r="F146" s="30">
        <v>0</v>
      </c>
      <c r="G146" s="30">
        <v>0</v>
      </c>
      <c r="H146" s="30">
        <v>6.45</v>
      </c>
      <c r="I146" s="30">
        <v>6.45</v>
      </c>
      <c r="J146" s="30">
        <v>0</v>
      </c>
      <c r="K146" s="30"/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8">
        <v>1.29</v>
      </c>
      <c r="R146" s="31" t="str">
        <f t="shared" si="14"/>
        <v>SI</v>
      </c>
      <c r="S146" s="31" t="str">
        <f t="shared" si="13"/>
        <v>Sin Riesgo</v>
      </c>
      <c r="T146" s="4"/>
      <c r="U146" s="4"/>
      <c r="V146" s="4"/>
      <c r="W146" s="4"/>
    </row>
    <row r="147" spans="1:23" ht="24.75" customHeight="1">
      <c r="A147" s="29" t="s">
        <v>173</v>
      </c>
      <c r="B147" s="32" t="s">
        <v>131</v>
      </c>
      <c r="C147" s="43" t="s">
        <v>257</v>
      </c>
      <c r="D147" s="52">
        <v>3807</v>
      </c>
      <c r="E147" s="30">
        <v>0</v>
      </c>
      <c r="F147" s="30">
        <v>0</v>
      </c>
      <c r="G147" s="30">
        <v>0</v>
      </c>
      <c r="H147" s="30">
        <v>0</v>
      </c>
      <c r="I147" s="30">
        <v>6.3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1.2</v>
      </c>
      <c r="Q147" s="30">
        <v>0.6</v>
      </c>
      <c r="R147" s="31" t="str">
        <f t="shared" si="14"/>
        <v>SI</v>
      </c>
      <c r="S147" s="31" t="str">
        <f t="shared" si="13"/>
        <v>Sin Riesgo</v>
      </c>
      <c r="T147" s="4"/>
      <c r="U147" s="4"/>
      <c r="V147" s="4"/>
      <c r="W147" s="4"/>
    </row>
    <row r="148" spans="1:23" ht="24.75" customHeight="1">
      <c r="A148" s="29" t="s">
        <v>174</v>
      </c>
      <c r="B148" s="32" t="s">
        <v>132</v>
      </c>
      <c r="C148" s="42" t="s">
        <v>315</v>
      </c>
      <c r="D148" s="51">
        <v>4039</v>
      </c>
      <c r="E148" s="30">
        <v>0</v>
      </c>
      <c r="F148" s="30">
        <v>6.45</v>
      </c>
      <c r="G148" s="30"/>
      <c r="H148" s="30">
        <v>0</v>
      </c>
      <c r="I148" s="30"/>
      <c r="J148" s="30"/>
      <c r="K148" s="30"/>
      <c r="L148" s="30">
        <v>7.06</v>
      </c>
      <c r="M148" s="30">
        <v>0</v>
      </c>
      <c r="N148" s="30">
        <v>0</v>
      </c>
      <c r="O148" s="30">
        <v>0</v>
      </c>
      <c r="P148" s="30">
        <v>8.85</v>
      </c>
      <c r="Q148" s="38">
        <v>2.79</v>
      </c>
      <c r="R148" s="31" t="str">
        <f t="shared" si="14"/>
        <v>SI</v>
      </c>
      <c r="S148" s="31" t="str">
        <f t="shared" si="13"/>
        <v>Sin Riesgo</v>
      </c>
      <c r="T148" s="4"/>
      <c r="U148" s="4"/>
      <c r="V148" s="4"/>
      <c r="W148" s="4"/>
    </row>
    <row r="149" spans="1:23" ht="24.75" customHeight="1">
      <c r="A149" s="29" t="s">
        <v>169</v>
      </c>
      <c r="B149" s="32" t="s">
        <v>133</v>
      </c>
      <c r="C149" s="42" t="s">
        <v>258</v>
      </c>
      <c r="D149" s="51">
        <v>3036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1" t="str">
        <f t="shared" si="14"/>
        <v>SI</v>
      </c>
      <c r="S149" s="31" t="str">
        <f t="shared" si="13"/>
        <v>Sin Riesgo</v>
      </c>
      <c r="T149" s="4"/>
      <c r="U149" s="4"/>
      <c r="V149" s="4"/>
      <c r="W149" s="4"/>
    </row>
    <row r="150" spans="1:23" ht="24.75" customHeight="1">
      <c r="A150" s="29" t="s">
        <v>172</v>
      </c>
      <c r="B150" s="32" t="s">
        <v>134</v>
      </c>
      <c r="C150" s="42" t="s">
        <v>259</v>
      </c>
      <c r="D150" s="51">
        <v>2865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1" t="str">
        <f t="shared" si="14"/>
        <v>SI</v>
      </c>
      <c r="S150" s="31" t="str">
        <f t="shared" si="13"/>
        <v>Sin Riesgo</v>
      </c>
      <c r="T150" s="4"/>
      <c r="U150" s="4"/>
      <c r="V150" s="4"/>
      <c r="W150" s="4"/>
    </row>
    <row r="151" spans="1:23" ht="36" customHeight="1">
      <c r="A151" s="29" t="s">
        <v>169</v>
      </c>
      <c r="B151" s="32" t="s">
        <v>320</v>
      </c>
      <c r="C151" s="42" t="s">
        <v>316</v>
      </c>
      <c r="D151" s="51">
        <v>1831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/>
      <c r="L151" s="30">
        <v>0</v>
      </c>
      <c r="M151" s="30">
        <v>0</v>
      </c>
      <c r="N151" s="30">
        <v>0</v>
      </c>
      <c r="O151" s="30">
        <v>0</v>
      </c>
      <c r="P151" s="30"/>
      <c r="Q151" s="38">
        <v>0</v>
      </c>
      <c r="R151" s="31" t="str">
        <f t="shared" si="14"/>
        <v>SI</v>
      </c>
      <c r="S151" s="31" t="str">
        <f t="shared" si="13"/>
        <v>Sin Riesgo</v>
      </c>
      <c r="T151" s="4"/>
      <c r="U151" s="4"/>
      <c r="V151" s="4"/>
      <c r="W151" s="4"/>
    </row>
    <row r="152" spans="1:23" ht="24.75" customHeight="1">
      <c r="A152" s="29" t="s">
        <v>171</v>
      </c>
      <c r="B152" s="32" t="s">
        <v>135</v>
      </c>
      <c r="C152" s="42" t="s">
        <v>227</v>
      </c>
      <c r="D152" s="51">
        <v>4437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1" t="str">
        <f t="shared" si="14"/>
        <v>SI</v>
      </c>
      <c r="S152" s="31" t="str">
        <f t="shared" si="13"/>
        <v>Sin Riesgo</v>
      </c>
      <c r="T152" s="4"/>
      <c r="U152" s="4"/>
      <c r="V152" s="4"/>
      <c r="W152" s="4"/>
    </row>
    <row r="153" spans="1:23" ht="24.75" customHeight="1">
      <c r="A153" s="29" t="s">
        <v>173</v>
      </c>
      <c r="B153" s="32" t="s">
        <v>136</v>
      </c>
      <c r="C153" s="43" t="s">
        <v>195</v>
      </c>
      <c r="D153" s="52">
        <v>7020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1" t="str">
        <f t="shared" si="14"/>
        <v>SI</v>
      </c>
      <c r="S153" s="31" t="str">
        <f t="shared" si="13"/>
        <v>Sin Riesgo</v>
      </c>
      <c r="T153" s="4"/>
      <c r="U153" s="4"/>
      <c r="V153" s="4"/>
      <c r="W153" s="4"/>
    </row>
    <row r="154" spans="1:23" ht="24.75" customHeight="1">
      <c r="A154" s="29" t="s">
        <v>170</v>
      </c>
      <c r="B154" s="32" t="s">
        <v>137</v>
      </c>
      <c r="C154" s="42" t="s">
        <v>254</v>
      </c>
      <c r="D154" s="51">
        <v>5751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1.18</v>
      </c>
      <c r="M154" s="30">
        <v>0</v>
      </c>
      <c r="N154" s="30">
        <v>0</v>
      </c>
      <c r="O154" s="30">
        <v>0</v>
      </c>
      <c r="P154" s="30">
        <v>0</v>
      </c>
      <c r="Q154" s="38">
        <v>0.1</v>
      </c>
      <c r="R154" s="31" t="str">
        <f t="shared" si="14"/>
        <v>SI</v>
      </c>
      <c r="S154" s="31" t="str">
        <f t="shared" si="13"/>
        <v>Sin Riesgo</v>
      </c>
      <c r="T154" s="4"/>
      <c r="U154" s="4"/>
      <c r="V154" s="4"/>
      <c r="W154" s="4"/>
    </row>
    <row r="155" spans="1:23" ht="34.5" customHeight="1">
      <c r="A155" s="29" t="s">
        <v>172</v>
      </c>
      <c r="B155" s="32" t="s">
        <v>138</v>
      </c>
      <c r="C155" s="42" t="s">
        <v>317</v>
      </c>
      <c r="D155" s="51">
        <v>1364</v>
      </c>
      <c r="E155" s="30">
        <v>0</v>
      </c>
      <c r="F155" s="30">
        <v>0</v>
      </c>
      <c r="G155" s="30">
        <v>9.03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8">
        <v>0.75</v>
      </c>
      <c r="R155" s="31" t="str">
        <f t="shared" si="14"/>
        <v>SI</v>
      </c>
      <c r="S155" s="31" t="str">
        <f t="shared" si="13"/>
        <v>Sin Riesgo</v>
      </c>
      <c r="T155" s="4"/>
      <c r="U155" s="4"/>
      <c r="V155" s="4"/>
      <c r="W155" s="4"/>
    </row>
    <row r="156" spans="1:23" ht="24.75" customHeight="1">
      <c r="A156" s="29" t="s">
        <v>172</v>
      </c>
      <c r="B156" s="32" t="s">
        <v>139</v>
      </c>
      <c r="C156" s="42" t="s">
        <v>260</v>
      </c>
      <c r="D156" s="51">
        <v>7038</v>
      </c>
      <c r="E156" s="30"/>
      <c r="F156" s="30"/>
      <c r="G156" s="30">
        <v>0</v>
      </c>
      <c r="H156" s="30"/>
      <c r="I156" s="30"/>
      <c r="J156" s="30"/>
      <c r="K156" s="30"/>
      <c r="L156" s="30">
        <v>0</v>
      </c>
      <c r="M156" s="30">
        <v>4.8</v>
      </c>
      <c r="N156" s="30">
        <v>0.66</v>
      </c>
      <c r="O156" s="30">
        <v>0</v>
      </c>
      <c r="P156" s="30">
        <v>0</v>
      </c>
      <c r="Q156" s="41">
        <v>0.91</v>
      </c>
      <c r="R156" s="31" t="str">
        <f t="shared" si="14"/>
        <v>SI</v>
      </c>
      <c r="S156" s="31" t="str">
        <f t="shared" si="13"/>
        <v>Sin Riesgo</v>
      </c>
      <c r="T156" s="4"/>
      <c r="U156" s="4"/>
      <c r="V156" s="4"/>
      <c r="W156" s="4"/>
    </row>
    <row r="157" spans="1:23" ht="24.75" customHeight="1">
      <c r="A157" s="29" t="s">
        <v>169</v>
      </c>
      <c r="B157" s="49" t="s">
        <v>140</v>
      </c>
      <c r="C157" s="42" t="s">
        <v>261</v>
      </c>
      <c r="D157" s="51">
        <v>5650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8">
        <v>0</v>
      </c>
      <c r="R157" s="31" t="str">
        <f t="shared" si="14"/>
        <v>SI</v>
      </c>
      <c r="S157" s="31" t="str">
        <f t="shared" si="13"/>
        <v>Sin Riesgo</v>
      </c>
      <c r="T157" s="4"/>
      <c r="U157" s="4"/>
      <c r="V157" s="4"/>
      <c r="W157" s="4"/>
    </row>
    <row r="158" spans="1:23" ht="24.75" customHeight="1">
      <c r="A158" s="29" t="s">
        <v>170</v>
      </c>
      <c r="B158" s="32" t="s">
        <v>141</v>
      </c>
      <c r="C158" s="42" t="s">
        <v>262</v>
      </c>
      <c r="D158" s="51">
        <v>2344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1" t="str">
        <f t="shared" si="14"/>
        <v>SI</v>
      </c>
      <c r="S158" s="31" t="str">
        <f t="shared" si="13"/>
        <v>Sin Riesgo</v>
      </c>
      <c r="T158" s="4"/>
      <c r="U158" s="4"/>
      <c r="V158" s="4"/>
      <c r="W158" s="4"/>
    </row>
    <row r="159" spans="1:23" ht="33.75" customHeight="1">
      <c r="A159" s="29" t="s">
        <v>171</v>
      </c>
      <c r="B159" s="32" t="s">
        <v>142</v>
      </c>
      <c r="C159" s="42" t="s">
        <v>263</v>
      </c>
      <c r="D159" s="51">
        <v>2543</v>
      </c>
      <c r="E159" s="30">
        <v>0</v>
      </c>
      <c r="F159" s="30">
        <v>0</v>
      </c>
      <c r="G159" s="30"/>
      <c r="H159" s="30"/>
      <c r="I159" s="30">
        <v>0</v>
      </c>
      <c r="J159" s="30"/>
      <c r="K159" s="30"/>
      <c r="L159" s="30">
        <v>9.03</v>
      </c>
      <c r="M159" s="30">
        <v>1.02</v>
      </c>
      <c r="N159" s="30">
        <v>0</v>
      </c>
      <c r="O159" s="30">
        <v>0</v>
      </c>
      <c r="P159" s="30">
        <v>0</v>
      </c>
      <c r="Q159" s="38">
        <v>1.26</v>
      </c>
      <c r="R159" s="31" t="str">
        <f t="shared" si="14"/>
        <v>SI</v>
      </c>
      <c r="S159" s="31" t="str">
        <f t="shared" si="13"/>
        <v>Sin Riesgo</v>
      </c>
      <c r="T159" s="4"/>
      <c r="U159" s="4"/>
      <c r="V159" s="4"/>
      <c r="W159" s="4"/>
    </row>
    <row r="160" spans="1:23" ht="24.75" customHeight="1">
      <c r="A160" s="29" t="s">
        <v>175</v>
      </c>
      <c r="B160" s="50" t="s">
        <v>143</v>
      </c>
      <c r="C160" s="42" t="s">
        <v>318</v>
      </c>
      <c r="D160" s="51">
        <v>5367</v>
      </c>
      <c r="E160" s="30">
        <v>0</v>
      </c>
      <c r="F160" s="30">
        <v>0.65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8">
        <v>0.05</v>
      </c>
      <c r="R160" s="31" t="str">
        <f t="shared" si="14"/>
        <v>SI</v>
      </c>
      <c r="S160" s="31" t="str">
        <f t="shared" si="13"/>
        <v>Sin Riesgo</v>
      </c>
      <c r="T160" s="4"/>
      <c r="U160" s="4"/>
      <c r="V160" s="4"/>
      <c r="W160" s="4"/>
    </row>
    <row r="161" spans="1:23" ht="24.75" customHeight="1">
      <c r="A161" s="34" t="s">
        <v>175</v>
      </c>
      <c r="B161" s="50" t="s">
        <v>143</v>
      </c>
      <c r="C161" s="42" t="s">
        <v>291</v>
      </c>
      <c r="D161" s="51">
        <v>200</v>
      </c>
      <c r="E161" s="30"/>
      <c r="F161" s="30"/>
      <c r="G161" s="30"/>
      <c r="H161" s="30">
        <v>53.1</v>
      </c>
      <c r="I161" s="30">
        <v>97.35</v>
      </c>
      <c r="J161" s="30">
        <v>97.35</v>
      </c>
      <c r="K161" s="30">
        <v>97.35</v>
      </c>
      <c r="L161" s="30"/>
      <c r="M161" s="30"/>
      <c r="N161" s="30">
        <v>89.94</v>
      </c>
      <c r="O161" s="30">
        <v>70.97</v>
      </c>
      <c r="P161" s="30"/>
      <c r="Q161" s="38">
        <v>84.34</v>
      </c>
      <c r="R161" s="31" t="str">
        <f t="shared" si="14"/>
        <v>NO</v>
      </c>
      <c r="S161" s="31" t="str">
        <f t="shared" si="13"/>
        <v>Inviable Sanitariamente</v>
      </c>
      <c r="T161" s="4"/>
      <c r="U161" s="4"/>
      <c r="V161" s="4"/>
      <c r="W161" s="4"/>
    </row>
    <row r="162" spans="1:23" ht="24.75" customHeight="1">
      <c r="A162" s="34" t="s">
        <v>175</v>
      </c>
      <c r="B162" s="50" t="s">
        <v>143</v>
      </c>
      <c r="C162" s="42" t="s">
        <v>290</v>
      </c>
      <c r="D162" s="51">
        <v>127</v>
      </c>
      <c r="E162" s="30"/>
      <c r="F162" s="30"/>
      <c r="G162" s="30"/>
      <c r="H162" s="30">
        <v>53.1</v>
      </c>
      <c r="I162" s="30">
        <v>97.35</v>
      </c>
      <c r="J162" s="30">
        <v>97.35</v>
      </c>
      <c r="K162" s="30">
        <v>97.35</v>
      </c>
      <c r="L162" s="30"/>
      <c r="M162" s="30">
        <v>90.32</v>
      </c>
      <c r="N162" s="30">
        <v>89.94</v>
      </c>
      <c r="O162" s="30">
        <v>98.06</v>
      </c>
      <c r="P162" s="30"/>
      <c r="Q162" s="38">
        <v>89.07</v>
      </c>
      <c r="R162" s="31" t="str">
        <f t="shared" si="14"/>
        <v>NO</v>
      </c>
      <c r="S162" s="31" t="str">
        <f t="shared" si="13"/>
        <v>Inviable Sanitariamente</v>
      </c>
      <c r="T162" s="4"/>
      <c r="U162" s="4"/>
      <c r="V162" s="4"/>
      <c r="W162" s="4"/>
    </row>
    <row r="163" spans="1:23" ht="24.75" customHeight="1">
      <c r="A163" s="34" t="s">
        <v>175</v>
      </c>
      <c r="B163" s="50" t="s">
        <v>143</v>
      </c>
      <c r="C163" s="42" t="s">
        <v>289</v>
      </c>
      <c r="D163" s="51">
        <v>95</v>
      </c>
      <c r="E163" s="30"/>
      <c r="F163" s="30"/>
      <c r="G163" s="30"/>
      <c r="H163" s="30">
        <v>97.35</v>
      </c>
      <c r="I163" s="30">
        <v>97.35</v>
      </c>
      <c r="J163" s="30">
        <v>97.35</v>
      </c>
      <c r="K163" s="30">
        <v>100</v>
      </c>
      <c r="L163" s="30"/>
      <c r="M163" s="30">
        <v>98.06</v>
      </c>
      <c r="N163" s="30">
        <v>89.94</v>
      </c>
      <c r="O163" s="30"/>
      <c r="P163" s="30"/>
      <c r="Q163" s="38">
        <v>96.67</v>
      </c>
      <c r="R163" s="31" t="str">
        <f t="shared" si="14"/>
        <v>NO</v>
      </c>
      <c r="S163" s="31" t="str">
        <f t="shared" si="13"/>
        <v>Inviable Sanitariamente</v>
      </c>
      <c r="T163" s="4"/>
      <c r="U163" s="4"/>
      <c r="V163" s="4"/>
      <c r="W163" s="4"/>
    </row>
    <row r="164" spans="1:23" ht="24.75" customHeight="1">
      <c r="A164" s="34" t="s">
        <v>175</v>
      </c>
      <c r="B164" s="50" t="s">
        <v>143</v>
      </c>
      <c r="C164" s="42" t="s">
        <v>329</v>
      </c>
      <c r="D164" s="51">
        <v>175</v>
      </c>
      <c r="E164" s="30"/>
      <c r="F164" s="30"/>
      <c r="G164" s="30"/>
      <c r="H164" s="30"/>
      <c r="I164" s="30"/>
      <c r="J164" s="30"/>
      <c r="K164" s="30"/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8">
        <v>0</v>
      </c>
      <c r="R164" s="31" t="str">
        <f>IF(Q164&lt;=5,"SI","NO")</f>
        <v>SI</v>
      </c>
      <c r="S164" s="31" t="str">
        <f>IF(Q164&lt;=5,"Sin Riesgo",IF(Q164&lt;=14,"Bajo",IF(Q164&lt;=35,"Medio",IF(Q164&lt;=80,"Alto","Inviable Sanitariamente"))))</f>
        <v>Sin Riesgo</v>
      </c>
      <c r="T164" s="4"/>
      <c r="U164" s="4"/>
      <c r="V164" s="4"/>
      <c r="W164" s="4"/>
    </row>
    <row r="165" spans="1:23" ht="24.75" customHeight="1">
      <c r="A165" s="29" t="s">
        <v>171</v>
      </c>
      <c r="B165" s="32" t="s">
        <v>144</v>
      </c>
      <c r="C165" s="42" t="s">
        <v>319</v>
      </c>
      <c r="D165" s="51">
        <v>1030</v>
      </c>
      <c r="E165" s="30"/>
      <c r="F165" s="30"/>
      <c r="G165" s="30"/>
      <c r="H165" s="30"/>
      <c r="I165" s="30"/>
      <c r="J165" s="30"/>
      <c r="K165" s="30"/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1" t="str">
        <f t="shared" si="14"/>
        <v>SI</v>
      </c>
      <c r="S165" s="31" t="str">
        <f t="shared" si="13"/>
        <v>Sin Riesgo</v>
      </c>
      <c r="T165" s="4"/>
      <c r="U165" s="4"/>
      <c r="V165" s="4"/>
      <c r="W165" s="4"/>
    </row>
    <row r="166" spans="1:23" ht="24.75" customHeight="1">
      <c r="A166" s="29" t="s">
        <v>171</v>
      </c>
      <c r="B166" s="32" t="s">
        <v>145</v>
      </c>
      <c r="C166" s="43" t="s">
        <v>195</v>
      </c>
      <c r="D166" s="52">
        <v>1440</v>
      </c>
      <c r="E166" s="30">
        <v>0</v>
      </c>
      <c r="F166" s="30"/>
      <c r="G166" s="30">
        <v>0</v>
      </c>
      <c r="H166" s="30">
        <v>0</v>
      </c>
      <c r="I166" s="30">
        <v>0</v>
      </c>
      <c r="J166" s="30">
        <v>0</v>
      </c>
      <c r="K166" s="30"/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1" t="str">
        <f t="shared" si="14"/>
        <v>SI</v>
      </c>
      <c r="S166" s="31" t="str">
        <f t="shared" si="13"/>
        <v>Sin Riesgo</v>
      </c>
      <c r="T166" s="4"/>
      <c r="U166" s="4"/>
      <c r="V166" s="4"/>
      <c r="W166" s="4"/>
    </row>
    <row r="167" spans="1:23" ht="34.5" customHeight="1">
      <c r="A167" s="29" t="s">
        <v>171</v>
      </c>
      <c r="B167" s="32" t="s">
        <v>145</v>
      </c>
      <c r="C167" s="43" t="s">
        <v>264</v>
      </c>
      <c r="D167" s="52">
        <v>217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/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1" t="str">
        <f t="shared" si="14"/>
        <v>SI</v>
      </c>
      <c r="S167" s="31" t="str">
        <f t="shared" si="13"/>
        <v>Sin Riesgo</v>
      </c>
      <c r="T167" s="4"/>
      <c r="U167" s="4"/>
      <c r="V167" s="4"/>
      <c r="W167" s="4"/>
    </row>
    <row r="168" spans="1:23" ht="24.75" customHeight="1">
      <c r="A168" s="29" t="s">
        <v>173</v>
      </c>
      <c r="B168" s="32" t="s">
        <v>146</v>
      </c>
      <c r="C168" s="42" t="s">
        <v>265</v>
      </c>
      <c r="D168" s="51">
        <v>596</v>
      </c>
      <c r="E168" s="30">
        <v>0.88</v>
      </c>
      <c r="F168" s="30">
        <v>0</v>
      </c>
      <c r="G168" s="30">
        <v>0</v>
      </c>
      <c r="H168" s="30">
        <v>0</v>
      </c>
      <c r="I168" s="30">
        <v>0</v>
      </c>
      <c r="J168" s="30"/>
      <c r="K168" s="30"/>
      <c r="L168" s="30">
        <v>16.13</v>
      </c>
      <c r="M168" s="30">
        <v>2.73</v>
      </c>
      <c r="N168" s="30">
        <v>9.68</v>
      </c>
      <c r="O168" s="30">
        <v>1.23</v>
      </c>
      <c r="P168" s="30">
        <v>10.38</v>
      </c>
      <c r="Q168" s="38">
        <v>4.1</v>
      </c>
      <c r="R168" s="31" t="str">
        <f t="shared" si="14"/>
        <v>SI</v>
      </c>
      <c r="S168" s="31" t="str">
        <f t="shared" si="13"/>
        <v>Sin Riesgo</v>
      </c>
      <c r="T168" s="4"/>
      <c r="U168" s="4"/>
      <c r="V168" s="4"/>
      <c r="W168" s="4"/>
    </row>
    <row r="169" spans="1:23" ht="24.75" customHeight="1">
      <c r="A169" s="29" t="s">
        <v>174</v>
      </c>
      <c r="B169" s="32" t="s">
        <v>147</v>
      </c>
      <c r="C169" s="42" t="s">
        <v>194</v>
      </c>
      <c r="D169" s="51">
        <v>12599</v>
      </c>
      <c r="E169" s="30">
        <v>0.47</v>
      </c>
      <c r="F169" s="30">
        <v>0.47</v>
      </c>
      <c r="G169" s="30">
        <v>7.98</v>
      </c>
      <c r="H169" s="30">
        <v>3.87</v>
      </c>
      <c r="I169" s="30">
        <v>0.47</v>
      </c>
      <c r="J169" s="30">
        <v>0.24</v>
      </c>
      <c r="K169" s="30">
        <v>0.47</v>
      </c>
      <c r="L169" s="30">
        <v>3.87</v>
      </c>
      <c r="M169" s="30">
        <v>0.47</v>
      </c>
      <c r="N169" s="30">
        <v>0</v>
      </c>
      <c r="O169" s="30">
        <v>0.25</v>
      </c>
      <c r="P169" s="30">
        <v>0.25</v>
      </c>
      <c r="Q169" s="38">
        <v>1.57</v>
      </c>
      <c r="R169" s="31" t="str">
        <f t="shared" si="14"/>
        <v>SI</v>
      </c>
      <c r="S169" s="31" t="str">
        <f t="shared" si="13"/>
        <v>Sin Riesgo</v>
      </c>
      <c r="T169" s="4"/>
      <c r="U169" s="4"/>
      <c r="V169" s="4"/>
      <c r="W169" s="4"/>
    </row>
    <row r="170" spans="1:23" ht="35.25" customHeight="1">
      <c r="A170" s="29" t="s">
        <v>170</v>
      </c>
      <c r="B170" s="32" t="s">
        <v>148</v>
      </c>
      <c r="C170" s="42" t="s">
        <v>266</v>
      </c>
      <c r="D170" s="51">
        <v>744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32.45</v>
      </c>
      <c r="Q170" s="38">
        <v>2.7</v>
      </c>
      <c r="R170" s="31" t="str">
        <f t="shared" si="14"/>
        <v>SI</v>
      </c>
      <c r="S170" s="31" t="str">
        <f t="shared" si="13"/>
        <v>Sin Riesgo</v>
      </c>
      <c r="T170" s="4"/>
      <c r="U170" s="4"/>
      <c r="V170" s="4"/>
      <c r="W170" s="4"/>
    </row>
    <row r="171" spans="1:23" ht="36.75" customHeight="1">
      <c r="A171" s="29" t="s">
        <v>170</v>
      </c>
      <c r="B171" s="32" t="s">
        <v>148</v>
      </c>
      <c r="C171" s="42" t="s">
        <v>267</v>
      </c>
      <c r="D171" s="51">
        <v>60</v>
      </c>
      <c r="E171" s="30">
        <v>44.94</v>
      </c>
      <c r="F171" s="30">
        <v>0</v>
      </c>
      <c r="G171" s="30">
        <v>23.6</v>
      </c>
      <c r="H171" s="30">
        <v>0</v>
      </c>
      <c r="I171" s="30">
        <v>0</v>
      </c>
      <c r="J171" s="30">
        <v>23.6</v>
      </c>
      <c r="K171" s="30">
        <v>56.05</v>
      </c>
      <c r="L171" s="30">
        <v>0</v>
      </c>
      <c r="M171" s="30">
        <v>6.45</v>
      </c>
      <c r="N171" s="30">
        <v>24.52</v>
      </c>
      <c r="O171" s="30">
        <v>9.03</v>
      </c>
      <c r="P171" s="30">
        <v>8.85</v>
      </c>
      <c r="Q171" s="38">
        <v>16.42</v>
      </c>
      <c r="R171" s="31" t="str">
        <f t="shared" si="14"/>
        <v>NO</v>
      </c>
      <c r="S171" s="31" t="str">
        <f t="shared" si="13"/>
        <v>Medio</v>
      </c>
      <c r="T171" s="4"/>
      <c r="U171" s="4"/>
      <c r="V171" s="4"/>
      <c r="W171" s="4"/>
    </row>
    <row r="172" spans="1:23" ht="24.75" customHeight="1">
      <c r="A172" s="29" t="s">
        <v>171</v>
      </c>
      <c r="B172" s="32" t="s">
        <v>149</v>
      </c>
      <c r="C172" s="42" t="s">
        <v>268</v>
      </c>
      <c r="D172" s="51">
        <v>4959</v>
      </c>
      <c r="E172" s="30"/>
      <c r="F172" s="30"/>
      <c r="G172" s="30"/>
      <c r="H172" s="30"/>
      <c r="I172" s="30"/>
      <c r="J172" s="30"/>
      <c r="K172" s="30"/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1" t="str">
        <f t="shared" si="14"/>
        <v>SI</v>
      </c>
      <c r="S172" s="31" t="str">
        <f t="shared" si="13"/>
        <v>Sin Riesgo</v>
      </c>
      <c r="T172" s="4"/>
      <c r="U172" s="4"/>
      <c r="V172" s="4"/>
      <c r="W172" s="4"/>
    </row>
    <row r="173" spans="1:23" ht="32.25" customHeight="1">
      <c r="A173" s="29" t="s">
        <v>173</v>
      </c>
      <c r="B173" s="32" t="s">
        <v>150</v>
      </c>
      <c r="C173" s="42" t="s">
        <v>269</v>
      </c>
      <c r="D173" s="51">
        <v>1350</v>
      </c>
      <c r="E173" s="30">
        <v>14.98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/>
      <c r="L173" s="30">
        <v>0</v>
      </c>
      <c r="M173" s="30">
        <v>0</v>
      </c>
      <c r="N173" s="30">
        <v>9.68</v>
      </c>
      <c r="O173" s="30">
        <v>6.14</v>
      </c>
      <c r="P173" s="30">
        <v>0</v>
      </c>
      <c r="Q173" s="38">
        <v>2.8</v>
      </c>
      <c r="R173" s="31" t="str">
        <f t="shared" si="14"/>
        <v>SI</v>
      </c>
      <c r="S173" s="31" t="str">
        <f t="shared" si="13"/>
        <v>Sin Riesgo</v>
      </c>
      <c r="T173" s="4"/>
      <c r="U173" s="4"/>
      <c r="V173" s="4"/>
      <c r="W173" s="4"/>
    </row>
    <row r="174" spans="1:23" ht="34.5" customHeight="1">
      <c r="A174" s="29" t="s">
        <v>171</v>
      </c>
      <c r="B174" s="48" t="s">
        <v>151</v>
      </c>
      <c r="C174" s="45" t="s">
        <v>270</v>
      </c>
      <c r="D174" s="51">
        <v>1307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1" t="str">
        <f t="shared" si="14"/>
        <v>SI</v>
      </c>
      <c r="S174" s="31" t="str">
        <f t="shared" si="13"/>
        <v>Sin Riesgo</v>
      </c>
      <c r="T174" s="4"/>
      <c r="U174" s="4"/>
      <c r="V174" s="4"/>
      <c r="W174" s="4"/>
    </row>
    <row r="175" spans="1:23" ht="24.75" customHeight="1">
      <c r="A175" s="29" t="s">
        <v>172</v>
      </c>
      <c r="B175" s="32" t="s">
        <v>152</v>
      </c>
      <c r="C175" s="42" t="s">
        <v>271</v>
      </c>
      <c r="D175" s="51">
        <v>3350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/>
      <c r="K175" s="30"/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1" t="str">
        <f t="shared" si="14"/>
        <v>SI</v>
      </c>
      <c r="S175" s="31" t="str">
        <f t="shared" si="13"/>
        <v>Sin Riesgo</v>
      </c>
      <c r="T175" s="4"/>
      <c r="U175" s="4"/>
      <c r="V175" s="4"/>
      <c r="W175" s="4"/>
    </row>
    <row r="176" spans="1:23" s="6" customFormat="1" ht="24.75" customHeight="1">
      <c r="A176" s="35" t="s">
        <v>171</v>
      </c>
      <c r="B176" s="48" t="s">
        <v>153</v>
      </c>
      <c r="C176" s="43" t="s">
        <v>272</v>
      </c>
      <c r="D176" s="52">
        <v>1839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5.4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8">
        <v>0.5</v>
      </c>
      <c r="R176" s="31" t="str">
        <f t="shared" si="14"/>
        <v>SI</v>
      </c>
      <c r="S176" s="31" t="str">
        <f t="shared" si="13"/>
        <v>Sin Riesgo</v>
      </c>
      <c r="T176" s="4"/>
      <c r="U176" s="4"/>
      <c r="V176" s="4"/>
      <c r="W176" s="4"/>
    </row>
    <row r="177" spans="1:23" ht="24.75" customHeight="1">
      <c r="A177" s="29" t="s">
        <v>174</v>
      </c>
      <c r="B177" s="32" t="s">
        <v>154</v>
      </c>
      <c r="C177" s="42" t="s">
        <v>273</v>
      </c>
      <c r="D177" s="51">
        <v>1038</v>
      </c>
      <c r="E177" s="30"/>
      <c r="F177" s="30"/>
      <c r="G177" s="30"/>
      <c r="H177" s="30"/>
      <c r="I177" s="30"/>
      <c r="J177" s="30"/>
      <c r="K177" s="30"/>
      <c r="L177" s="30"/>
      <c r="M177" s="30">
        <v>18.4</v>
      </c>
      <c r="N177" s="30"/>
      <c r="O177" s="30">
        <v>18.4</v>
      </c>
      <c r="P177" s="30">
        <v>19.35</v>
      </c>
      <c r="Q177" s="40">
        <v>18.72</v>
      </c>
      <c r="R177" s="31" t="str">
        <f t="shared" si="14"/>
        <v>NO</v>
      </c>
      <c r="S177" s="31" t="str">
        <f t="shared" si="13"/>
        <v>Medio</v>
      </c>
      <c r="T177" s="4"/>
      <c r="U177" s="4"/>
      <c r="V177" s="4"/>
      <c r="W177" s="4"/>
    </row>
    <row r="178" spans="1:23" ht="24.75" customHeight="1">
      <c r="A178" s="29" t="s">
        <v>172</v>
      </c>
      <c r="B178" s="32" t="s">
        <v>155</v>
      </c>
      <c r="C178" s="43" t="s">
        <v>274</v>
      </c>
      <c r="D178" s="52">
        <v>1144</v>
      </c>
      <c r="E178" s="30">
        <v>0.65</v>
      </c>
      <c r="F178" s="30">
        <v>0</v>
      </c>
      <c r="G178" s="30">
        <v>9.68</v>
      </c>
      <c r="H178" s="30"/>
      <c r="I178" s="30"/>
      <c r="J178" s="30"/>
      <c r="K178" s="30"/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8">
        <v>1.29</v>
      </c>
      <c r="R178" s="31" t="str">
        <f t="shared" si="14"/>
        <v>SI</v>
      </c>
      <c r="S178" s="31" t="str">
        <f t="shared" si="13"/>
        <v>Sin Riesgo</v>
      </c>
      <c r="T178" s="4"/>
      <c r="U178" s="4"/>
      <c r="V178" s="4"/>
      <c r="W178" s="4"/>
    </row>
    <row r="179" spans="1:23" ht="24.75" customHeight="1">
      <c r="A179" s="29" t="s">
        <v>173</v>
      </c>
      <c r="B179" s="48" t="s">
        <v>156</v>
      </c>
      <c r="C179" s="42" t="s">
        <v>275</v>
      </c>
      <c r="D179" s="51">
        <v>10089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1" t="str">
        <f t="shared" si="14"/>
        <v>SI</v>
      </c>
      <c r="S179" s="31" t="str">
        <f t="shared" si="13"/>
        <v>Sin Riesgo</v>
      </c>
      <c r="T179" s="13"/>
      <c r="U179" s="4"/>
      <c r="V179" s="4"/>
      <c r="W179" s="4"/>
    </row>
    <row r="180" spans="1:23" ht="36" customHeight="1">
      <c r="A180" s="29" t="s">
        <v>173</v>
      </c>
      <c r="B180" s="48" t="s">
        <v>156</v>
      </c>
      <c r="C180" s="42" t="s">
        <v>276</v>
      </c>
      <c r="D180" s="51">
        <v>227</v>
      </c>
      <c r="E180" s="30">
        <v>0</v>
      </c>
      <c r="F180" s="30">
        <v>0</v>
      </c>
      <c r="G180" s="30">
        <v>0</v>
      </c>
      <c r="H180" s="30">
        <v>0</v>
      </c>
      <c r="I180" s="30"/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1" t="str">
        <f t="shared" si="14"/>
        <v>SI</v>
      </c>
      <c r="S180" s="31" t="str">
        <f t="shared" si="13"/>
        <v>Sin Riesgo</v>
      </c>
      <c r="T180" s="13"/>
      <c r="U180" s="4"/>
      <c r="V180" s="4"/>
      <c r="W180" s="4"/>
    </row>
    <row r="181" spans="1:23" ht="24.75" customHeight="1">
      <c r="A181" s="29" t="s">
        <v>172</v>
      </c>
      <c r="B181" s="32" t="s">
        <v>157</v>
      </c>
      <c r="C181" s="42" t="s">
        <v>277</v>
      </c>
      <c r="D181" s="51">
        <v>2635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6.99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8">
        <v>0.58</v>
      </c>
      <c r="R181" s="31" t="str">
        <f t="shared" si="14"/>
        <v>SI</v>
      </c>
      <c r="S181" s="31" t="str">
        <f t="shared" si="13"/>
        <v>Sin Riesgo</v>
      </c>
      <c r="T181" s="4"/>
      <c r="U181" s="4"/>
      <c r="V181" s="4"/>
      <c r="W181" s="4"/>
    </row>
    <row r="182" spans="1:23" ht="34.5" customHeight="1">
      <c r="A182" s="34" t="s">
        <v>176</v>
      </c>
      <c r="B182" s="32" t="s">
        <v>158</v>
      </c>
      <c r="C182" s="42" t="s">
        <v>183</v>
      </c>
      <c r="D182" s="51">
        <v>2757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6.45</v>
      </c>
      <c r="K182" s="30">
        <v>0</v>
      </c>
      <c r="L182" s="30">
        <v>26.55</v>
      </c>
      <c r="M182" s="30">
        <v>0</v>
      </c>
      <c r="N182" s="30">
        <v>1.23</v>
      </c>
      <c r="O182" s="30">
        <v>0</v>
      </c>
      <c r="P182" s="30">
        <v>0</v>
      </c>
      <c r="Q182" s="38">
        <v>2.85</v>
      </c>
      <c r="R182" s="31" t="str">
        <f t="shared" si="14"/>
        <v>SI</v>
      </c>
      <c r="S182" s="31" t="str">
        <f t="shared" si="13"/>
        <v>Sin Riesgo</v>
      </c>
      <c r="T182" s="4"/>
      <c r="U182" s="4"/>
      <c r="V182" s="4"/>
      <c r="W182" s="4"/>
    </row>
    <row r="183" spans="1:23" ht="24.75" customHeight="1">
      <c r="A183" s="29" t="s">
        <v>175</v>
      </c>
      <c r="B183" s="32" t="s">
        <v>167</v>
      </c>
      <c r="C183" s="42" t="s">
        <v>27</v>
      </c>
      <c r="D183" s="51">
        <v>620</v>
      </c>
      <c r="E183" s="30"/>
      <c r="F183" s="30"/>
      <c r="G183" s="30"/>
      <c r="H183" s="30"/>
      <c r="I183" s="30"/>
      <c r="J183" s="30"/>
      <c r="K183" s="30"/>
      <c r="L183" s="30"/>
      <c r="M183" s="30">
        <v>97.7</v>
      </c>
      <c r="N183" s="30">
        <v>97.35</v>
      </c>
      <c r="O183" s="30">
        <v>89.2</v>
      </c>
      <c r="P183" s="30">
        <v>97.7</v>
      </c>
      <c r="Q183" s="38">
        <v>95.49</v>
      </c>
      <c r="R183" s="31" t="str">
        <f t="shared" si="14"/>
        <v>NO</v>
      </c>
      <c r="S183" s="31" t="str">
        <f t="shared" si="13"/>
        <v>Inviable Sanitariamente</v>
      </c>
      <c r="T183" s="4"/>
      <c r="U183" s="4"/>
      <c r="V183" s="4"/>
      <c r="W183" s="4"/>
    </row>
    <row r="184" spans="1:23" ht="24.75" customHeight="1">
      <c r="A184" s="29" t="s">
        <v>175</v>
      </c>
      <c r="B184" s="32" t="s">
        <v>167</v>
      </c>
      <c r="C184" s="42" t="s">
        <v>26</v>
      </c>
      <c r="D184" s="51">
        <v>2721</v>
      </c>
      <c r="E184" s="30"/>
      <c r="F184" s="30"/>
      <c r="G184" s="30"/>
      <c r="H184" s="30"/>
      <c r="I184" s="30"/>
      <c r="J184" s="30"/>
      <c r="K184" s="30"/>
      <c r="L184" s="30"/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1" t="str">
        <f t="shared" si="14"/>
        <v>SI</v>
      </c>
      <c r="S184" s="31" t="str">
        <f t="shared" si="13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.75">
      <c r="A186" s="47" t="s">
        <v>324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2:17" ht="12.75">
      <c r="B187" s="17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9</v>
      </c>
    </row>
    <row r="188" spans="2:6" ht="14.25">
      <c r="B188" s="83"/>
      <c r="C188" s="83"/>
      <c r="D188" s="83"/>
      <c r="E188" s="83"/>
      <c r="F188" s="83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81"/>
      <c r="E194" s="82"/>
      <c r="F194" s="82"/>
      <c r="G194" s="82"/>
      <c r="H194" s="82"/>
      <c r="I194" s="82"/>
      <c r="J194" s="82"/>
      <c r="K194" s="82"/>
      <c r="L194" s="82"/>
      <c r="M194" s="82"/>
      <c r="N194" s="10"/>
      <c r="O194" s="10"/>
      <c r="P194" s="10"/>
    </row>
    <row r="195" spans="2:16" ht="15">
      <c r="B195" s="10"/>
      <c r="C195" s="10"/>
      <c r="D195" s="77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8">
    <mergeCell ref="AE1:AE5"/>
    <mergeCell ref="AG1:AG5"/>
    <mergeCell ref="C2:S2"/>
    <mergeCell ref="C6:S6"/>
    <mergeCell ref="R7:S7"/>
    <mergeCell ref="O7:Q7"/>
    <mergeCell ref="L7:N7"/>
    <mergeCell ref="I7:K7"/>
    <mergeCell ref="F7:H7"/>
    <mergeCell ref="U1:U5"/>
    <mergeCell ref="W1:W5"/>
    <mergeCell ref="C5:S5"/>
    <mergeCell ref="AH1:AH5"/>
    <mergeCell ref="X1:X5"/>
    <mergeCell ref="AF1:AF5"/>
    <mergeCell ref="V1:V5"/>
    <mergeCell ref="D7:E7"/>
    <mergeCell ref="AD1:AD5"/>
    <mergeCell ref="AI1:AI5"/>
    <mergeCell ref="Z1:Z5"/>
    <mergeCell ref="AA1:AA5"/>
    <mergeCell ref="AB1:AB5"/>
    <mergeCell ref="AC1:AC5"/>
    <mergeCell ref="D195:N195"/>
    <mergeCell ref="D8:D9"/>
    <mergeCell ref="D194:M194"/>
    <mergeCell ref="B188:F188"/>
    <mergeCell ref="E8:P8"/>
    <mergeCell ref="R8:R9"/>
    <mergeCell ref="Q8:Q9"/>
    <mergeCell ref="U17:AI17"/>
    <mergeCell ref="C4:S4"/>
    <mergeCell ref="C3:S3"/>
    <mergeCell ref="A8:A9"/>
    <mergeCell ref="B8:B9"/>
    <mergeCell ref="C8:C9"/>
    <mergeCell ref="S8:S9"/>
    <mergeCell ref="Y1:Y5"/>
  </mergeCells>
  <conditionalFormatting sqref="E116:N116 P116:Q116 E117:P117 E177:P177 E178:Q184 E165:Q176 E143:Q163 E118:Q141 E10:Q11 E17:Q106">
    <cfRule type="containsBlanks" priority="310" dxfId="2" stopIfTrue="1">
      <formula>LEN(TRIM(E10))=0</formula>
    </cfRule>
    <cfRule type="cellIs" priority="311" dxfId="1" operator="between" stopIfTrue="1">
      <formula>80.1</formula>
      <formula>100</formula>
    </cfRule>
    <cfRule type="cellIs" priority="312" dxfId="0" operator="between" stopIfTrue="1">
      <formula>35.1</formula>
      <formula>80</formula>
    </cfRule>
    <cfRule type="cellIs" priority="313" dxfId="22" operator="between" stopIfTrue="1">
      <formula>14.1</formula>
      <formula>35</formula>
    </cfRule>
    <cfRule type="cellIs" priority="314" dxfId="60" operator="between" stopIfTrue="1">
      <formula>5.1</formula>
      <formula>14</formula>
    </cfRule>
    <cfRule type="cellIs" priority="315" dxfId="21" operator="between" stopIfTrue="1">
      <formula>0</formula>
      <formula>5</formula>
    </cfRule>
    <cfRule type="containsBlanks" priority="316" dxfId="2" stopIfTrue="1">
      <formula>LEN(TRIM(E10))=0</formula>
    </cfRule>
  </conditionalFormatting>
  <conditionalFormatting sqref="O116">
    <cfRule type="containsBlanks" priority="168" dxfId="2" stopIfTrue="1">
      <formula>LEN(TRIM(O116))=0</formula>
    </cfRule>
    <cfRule type="cellIs" priority="169" dxfId="1" operator="between" stopIfTrue="1">
      <formula>80.1</formula>
      <formula>100</formula>
    </cfRule>
    <cfRule type="cellIs" priority="170" dxfId="0" operator="between" stopIfTrue="1">
      <formula>35.1</formula>
      <formula>80</formula>
    </cfRule>
    <cfRule type="cellIs" priority="171" dxfId="22" operator="between" stopIfTrue="1">
      <formula>14.1</formula>
      <formula>35</formula>
    </cfRule>
    <cfRule type="cellIs" priority="172" dxfId="60" operator="between" stopIfTrue="1">
      <formula>5.1</formula>
      <formula>14</formula>
    </cfRule>
    <cfRule type="cellIs" priority="173" dxfId="21" operator="between" stopIfTrue="1">
      <formula>0</formula>
      <formula>5</formula>
    </cfRule>
    <cfRule type="containsBlanks" priority="174" dxfId="2" stopIfTrue="1">
      <formula>LEN(TRIM(O116))=0</formula>
    </cfRule>
  </conditionalFormatting>
  <conditionalFormatting sqref="S143:S163 S165:S184 S10:S141">
    <cfRule type="cellIs" priority="164" dxfId="25" operator="equal" stopIfTrue="1">
      <formula>"INVIABLE SANITARIAMENTE"</formula>
    </cfRule>
  </conditionalFormatting>
  <conditionalFormatting sqref="S143:S163 S165:S184 S10:S141">
    <cfRule type="containsText" priority="159" dxfId="1" operator="containsText" stopIfTrue="1" text="INVIABLE SANITARIAMENTE">
      <formula>NOT(ISERROR(SEARCH("INVIABLE SANITARIAMENTE",S10)))</formula>
    </cfRule>
    <cfRule type="containsText" priority="160" dxfId="0" operator="containsText" stopIfTrue="1" text="ALTO">
      <formula>NOT(ISERROR(SEARCH("ALTO",S10)))</formula>
    </cfRule>
    <cfRule type="containsText" priority="161" dxfId="22" operator="containsText" stopIfTrue="1" text="MEDIO">
      <formula>NOT(ISERROR(SEARCH("MEDIO",S10)))</formula>
    </cfRule>
    <cfRule type="containsText" priority="162" dxfId="60" operator="containsText" stopIfTrue="1" text="BAJO">
      <formula>NOT(ISERROR(SEARCH("BAJO",S10)))</formula>
    </cfRule>
    <cfRule type="containsText" priority="163" dxfId="61" operator="containsText" stopIfTrue="1" text="SIN RIESGO">
      <formula>NOT(ISERROR(SEARCH("SIN RIESGO",S10)))</formula>
    </cfRule>
  </conditionalFormatting>
  <conditionalFormatting sqref="S143:S163 S165:S184 S10:S141">
    <cfRule type="containsText" priority="158" dxfId="21" operator="containsText" stopIfTrue="1" text="SIN RIESGO">
      <formula>NOT(ISERROR(SEARCH("SIN RIESGO",S10)))</formula>
    </cfRule>
  </conditionalFormatting>
  <conditionalFormatting sqref="R143:R163 R165:R184 R10:R141">
    <cfRule type="cellIs" priority="156" dxfId="29" operator="equal" stopIfTrue="1">
      <formula>"NO"</formula>
    </cfRule>
  </conditionalFormatting>
  <conditionalFormatting sqref="Q117">
    <cfRule type="containsBlanks" priority="133" dxfId="2" stopIfTrue="1">
      <formula>LEN(TRIM(Q117))=0</formula>
    </cfRule>
    <cfRule type="cellIs" priority="134" dxfId="1" operator="between" stopIfTrue="1">
      <formula>80.1</formula>
      <formula>100</formula>
    </cfRule>
    <cfRule type="cellIs" priority="135" dxfId="0" operator="between" stopIfTrue="1">
      <formula>35.1</formula>
      <formula>80</formula>
    </cfRule>
    <cfRule type="cellIs" priority="136" dxfId="22" operator="between" stopIfTrue="1">
      <formula>14.1</formula>
      <formula>35</formula>
    </cfRule>
    <cfRule type="cellIs" priority="137" dxfId="60" operator="between" stopIfTrue="1">
      <formula>5.1</formula>
      <formula>14</formula>
    </cfRule>
    <cfRule type="cellIs" priority="138" dxfId="21" operator="between" stopIfTrue="1">
      <formula>0</formula>
      <formula>5</formula>
    </cfRule>
    <cfRule type="containsBlanks" priority="139" dxfId="2" stopIfTrue="1">
      <formula>LEN(TRIM(Q117))=0</formula>
    </cfRule>
  </conditionalFormatting>
  <conditionalFormatting sqref="Q177">
    <cfRule type="containsBlanks" priority="117" dxfId="2" stopIfTrue="1">
      <formula>LEN(TRIM(Q177))=0</formula>
    </cfRule>
    <cfRule type="cellIs" priority="118" dxfId="1" operator="between" stopIfTrue="1">
      <formula>80.1</formula>
      <formula>100</formula>
    </cfRule>
    <cfRule type="cellIs" priority="119" dxfId="0" operator="between" stopIfTrue="1">
      <formula>35.1</formula>
      <formula>80</formula>
    </cfRule>
    <cfRule type="cellIs" priority="120" dxfId="22" operator="between" stopIfTrue="1">
      <formula>14.1</formula>
      <formula>35</formula>
    </cfRule>
    <cfRule type="cellIs" priority="121" dxfId="60" operator="between" stopIfTrue="1">
      <formula>5.1</formula>
      <formula>14</formula>
    </cfRule>
    <cfRule type="cellIs" priority="122" dxfId="21" operator="between" stopIfTrue="1">
      <formula>0</formula>
      <formula>5</formula>
    </cfRule>
    <cfRule type="containsBlanks" priority="123" dxfId="2" stopIfTrue="1">
      <formula>LEN(TRIM(Q177))=0</formula>
    </cfRule>
  </conditionalFormatting>
  <conditionalFormatting sqref="E12:Q16">
    <cfRule type="containsBlanks" priority="110" dxfId="2" stopIfTrue="1">
      <formula>LEN(TRIM(E12))=0</formula>
    </cfRule>
    <cfRule type="cellIs" priority="111" dxfId="1" operator="between" stopIfTrue="1">
      <formula>80.1</formula>
      <formula>100</formula>
    </cfRule>
    <cfRule type="cellIs" priority="112" dxfId="0" operator="between" stopIfTrue="1">
      <formula>35.1</formula>
      <formula>80</formula>
    </cfRule>
    <cfRule type="cellIs" priority="113" dxfId="22" operator="between" stopIfTrue="1">
      <formula>14.1</formula>
      <formula>35</formula>
    </cfRule>
    <cfRule type="cellIs" priority="114" dxfId="60" operator="between" stopIfTrue="1">
      <formula>5.1</formula>
      <formula>14</formula>
    </cfRule>
    <cfRule type="cellIs" priority="115" dxfId="21" operator="between" stopIfTrue="1">
      <formula>0</formula>
      <formula>5</formula>
    </cfRule>
    <cfRule type="containsBlanks" priority="116" dxfId="2" stopIfTrue="1">
      <formula>LEN(TRIM(E12))=0</formula>
    </cfRule>
  </conditionalFormatting>
  <conditionalFormatting sqref="E142:Q142">
    <cfRule type="containsBlanks" priority="73" dxfId="2" stopIfTrue="1">
      <formula>LEN(TRIM(E142))=0</formula>
    </cfRule>
    <cfRule type="cellIs" priority="74" dxfId="1" operator="between" stopIfTrue="1">
      <formula>80.1</formula>
      <formula>100</formula>
    </cfRule>
    <cfRule type="cellIs" priority="75" dxfId="0" operator="between" stopIfTrue="1">
      <formula>35.1</formula>
      <formula>80</formula>
    </cfRule>
    <cfRule type="cellIs" priority="76" dxfId="22" operator="between" stopIfTrue="1">
      <formula>14.1</formula>
      <formula>35</formula>
    </cfRule>
    <cfRule type="cellIs" priority="77" dxfId="60" operator="between" stopIfTrue="1">
      <formula>5.1</formula>
      <formula>14</formula>
    </cfRule>
    <cfRule type="cellIs" priority="78" dxfId="21" operator="between" stopIfTrue="1">
      <formula>0</formula>
      <formula>5</formula>
    </cfRule>
    <cfRule type="containsBlanks" priority="79" dxfId="2" stopIfTrue="1">
      <formula>LEN(TRIM(E142))=0</formula>
    </cfRule>
  </conditionalFormatting>
  <conditionalFormatting sqref="S142">
    <cfRule type="cellIs" priority="72" dxfId="25" operator="equal" stopIfTrue="1">
      <formula>"INVIABLE SANITARIAMENTE"</formula>
    </cfRule>
  </conditionalFormatting>
  <conditionalFormatting sqref="S142">
    <cfRule type="containsText" priority="67" dxfId="1" operator="containsText" stopIfTrue="1" text="INVIABLE SANITARIAMENTE">
      <formula>NOT(ISERROR(SEARCH("INVIABLE SANITARIAMENTE",S142)))</formula>
    </cfRule>
    <cfRule type="containsText" priority="68" dxfId="0" operator="containsText" stopIfTrue="1" text="ALTO">
      <formula>NOT(ISERROR(SEARCH("ALTO",S142)))</formula>
    </cfRule>
    <cfRule type="containsText" priority="69" dxfId="22" operator="containsText" stopIfTrue="1" text="MEDIO">
      <formula>NOT(ISERROR(SEARCH("MEDIO",S142)))</formula>
    </cfRule>
    <cfRule type="containsText" priority="70" dxfId="60" operator="containsText" stopIfTrue="1" text="BAJO">
      <formula>NOT(ISERROR(SEARCH("BAJO",S142)))</formula>
    </cfRule>
    <cfRule type="containsText" priority="71" dxfId="61" operator="containsText" stopIfTrue="1" text="SIN RIESGO">
      <formula>NOT(ISERROR(SEARCH("SIN RIESGO",S142)))</formula>
    </cfRule>
  </conditionalFormatting>
  <conditionalFormatting sqref="S142">
    <cfRule type="containsText" priority="66" dxfId="21" operator="containsText" stopIfTrue="1" text="SIN RIESGO">
      <formula>NOT(ISERROR(SEARCH("SIN RIESGO",S142)))</formula>
    </cfRule>
  </conditionalFormatting>
  <conditionalFormatting sqref="R142">
    <cfRule type="cellIs" priority="65" dxfId="29" operator="equal" stopIfTrue="1">
      <formula>"NO"</formula>
    </cfRule>
  </conditionalFormatting>
  <conditionalFormatting sqref="R164">
    <cfRule type="cellIs" priority="50" dxfId="29" operator="equal" stopIfTrue="1">
      <formula>"NO"</formula>
    </cfRule>
  </conditionalFormatting>
  <conditionalFormatting sqref="E164:Q164">
    <cfRule type="containsBlanks" priority="58" dxfId="2" stopIfTrue="1">
      <formula>LEN(TRIM(E164))=0</formula>
    </cfRule>
    <cfRule type="cellIs" priority="59" dxfId="1" operator="between" stopIfTrue="1">
      <formula>80.1</formula>
      <formula>100</formula>
    </cfRule>
    <cfRule type="cellIs" priority="60" dxfId="0" operator="between" stopIfTrue="1">
      <formula>35.1</formula>
      <formula>80</formula>
    </cfRule>
    <cfRule type="cellIs" priority="61" dxfId="22" operator="between" stopIfTrue="1">
      <formula>14.1</formula>
      <formula>35</formula>
    </cfRule>
    <cfRule type="cellIs" priority="62" dxfId="60" operator="between" stopIfTrue="1">
      <formula>5.1</formula>
      <formula>14</formula>
    </cfRule>
    <cfRule type="cellIs" priority="63" dxfId="21" operator="between" stopIfTrue="1">
      <formula>0</formula>
      <formula>5</formula>
    </cfRule>
    <cfRule type="containsBlanks" priority="64" dxfId="2" stopIfTrue="1">
      <formula>LEN(TRIM(E164))=0</formula>
    </cfRule>
  </conditionalFormatting>
  <conditionalFormatting sqref="S164">
    <cfRule type="cellIs" priority="57" dxfId="25" operator="equal" stopIfTrue="1">
      <formula>"INVIABLE SANITARIAMENTE"</formula>
    </cfRule>
  </conditionalFormatting>
  <conditionalFormatting sqref="S164">
    <cfRule type="containsText" priority="52" dxfId="1" operator="containsText" stopIfTrue="1" text="INVIABLE SANITARIAMENTE">
      <formula>NOT(ISERROR(SEARCH("INVIABLE SANITARIAMENTE",S164)))</formula>
    </cfRule>
    <cfRule type="containsText" priority="53" dxfId="0" operator="containsText" stopIfTrue="1" text="ALTO">
      <formula>NOT(ISERROR(SEARCH("ALTO",S164)))</formula>
    </cfRule>
    <cfRule type="containsText" priority="54" dxfId="22" operator="containsText" stopIfTrue="1" text="MEDIO">
      <formula>NOT(ISERROR(SEARCH("MEDIO",S164)))</formula>
    </cfRule>
    <cfRule type="containsText" priority="55" dxfId="60" operator="containsText" stopIfTrue="1" text="BAJO">
      <formula>NOT(ISERROR(SEARCH("BAJO",S164)))</formula>
    </cfRule>
    <cfRule type="containsText" priority="56" dxfId="61" operator="containsText" stopIfTrue="1" text="SIN RIESGO">
      <formula>NOT(ISERROR(SEARCH("SIN RIESGO",S164)))</formula>
    </cfRule>
  </conditionalFormatting>
  <conditionalFormatting sqref="S164">
    <cfRule type="containsText" priority="51" dxfId="21" operator="containsText" stopIfTrue="1" text="SIN RIESGO">
      <formula>NOT(ISERROR(SEARCH("SIN RIESGO",S164)))</formula>
    </cfRule>
  </conditionalFormatting>
  <conditionalFormatting sqref="Q107:Q115 E114:J115 P115 L114:P114 E107:P109 E110:H110 E111:P111 E113:P113 E112:H112 P112 J110:P110">
    <cfRule type="containsBlanks" priority="43" dxfId="2" stopIfTrue="1">
      <formula>LEN(TRIM(E107))=0</formula>
    </cfRule>
    <cfRule type="cellIs" priority="44" dxfId="1" operator="between" stopIfTrue="1">
      <formula>80.1</formula>
      <formula>100</formula>
    </cfRule>
    <cfRule type="cellIs" priority="45" dxfId="0" operator="between" stopIfTrue="1">
      <formula>35.1</formula>
      <formula>80</formula>
    </cfRule>
    <cfRule type="cellIs" priority="46" dxfId="22" operator="between" stopIfTrue="1">
      <formula>14.1</formula>
      <formula>35</formula>
    </cfRule>
    <cfRule type="cellIs" priority="47" dxfId="60" operator="between" stopIfTrue="1">
      <formula>5.1</formula>
      <formula>14</formula>
    </cfRule>
    <cfRule type="cellIs" priority="48" dxfId="21" operator="between" stopIfTrue="1">
      <formula>0</formula>
      <formula>5</formula>
    </cfRule>
    <cfRule type="containsBlanks" priority="49" dxfId="2" stopIfTrue="1">
      <formula>LEN(TRIM(E107))=0</formula>
    </cfRule>
  </conditionalFormatting>
  <conditionalFormatting sqref="E107:P107">
    <cfRule type="containsBlanks" priority="36" dxfId="2" stopIfTrue="1">
      <formula>LEN(TRIM(E107))=0</formula>
    </cfRule>
    <cfRule type="cellIs" priority="37" dxfId="1" operator="between" stopIfTrue="1">
      <formula>80.1</formula>
      <formula>100</formula>
    </cfRule>
    <cfRule type="cellIs" priority="38" dxfId="0" operator="between" stopIfTrue="1">
      <formula>35.1</formula>
      <formula>80</formula>
    </cfRule>
    <cfRule type="cellIs" priority="39" dxfId="22" operator="between" stopIfTrue="1">
      <formula>14.1</formula>
      <formula>35</formula>
    </cfRule>
    <cfRule type="cellIs" priority="40" dxfId="60" operator="between" stopIfTrue="1">
      <formula>5.1</formula>
      <formula>14</formula>
    </cfRule>
    <cfRule type="cellIs" priority="41" dxfId="21" operator="between" stopIfTrue="1">
      <formula>0</formula>
      <formula>5</formula>
    </cfRule>
    <cfRule type="containsBlanks" priority="42" dxfId="2" stopIfTrue="1">
      <formula>LEN(TRIM(E107))=0</formula>
    </cfRule>
  </conditionalFormatting>
  <conditionalFormatting sqref="K112:L112">
    <cfRule type="containsBlanks" priority="29" dxfId="2" stopIfTrue="1">
      <formula>LEN(TRIM(K112))=0</formula>
    </cfRule>
    <cfRule type="cellIs" priority="30" dxfId="1" operator="between" stopIfTrue="1">
      <formula>80.1</formula>
      <formula>100</formula>
    </cfRule>
    <cfRule type="cellIs" priority="31" dxfId="0" operator="between" stopIfTrue="1">
      <formula>35.1</formula>
      <formula>80</formula>
    </cfRule>
    <cfRule type="cellIs" priority="32" dxfId="22" operator="between" stopIfTrue="1">
      <formula>14.1</formula>
      <formula>35</formula>
    </cfRule>
    <cfRule type="cellIs" priority="33" dxfId="60" operator="between" stopIfTrue="1">
      <formula>5.1</formula>
      <formula>14</formula>
    </cfRule>
    <cfRule type="cellIs" priority="34" dxfId="21" operator="between" stopIfTrue="1">
      <formula>0</formula>
      <formula>5</formula>
    </cfRule>
    <cfRule type="containsBlanks" priority="35" dxfId="2" stopIfTrue="1">
      <formula>LEN(TRIM(K112))=0</formula>
    </cfRule>
  </conditionalFormatting>
  <conditionalFormatting sqref="J112">
    <cfRule type="containsBlanks" priority="22" dxfId="2" stopIfTrue="1">
      <formula>LEN(TRIM(J112))=0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22" operator="between" stopIfTrue="1">
      <formula>14.1</formula>
      <formula>35</formula>
    </cfRule>
    <cfRule type="cellIs" priority="26" dxfId="60" operator="between" stopIfTrue="1">
      <formula>5.1</formula>
      <formula>14</formula>
    </cfRule>
    <cfRule type="cellIs" priority="27" dxfId="21" operator="between" stopIfTrue="1">
      <formula>0</formula>
      <formula>5</formula>
    </cfRule>
    <cfRule type="containsBlanks" priority="28" dxfId="2" stopIfTrue="1">
      <formula>LEN(TRIM(J112))=0</formula>
    </cfRule>
  </conditionalFormatting>
  <conditionalFormatting sqref="M112:O112">
    <cfRule type="containsBlanks" priority="15" dxfId="2" stopIfTrue="1">
      <formula>LEN(TRIM(M112))=0</formula>
    </cfRule>
    <cfRule type="cellIs" priority="16" dxfId="1" operator="between" stopIfTrue="1">
      <formula>80.1</formula>
      <formula>100</formula>
    </cfRule>
    <cfRule type="cellIs" priority="17" dxfId="0" operator="between" stopIfTrue="1">
      <formula>35.1</formula>
      <formula>80</formula>
    </cfRule>
    <cfRule type="cellIs" priority="18" dxfId="22" operator="between" stopIfTrue="1">
      <formula>14.1</formula>
      <formula>35</formula>
    </cfRule>
    <cfRule type="cellIs" priority="19" dxfId="60" operator="between" stopIfTrue="1">
      <formula>5.1</formula>
      <formula>14</formula>
    </cfRule>
    <cfRule type="cellIs" priority="20" dxfId="21" operator="between" stopIfTrue="1">
      <formula>0</formula>
      <formula>5</formula>
    </cfRule>
    <cfRule type="containsBlanks" priority="21" dxfId="2" stopIfTrue="1">
      <formula>LEN(TRIM(M112))=0</formula>
    </cfRule>
  </conditionalFormatting>
  <conditionalFormatting sqref="I112">
    <cfRule type="containsBlanks" priority="8" dxfId="2" stopIfTrue="1">
      <formula>LEN(TRIM(I112))=0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22" operator="between" stopIfTrue="1">
      <formula>14.1</formula>
      <formula>35</formula>
    </cfRule>
    <cfRule type="cellIs" priority="12" dxfId="60" operator="between" stopIfTrue="1">
      <formula>5.1</formula>
      <formula>14</formula>
    </cfRule>
    <cfRule type="cellIs" priority="13" dxfId="21" operator="between" stopIfTrue="1">
      <formula>0</formula>
      <formula>5</formula>
    </cfRule>
    <cfRule type="containsBlanks" priority="14" dxfId="2" stopIfTrue="1">
      <formula>LEN(TRIM(I112))=0</formula>
    </cfRule>
  </conditionalFormatting>
  <conditionalFormatting sqref="K115:O115">
    <cfRule type="containsBlanks" priority="1" dxfId="2" stopIfTrue="1">
      <formula>LEN(TRIM(K115))=0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22" operator="between" stopIfTrue="1">
      <formula>14.1</formula>
      <formula>35</formula>
    </cfRule>
    <cfRule type="cellIs" priority="5" dxfId="60" operator="between" stopIfTrue="1">
      <formula>5.1</formula>
      <formula>14</formula>
    </cfRule>
    <cfRule type="cellIs" priority="6" dxfId="21" operator="between" stopIfTrue="1">
      <formula>0</formula>
      <formula>5</formula>
    </cfRule>
    <cfRule type="containsBlanks" priority="7" dxfId="2" stopIfTrue="1">
      <formula>LEN(TRIM(K115))=0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2020-04-22T20:07:55Z</cp:lastPrinted>
  <dcterms:created xsi:type="dcterms:W3CDTF">2009-11-03T22:41:49Z</dcterms:created>
  <dcterms:modified xsi:type="dcterms:W3CDTF">2021-12-28T21:47:54Z</dcterms:modified>
  <cp:category/>
  <cp:version/>
  <cp:contentType/>
  <cp:contentStatus/>
</cp:coreProperties>
</file>