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1670" windowHeight="9390" activeTab="0"/>
  </bookViews>
  <sheets>
    <sheet name="201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'2019'!$1:$9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  <author>JOHN TABARES</author>
  </authors>
  <commentList>
    <comment ref="C11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  <comment ref="D1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6197</t>
        </r>
      </text>
    </comment>
    <comment ref="D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1363</t>
        </r>
      </text>
    </comment>
    <comment ref="D3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19877</t>
        </r>
      </text>
    </comment>
    <comment ref="D45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Anurio Estadistoco: 20677</t>
        </r>
      </text>
    </comment>
    <comment ref="D5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1939</t>
        </r>
      </text>
    </comment>
    <comment ref="D5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5708</t>
        </r>
      </text>
    </comment>
    <comment ref="D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2705</t>
        </r>
      </text>
    </comment>
    <comment ref="D7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Estadistoo: 8094</t>
        </r>
      </text>
    </comment>
    <comment ref="D74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Estadistoco: 6982</t>
        </r>
      </text>
    </comment>
    <comment ref="D8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2758</t>
        </r>
      </text>
    </comment>
    <comment ref="D8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564</t>
        </r>
      </text>
    </comment>
    <comment ref="D9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Totala Anuario Estadistico: 2126</t>
        </r>
      </text>
    </comment>
    <comment ref="D9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15998</t>
        </r>
      </text>
    </comment>
    <comment ref="D10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2193</t>
        </r>
      </text>
    </comment>
    <comment ref="D107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13045</t>
        </r>
      </text>
    </comment>
    <comment ref="D12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1026</t>
        </r>
      </text>
    </comment>
    <comment ref="D1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4137</t>
        </r>
      </text>
    </comment>
    <comment ref="D13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2044</t>
        </r>
      </text>
    </comment>
    <comment ref="D14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ES: 2193</t>
        </r>
      </text>
    </comment>
    <comment ref="D16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3650</t>
        </r>
      </text>
    </comment>
    <comment ref="D1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1404</t>
        </r>
      </text>
    </comment>
    <comment ref="D17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671</t>
        </r>
      </text>
    </comment>
    <comment ref="D17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8804</t>
        </r>
      </text>
    </comment>
    <comment ref="D18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2856</t>
        </r>
      </text>
    </comment>
  </commentList>
</comments>
</file>

<file path=xl/sharedStrings.xml><?xml version="1.0" encoding="utf-8"?>
<sst xmlns="http://schemas.openxmlformats.org/spreadsheetml/2006/main" count="588" uniqueCount="335">
  <si>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</si>
  <si>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</si>
  <si>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</si>
  <si>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</si>
  <si>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</si>
  <si>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</si>
  <si>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</si>
  <si>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</si>
  <si>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</si>
  <si>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</si>
  <si>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</si>
  <si>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Batallón Militar Rifles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</si>
  <si>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</si>
  <si>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</si>
  <si>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</si>
  <si>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</si>
  <si>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</si>
  <si>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</si>
  <si>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</si>
  <si>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</si>
  <si>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</si>
  <si>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</si>
  <si>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</si>
  <si>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</si>
  <si>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</si>
  <si>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</si>
  <si>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</si>
  <si>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</si>
  <si>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</si>
  <si>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</si>
  <si>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</si>
  <si>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</si>
  <si>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</si>
  <si>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</si>
  <si>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</si>
  <si>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</si>
  <si>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</si>
  <si>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</si>
  <si>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</si>
  <si>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</si>
  <si>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</si>
  <si>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</si>
  <si>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</si>
  <si>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</si>
  <si>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</si>
  <si>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</si>
  <si>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</si>
  <si>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</si>
  <si>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</si>
  <si>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</si>
  <si>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</si>
  <si>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</si>
  <si>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</si>
  <si>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</si>
  <si>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</si>
  <si>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</si>
  <si>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</si>
  <si>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</si>
  <si>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</si>
  <si>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</si>
  <si>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</si>
  <si>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</si>
  <si>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</si>
  <si>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</si>
  <si>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</si>
  <si>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</si>
  <si>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</si>
  <si>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</si>
  <si>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</si>
  <si>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</si>
  <si>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</si>
  <si>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</si>
  <si>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</si>
  <si>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</si>
  <si>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</si>
  <si>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</si>
  <si>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</si>
  <si>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</si>
  <si>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</si>
  <si>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</si>
  <si>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</si>
  <si>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</si>
  <si>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</si>
  <si>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</si>
  <si>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</si>
  <si>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</si>
  <si>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</si>
  <si>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</si>
  <si>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</si>
  <si>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</si>
  <si>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</si>
  <si>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</si>
  <si>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</si>
  <si>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</si>
  <si>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</si>
  <si>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</si>
  <si>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</si>
  <si>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</si>
  <si>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</si>
  <si>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</si>
  <si>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</si>
  <si>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</si>
  <si>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</si>
  <si>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</si>
  <si>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</si>
  <si>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</si>
  <si>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</si>
  <si>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</si>
  <si>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</si>
  <si>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</si>
  <si>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</si>
  <si>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</si>
  <si>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</si>
  <si>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</si>
  <si>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</si>
  <si>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</si>
  <si>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</si>
  <si>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</si>
  <si>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</si>
  <si>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</si>
  <si>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</si>
  <si>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</si>
  <si>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</si>
  <si>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</si>
  <si>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</si>
  <si>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</si>
  <si>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</si>
  <si>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</si>
  <si>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</si>
  <si>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</si>
  <si>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</si>
  <si>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</si>
  <si>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</si>
  <si>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</si>
  <si>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</si>
  <si>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</si>
  <si>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</si>
  <si>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</si>
  <si>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</si>
  <si>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</si>
  <si>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</si>
  <si>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</si>
  <si>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</si>
  <si>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</si>
  <si>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</si>
  <si>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</si>
  <si>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</si>
  <si>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</si>
  <si>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</si>
  <si>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</si>
  <si>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</si>
  <si>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</si>
  <si>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</si>
  <si>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</si>
  <si>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</si>
  <si>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</si>
  <si>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</si>
  <si>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</si>
  <si>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</si>
  <si>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</si>
  <si>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</si>
  <si>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</si>
  <si>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</si>
  <si>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</si>
  <si>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</si>
  <si>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</si>
  <si>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</si>
  <si>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</si>
  <si>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</si>
  <si>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</si>
  <si>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</si>
  <si>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</si>
  <si>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</si>
  <si>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</si>
  <si>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</si>
  <si>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</si>
  <si>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</si>
  <si>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</si>
  <si>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</si>
  <si>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</si>
  <si>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</si>
  <si>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</si>
  <si>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</si>
  <si>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</si>
  <si>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</si>
  <si>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</si>
  <si>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</si>
  <si>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</si>
  <si>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</si>
  <si>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</si>
  <si>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</si>
  <si>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</si>
  <si>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</si>
  <si>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</si>
  <si>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</si>
  <si>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</si>
  <si>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</si>
  <si>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</si>
  <si>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</si>
  <si>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</si>
  <si>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</si>
  <si>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</si>
  <si>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</si>
  <si>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</si>
  <si>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</si>
  <si>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</si>
  <si>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</si>
  <si>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</si>
  <si>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</si>
  <si>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</si>
  <si>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</si>
  <si>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</si>
  <si>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</si>
  <si>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</si>
  <si>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</si>
  <si>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</si>
  <si>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</si>
  <si>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</si>
  <si>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</si>
  <si>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</si>
  <si>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</si>
  <si>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</si>
  <si>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</si>
  <si>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</si>
  <si>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</si>
  <si>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</si>
  <si>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</si>
  <si>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</si>
  <si>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</si>
  <si>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</si>
  <si>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</si>
  <si>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</si>
  <si>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</si>
  <si>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</si>
  <si>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</si>
  <si>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</si>
  <si>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</si>
  <si>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</si>
  <si>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</si>
  <si>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</si>
  <si>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</si>
  <si>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</si>
  <si>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</si>
  <si>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</si>
  <si>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</si>
  <si>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</si>
  <si>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</si>
  <si>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</si>
  <si>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</si>
  <si>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</si>
  <si>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</si>
  <si>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</si>
  <si>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</si>
  <si>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</si>
  <si>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</si>
  <si>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</si>
  <si>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</si>
  <si>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</si>
  <si>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</si>
  <si>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</si>
  <si>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</si>
  <si>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</si>
  <si>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</si>
  <si>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</si>
  <si>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</si>
  <si>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</si>
  <si>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</si>
  <si>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</si>
  <si>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</si>
  <si>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</si>
  <si>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</si>
  <si>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</si>
  <si>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</si>
  <si>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</si>
  <si>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</si>
  <si>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</si>
  <si>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</si>
  <si>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</si>
  <si>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</si>
  <si>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</si>
  <si>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</si>
  <si>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</si>
  <si>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</si>
  <si>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</si>
  <si>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</si>
  <si>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</si>
  <si>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</si>
  <si>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</si>
  <si>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</si>
  <si>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</si>
  <si>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</si>
  <si>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</si>
  <si>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</si>
  <si>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</si>
  <si>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</si>
  <si>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CONSOLIDADO  INDICE DE RIESGO DE CALIDAD DEL AGUA PARA CONSUMO HUMANO - IRCA MENSUAL ACUEDUCTOS URBANOS -  ANTIOQUIA 2019</t>
  </si>
  <si>
    <t>Acueductos y Alcantarillados Sostenibles S.A. E.S.P (Enero a Mayo 2019) - Empresa de Servicios Públlicos de Anori S:A E.S.P (Junio a Diciembre de 2019)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</si>
  <si>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</si>
  <si>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</si>
  <si>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</si>
  <si>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</si>
  <si>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</si>
  <si>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</si>
  <si>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</si>
  <si>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</si>
  <si>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</si>
  <si>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Juta de Acciòn Comunal Vereda El  Requintadero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</si>
  <si>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</si>
  <si>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</si>
  <si>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</si>
  <si>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</si>
  <si>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</si>
  <si>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</si>
  <si>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</si>
  <si>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E.S.P.. - Sistema Pozo 9</t>
  </si>
  <si>
    <t>Aguascol  Arbelaez S.A. E.S.P. - Sistema Pozo 10</t>
  </si>
  <si>
    <t>Aguascol  Arbelaez S.A. E.S.P.. - Sistema Pozo 11</t>
  </si>
  <si>
    <t>Sistemas Públicos - SISPUB  S.A. E.S.P. (Enero a Agosto 2019( - Municipio Necocli ( Septiembre a Diciembre de 2019)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</si>
  <si>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</si>
  <si>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</si>
  <si>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</si>
  <si>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</si>
  <si>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</si>
  <si>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</si>
  <si>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</si>
  <si>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</si>
  <si>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</si>
  <si>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</si>
  <si>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</si>
  <si>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</si>
  <si>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(*): Los municipios de Murindo y Vigial del Fuerte para la vigencia 2019 no contaban con sistemas de acueducto operando en el casco urbano.</t>
  </si>
  <si>
    <t>PROGRAMA DE VIGILANCIA DE LA CALIDAD DEL AGUA PARA CONSUMO HUMANO Y USO RECREATIVO</t>
  </si>
  <si>
    <t>% IRCA PROMEDIO ENERO - DIC /2019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</si>
  <si>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para Consumo Humano Suministrada. </t>
    </r>
  </si>
  <si>
    <t>DIRECCION FACTORES DE RIESGO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</si>
</sst>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6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8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89" fontId="10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2" fontId="3" fillId="36" borderId="13" xfId="0" applyNumberFormat="1" applyFont="1" applyFill="1" applyBorder="1" applyAlignment="1">
      <alignment horizontal="center" vertical="center"/>
    </xf>
    <xf numFmtId="189" fontId="3" fillId="37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6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38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top"/>
    </xf>
    <xf numFmtId="189" fontId="10" fillId="36" borderId="13" xfId="0" applyNumberFormat="1" applyFont="1" applyFill="1" applyBorder="1" applyAlignment="1">
      <alignment horizontal="center" vertical="center"/>
    </xf>
    <xf numFmtId="2" fontId="10" fillId="39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6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2" fillId="37" borderId="13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2" fontId="0" fillId="37" borderId="17" xfId="0" applyNumberFormat="1" applyFont="1" applyFill="1" applyBorder="1" applyAlignment="1">
      <alignment horizontal="center" vertical="center" wrapText="1"/>
    </xf>
    <xf numFmtId="2" fontId="0" fillId="37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6" fillId="43" borderId="13" xfId="0" applyFont="1" applyFill="1" applyBorder="1" applyAlignment="1">
      <alignment horizontal="center" vertical="center" wrapText="1"/>
    </xf>
    <xf numFmtId="0" fontId="16" fillId="44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2019</a:t>
            </a:r>
          </a:p>
        </c:rich>
      </c:tx>
      <c:layout>
        <c:manualLayout>
          <c:xMode val="factor"/>
          <c:yMode val="factor"/>
          <c:x val="-0.011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575"/>
          <c:w val="0.94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'2019'!$V$6:$V$14</c:f>
              <c:numCache/>
            </c:numRef>
          </c:val>
        </c:ser>
        <c:ser>
          <c:idx val="1"/>
          <c:order val="1"/>
          <c:tx>
            <c:strRef>
              <c:f>'2019'!$W$1:$W$5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'2019'!$W$6:$W$14</c:f>
              <c:numCache/>
            </c:numRef>
          </c:val>
        </c:ser>
        <c:overlap val="19"/>
        <c:gapWidth val="125"/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09677"/>
        <c:crossesAt val="0"/>
        <c:auto val="1"/>
        <c:lblOffset val="100"/>
        <c:tickLblSkip val="1"/>
        <c:noMultiLvlLbl val="0"/>
      </c:catAx>
      <c:valAx>
        <c:axId val="300967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2019</a:t>
            </a:r>
          </a:p>
        </c:rich>
      </c:tx>
      <c:layout>
        <c:manualLayout>
          <c:xMode val="factor"/>
          <c:yMode val="factor"/>
          <c:x val="0.017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2775"/>
          <c:w val="0.899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('2019'!$Y$15,'2019'!$AA$15,'2019'!$AC$15,'2019'!$AE$15,'2019'!$AG$15,'2019'!$AI$15)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('2019'!$X$15,'2019'!$Z$15,'2019'!$AB$15,'2019'!$AD$15,'2019'!$AF$15,'2019'!$AH$15)</c:f>
              <c:numCache/>
            </c:numRef>
          </c:val>
        </c:ser>
        <c:gapWidth val="114"/>
        <c:axId val="27087094"/>
        <c:axId val="42457255"/>
      </c:barChart>
      <c:catAx>
        <c:axId val="27087094"/>
        <c:scaling>
          <c:orientation val="minMax"/>
        </c:scaling>
        <c:axPos val="b"/>
        <c:delete val="1"/>
        <c:majorTickMark val="out"/>
        <c:minorTickMark val="none"/>
        <c:tickLblPos val="nextTo"/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0.8565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429500" y="5534025"/>
          <a:ext cx="352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0.95975</cdr:x>
      <cdr:y>0.8565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458075" y="5534025"/>
          <a:ext cx="3238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0.39725</cdr:y>
    </cdr:from>
    <cdr:to>
      <cdr:x>0.991</cdr:x>
      <cdr:y>0.62225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38925" y="2562225"/>
          <a:ext cx="10572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0.8775</cdr:x>
      <cdr:y>0.4635</cdr:y>
    </cdr:from>
    <cdr:to>
      <cdr:x>0.99575</cdr:x>
      <cdr:y>0.72275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19900" y="2990850"/>
          <a:ext cx="914400" cy="1676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0.96225</cdr:x>
      <cdr:y>0.5865</cdr:y>
    </cdr:from>
    <cdr:to>
      <cdr:x>0.99975</cdr:x>
      <cdr:y>0.763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77125" y="3790950"/>
          <a:ext cx="2952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0.77425</cdr:y>
    </cdr:from>
    <cdr:to>
      <cdr:x>0.9885</cdr:x>
      <cdr:y>0.9325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34225" y="5000625"/>
          <a:ext cx="542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1428750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638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16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1336000" y="5334000"/>
        <a:ext cx="777240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16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9136975" y="5334000"/>
        <a:ext cx="7734300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-ACUEDUCTOSRURALES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70" zoomScaleNormal="70" zoomScalePageLayoutView="40" workbookViewId="0" topLeftCell="A1">
      <selection activeCell="B21" sqref="B21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41" t="s">
        <v>14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U1" s="85" t="s">
        <v>160</v>
      </c>
      <c r="V1" s="86" t="s">
        <v>183</v>
      </c>
      <c r="W1" s="85" t="s">
        <v>161</v>
      </c>
      <c r="X1" s="86" t="s">
        <v>162</v>
      </c>
      <c r="Y1" s="85" t="s">
        <v>161</v>
      </c>
      <c r="Z1" s="86" t="s">
        <v>163</v>
      </c>
      <c r="AA1" s="85" t="s">
        <v>161</v>
      </c>
      <c r="AB1" s="86" t="s">
        <v>164</v>
      </c>
      <c r="AC1" s="85" t="s">
        <v>161</v>
      </c>
      <c r="AD1" s="86" t="s">
        <v>165</v>
      </c>
      <c r="AE1" s="85" t="s">
        <v>161</v>
      </c>
      <c r="AF1" s="86" t="s">
        <v>166</v>
      </c>
      <c r="AG1" s="85" t="s">
        <v>161</v>
      </c>
      <c r="AH1" s="86" t="s">
        <v>39</v>
      </c>
      <c r="AI1" s="85" t="s">
        <v>161</v>
      </c>
    </row>
    <row r="2" spans="3:35" ht="18">
      <c r="C2" s="42" t="s">
        <v>334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85"/>
      <c r="V2" s="86"/>
      <c r="W2" s="85"/>
      <c r="X2" s="86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</row>
    <row r="3" spans="3:35" ht="15" customHeight="1">
      <c r="C3" s="60" t="s">
        <v>331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U3" s="85"/>
      <c r="V3" s="86"/>
      <c r="W3" s="85"/>
      <c r="X3" s="86"/>
      <c r="Y3" s="85"/>
      <c r="Z3" s="86"/>
      <c r="AA3" s="85"/>
      <c r="AB3" s="86"/>
      <c r="AC3" s="85"/>
      <c r="AD3" s="86"/>
      <c r="AE3" s="85"/>
      <c r="AF3" s="86"/>
      <c r="AG3" s="85"/>
      <c r="AH3" s="86"/>
      <c r="AI3" s="85"/>
    </row>
    <row r="4" spans="2:35" ht="15" customHeight="1">
      <c r="B4" s="15"/>
      <c r="C4" s="57" t="s">
        <v>295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U4" s="85"/>
      <c r="V4" s="86"/>
      <c r="W4" s="85"/>
      <c r="X4" s="86"/>
      <c r="Y4" s="85"/>
      <c r="Z4" s="86"/>
      <c r="AA4" s="85"/>
      <c r="AB4" s="86"/>
      <c r="AC4" s="85"/>
      <c r="AD4" s="86"/>
      <c r="AE4" s="85"/>
      <c r="AF4" s="86"/>
      <c r="AG4" s="85"/>
      <c r="AH4" s="86"/>
      <c r="AI4" s="85"/>
    </row>
    <row r="5" spans="2:35" ht="12.75" customHeight="1">
      <c r="B5" s="30"/>
      <c r="C5" s="67" t="s">
        <v>282</v>
      </c>
      <c r="D5" s="82" t="s">
        <v>39</v>
      </c>
      <c r="E5" s="82"/>
      <c r="F5" s="83" t="s">
        <v>283</v>
      </c>
      <c r="G5" s="83"/>
      <c r="H5" s="83"/>
      <c r="I5" s="84" t="s">
        <v>284</v>
      </c>
      <c r="J5" s="84"/>
      <c r="K5" s="84"/>
      <c r="L5" s="68" t="s">
        <v>288</v>
      </c>
      <c r="M5" s="68"/>
      <c r="N5" s="68"/>
      <c r="O5" s="87" t="s">
        <v>285</v>
      </c>
      <c r="P5" s="87"/>
      <c r="Q5" s="87"/>
      <c r="R5" s="88" t="s">
        <v>286</v>
      </c>
      <c r="S5" s="88"/>
      <c r="U5" s="85"/>
      <c r="V5" s="86"/>
      <c r="W5" s="85"/>
      <c r="X5" s="86"/>
      <c r="Y5" s="85"/>
      <c r="Z5" s="86"/>
      <c r="AA5" s="85"/>
      <c r="AB5" s="86"/>
      <c r="AC5" s="85"/>
      <c r="AD5" s="86"/>
      <c r="AE5" s="85"/>
      <c r="AF5" s="86"/>
      <c r="AG5" s="85"/>
      <c r="AH5" s="86"/>
      <c r="AI5" s="85"/>
    </row>
    <row r="6" spans="2:35" ht="24.75" customHeight="1">
      <c r="B6" s="30"/>
      <c r="C6" s="67"/>
      <c r="D6" s="82"/>
      <c r="E6" s="82"/>
      <c r="F6" s="83"/>
      <c r="G6" s="83"/>
      <c r="H6" s="83"/>
      <c r="I6" s="84"/>
      <c r="J6" s="84"/>
      <c r="K6" s="84"/>
      <c r="L6" s="68"/>
      <c r="M6" s="68"/>
      <c r="N6" s="68"/>
      <c r="O6" s="87"/>
      <c r="P6" s="87"/>
      <c r="Q6" s="87"/>
      <c r="R6" s="88"/>
      <c r="S6" s="88"/>
      <c r="U6" s="21" t="s">
        <v>167</v>
      </c>
      <c r="V6" s="22">
        <f>COUNTIF('2019'!A:A,"Valle de Aburra")-_xlfn.COUNTIFS('2019'!A:A,"Valle de Aburra",'2019'!C:C,"")</f>
        <v>20</v>
      </c>
      <c r="W6" s="23">
        <f>(V6/$V$15)*100</f>
        <v>11.560693641618498</v>
      </c>
      <c r="X6" s="22">
        <f>_xlfn.COUNTIFS('2019'!A:A,"Valle de Aburra",'2019'!S:S,"Sin Riesgo")</f>
        <v>19</v>
      </c>
      <c r="Y6" s="23">
        <f>(X6/V6)*100</f>
        <v>95</v>
      </c>
      <c r="Z6" s="22">
        <f>_xlfn.COUNTIFS('2019'!A:A,"Valle de Aburra",'2019'!S:S,"Bajo")</f>
        <v>1</v>
      </c>
      <c r="AA6" s="23">
        <f>(Z6/V6)*100</f>
        <v>5</v>
      </c>
      <c r="AB6" s="22">
        <f>_xlfn.COUNTIFS('2019'!A:A,"Valle de Aburra",'2019'!S:S,"Medio")</f>
        <v>0</v>
      </c>
      <c r="AC6" s="23">
        <f>(AB6/V6)*100</f>
        <v>0</v>
      </c>
      <c r="AD6" s="22">
        <f>_xlfn.COUNTIFS('2019'!A:A,"Valle de Aburra",'2019'!S:S,"Alto")</f>
        <v>0</v>
      </c>
      <c r="AE6" s="23">
        <f>(AD6/V6)*100</f>
        <v>0</v>
      </c>
      <c r="AF6" s="22">
        <f>_xlfn.COUNTIFS('2019'!A:A,"Valle de Aburra",'2019'!S:S,"Inviable Sanitariamente")</f>
        <v>0</v>
      </c>
      <c r="AG6" s="23">
        <f>(AF6/V6)*100</f>
        <v>0</v>
      </c>
      <c r="AH6" s="24">
        <f>V6-(X6+Z6+AB6+AD6+AF6)</f>
        <v>0</v>
      </c>
      <c r="AI6" s="23">
        <f>(AH6/V6)*100</f>
        <v>0</v>
      </c>
    </row>
    <row r="7" spans="2:35" ht="24.75" customHeight="1">
      <c r="B7" s="31"/>
      <c r="C7" s="31"/>
      <c r="D7" s="32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U7" s="25" t="s">
        <v>329</v>
      </c>
      <c r="V7" s="22">
        <f>COUNTIF('2019'!A:A,"Uraba")-_xlfn.COUNTIFS('2019'!A:A,"Uraba",'2019'!C:C,"")</f>
        <v>9</v>
      </c>
      <c r="W7" s="23">
        <f aca="true" t="shared" si="0" ref="W7:W15">(V7/$V$15)*100</f>
        <v>5.202312138728324</v>
      </c>
      <c r="X7" s="22">
        <f>_xlfn.COUNTIFS('2019'!A:A,"Uraba",'2019'!S:S,"Sin Riesgo")</f>
        <v>8</v>
      </c>
      <c r="Y7" s="23">
        <f aca="true" t="shared" si="1" ref="Y7:Y15">(X7/V7)*100</f>
        <v>88.88888888888889</v>
      </c>
      <c r="Z7" s="22">
        <f>_xlfn.COUNTIFS('2019'!A:A,"Uraba",'2019'!S:S,"Bajo")</f>
        <v>1</v>
      </c>
      <c r="AA7" s="23">
        <f aca="true" t="shared" si="2" ref="AA7:AA15">(Z7/V7)*100</f>
        <v>11.11111111111111</v>
      </c>
      <c r="AB7" s="22">
        <f>_xlfn.COUNTIFS('2019'!A:A,"Uraba",'2019'!S:S,"Medio")</f>
        <v>0</v>
      </c>
      <c r="AC7" s="23">
        <f aca="true" t="shared" si="3" ref="AC7:AC15">(AB7/V7)*100</f>
        <v>0</v>
      </c>
      <c r="AD7" s="22">
        <f>_xlfn.COUNTIFS('2019'!A:A,"Uraba",'2019'!S:S,"Alto")</f>
        <v>0</v>
      </c>
      <c r="AE7" s="23">
        <f aca="true" t="shared" si="4" ref="AE7:AE15">(AD7/V7)*100</f>
        <v>0</v>
      </c>
      <c r="AF7" s="22">
        <f>_xlfn.COUNTIFS('2019'!A:A,"Uraba",'2019'!S:S,"Inviable Sanitariamente")</f>
        <v>0</v>
      </c>
      <c r="AG7" s="23">
        <f aca="true" t="shared" si="5" ref="AG7:AG15">(AF7/V7)*100</f>
        <v>0</v>
      </c>
      <c r="AH7" s="24">
        <f aca="true" t="shared" si="6" ref="AH7:AH15">V7-(X7+Z7+AB7+AD7+AF7)</f>
        <v>0</v>
      </c>
      <c r="AI7" s="23">
        <f aca="true" t="shared" si="7" ref="AI7:AI15">(AH7/V7)*100</f>
        <v>0</v>
      </c>
    </row>
    <row r="8" spans="1:35" ht="24.75" customHeight="1">
      <c r="A8" s="63" t="s">
        <v>169</v>
      </c>
      <c r="B8" s="64" t="s">
        <v>0</v>
      </c>
      <c r="C8" s="65" t="s">
        <v>287</v>
      </c>
      <c r="D8" s="71" t="s">
        <v>24</v>
      </c>
      <c r="E8" s="75">
        <v>2019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80" t="s">
        <v>332</v>
      </c>
      <c r="R8" s="78" t="s">
        <v>10</v>
      </c>
      <c r="S8" s="65" t="s">
        <v>13</v>
      </c>
      <c r="T8" s="1"/>
      <c r="U8" s="26" t="s">
        <v>174</v>
      </c>
      <c r="V8" s="22">
        <f>COUNTIF('2019'!A:A,"Norte")-_xlfn.COUNTIFS('2019'!A:A,"Norte",'2019'!C:C,"")</f>
        <v>20</v>
      </c>
      <c r="W8" s="23">
        <f t="shared" si="0"/>
        <v>11.560693641618498</v>
      </c>
      <c r="X8" s="22">
        <f>_xlfn.COUNTIFS('2019'!A:A,"Norte",'2019'!S:S,"Sin Riesgo")</f>
        <v>17</v>
      </c>
      <c r="Y8" s="23">
        <f t="shared" si="1"/>
        <v>85</v>
      </c>
      <c r="Z8" s="22">
        <f>_xlfn.COUNTIFS('2019'!A:A,"Norte",'2019'!S:S,"Bajo")</f>
        <v>0</v>
      </c>
      <c r="AA8" s="23">
        <f t="shared" si="2"/>
        <v>0</v>
      </c>
      <c r="AB8" s="22">
        <f>_xlfn.COUNTIFS('2019'!A:A,"Norte",'2019'!S:S,"Medio")</f>
        <v>1</v>
      </c>
      <c r="AC8" s="23">
        <f t="shared" si="3"/>
        <v>5</v>
      </c>
      <c r="AD8" s="22">
        <f>_xlfn.COUNTIFS('2019'!A:A,"Norte",'2019'!S:S,"Alto")</f>
        <v>1</v>
      </c>
      <c r="AE8" s="23">
        <f t="shared" si="4"/>
        <v>5</v>
      </c>
      <c r="AF8" s="22">
        <f>_xlfn.COUNTIFS('2019'!A:A,"Norte",'2019'!S:S,"Inviable Sanitariamente")</f>
        <v>1</v>
      </c>
      <c r="AG8" s="23">
        <f t="shared" si="5"/>
        <v>5</v>
      </c>
      <c r="AH8" s="24">
        <f t="shared" si="6"/>
        <v>0</v>
      </c>
      <c r="AI8" s="23">
        <f t="shared" si="7"/>
        <v>0</v>
      </c>
    </row>
    <row r="9" spans="1:35" ht="24.75" customHeight="1">
      <c r="A9" s="63"/>
      <c r="B9" s="63"/>
      <c r="C9" s="66"/>
      <c r="D9" s="72"/>
      <c r="E9" s="16" t="s">
        <v>23</v>
      </c>
      <c r="F9" s="16" t="s">
        <v>22</v>
      </c>
      <c r="G9" s="16" t="s">
        <v>21</v>
      </c>
      <c r="H9" s="16" t="s">
        <v>1</v>
      </c>
      <c r="I9" s="16" t="s">
        <v>2</v>
      </c>
      <c r="J9" s="16" t="s">
        <v>20</v>
      </c>
      <c r="K9" s="16" t="s">
        <v>3</v>
      </c>
      <c r="L9" s="17" t="s">
        <v>4</v>
      </c>
      <c r="M9" s="16" t="s">
        <v>5</v>
      </c>
      <c r="N9" s="16" t="s">
        <v>6</v>
      </c>
      <c r="O9" s="16" t="s">
        <v>7</v>
      </c>
      <c r="P9" s="16" t="s">
        <v>8</v>
      </c>
      <c r="Q9" s="81"/>
      <c r="R9" s="79"/>
      <c r="S9" s="66"/>
      <c r="T9" s="1"/>
      <c r="U9" s="26" t="s">
        <v>171</v>
      </c>
      <c r="V9" s="22">
        <f>COUNTIF('2019'!A:A,"Occidente")-_xlfn.COUNTIFS('2019'!A:A,"Occidente",'2019'!C:C,"")</f>
        <v>24</v>
      </c>
      <c r="W9" s="23">
        <f t="shared" si="0"/>
        <v>13.872832369942195</v>
      </c>
      <c r="X9" s="22">
        <f>_xlfn.COUNTIFS('2019'!A:A,"Occidente",'2019'!S:S,"Sin Riesgo")</f>
        <v>21</v>
      </c>
      <c r="Y9" s="23">
        <f t="shared" si="1"/>
        <v>87.5</v>
      </c>
      <c r="Z9" s="22">
        <f>_xlfn.COUNTIFS('2019'!A:A,"Occidente",'2019'!S:S,"Bajo")</f>
        <v>1</v>
      </c>
      <c r="AA9" s="23">
        <f t="shared" si="2"/>
        <v>4.166666666666666</v>
      </c>
      <c r="AB9" s="22">
        <f>_xlfn.COUNTIFS('2019'!A:A,"Occidente",'2019'!S:S,"Medio")</f>
        <v>0</v>
      </c>
      <c r="AC9" s="23">
        <f t="shared" si="3"/>
        <v>0</v>
      </c>
      <c r="AD9" s="22">
        <f>_xlfn.COUNTIFS('2019'!A:A,"Occidente",'2019'!S:S,"Alto")</f>
        <v>1</v>
      </c>
      <c r="AE9" s="23">
        <f t="shared" si="4"/>
        <v>4.166666666666666</v>
      </c>
      <c r="AF9" s="22">
        <f>_xlfn.COUNTIFS('2019'!A:A,"Occidente",'2019'!S:S,"Inviable Sanitariamente")</f>
        <v>1</v>
      </c>
      <c r="AG9" s="23">
        <f t="shared" si="5"/>
        <v>4.166666666666666</v>
      </c>
      <c r="AH9" s="24">
        <f t="shared" si="6"/>
        <v>0</v>
      </c>
      <c r="AI9" s="23">
        <f t="shared" si="7"/>
        <v>0</v>
      </c>
    </row>
    <row r="10" spans="1:35" ht="40.5" customHeight="1">
      <c r="A10" s="33" t="s">
        <v>170</v>
      </c>
      <c r="B10" s="37" t="s">
        <v>40</v>
      </c>
      <c r="C10" s="48" t="s">
        <v>185</v>
      </c>
      <c r="D10" s="34">
        <v>78</v>
      </c>
      <c r="E10" s="35">
        <v>0</v>
      </c>
      <c r="F10" s="35">
        <v>0</v>
      </c>
      <c r="G10" s="35">
        <v>0</v>
      </c>
      <c r="H10" s="35">
        <v>1.77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44">
        <v>0.15</v>
      </c>
      <c r="R10" s="36" t="str">
        <f>IF(Q10&lt;=5,"SI","NO")</f>
        <v>SI</v>
      </c>
      <c r="S10" s="36" t="str">
        <f>IF(Q10&lt;=5,"Sin Riesgo",IF(Q10&lt;=14,"Bajo",IF(Q10&lt;=35,"Medio",IF(Q10&lt;=80,"Alto","Inviable Sanitariamente"))))</f>
        <v>Sin Riesgo</v>
      </c>
      <c r="T10" s="2"/>
      <c r="U10" s="26" t="s">
        <v>172</v>
      </c>
      <c r="V10" s="22">
        <f>COUNTIF('2019'!A:A,"Suroeste")-_xlfn.COUNTIFS('2019'!A:A,"Suroeste",'2019'!C:C,"")</f>
        <v>29</v>
      </c>
      <c r="W10" s="23">
        <f t="shared" si="0"/>
        <v>16.76300578034682</v>
      </c>
      <c r="X10" s="22">
        <f>_xlfn.COUNTIFS('2019'!A:A,"Suroeste",'2019'!S:S,"Sin Riesgo")</f>
        <v>28</v>
      </c>
      <c r="Y10" s="23">
        <f t="shared" si="1"/>
        <v>96.55172413793103</v>
      </c>
      <c r="Z10" s="22">
        <f>_xlfn.COUNTIFS('2019'!A:A,"Suroeste",'2019'!S:S,"Bajo")</f>
        <v>1</v>
      </c>
      <c r="AA10" s="23">
        <f t="shared" si="2"/>
        <v>3.4482758620689653</v>
      </c>
      <c r="AB10" s="22">
        <f>_xlfn.COUNTIFS('2019'!A:A,"Suroeste",'2019'!S:S,"Medio")</f>
        <v>0</v>
      </c>
      <c r="AC10" s="23">
        <f t="shared" si="3"/>
        <v>0</v>
      </c>
      <c r="AD10" s="22">
        <f>_xlfn.COUNTIFS('2019'!A:A,"Suroeste",'2019'!S:S,"Alto")</f>
        <v>0</v>
      </c>
      <c r="AE10" s="23">
        <f t="shared" si="4"/>
        <v>0</v>
      </c>
      <c r="AF10" s="22">
        <f>_xlfn.COUNTIFS('2019'!A:A,"Suroeste",'2019'!S:S,"Inviable Sanitariamente")</f>
        <v>0</v>
      </c>
      <c r="AG10" s="23">
        <f t="shared" si="5"/>
        <v>0</v>
      </c>
      <c r="AH10" s="24">
        <f t="shared" si="6"/>
        <v>0</v>
      </c>
      <c r="AI10" s="23">
        <f t="shared" si="7"/>
        <v>0</v>
      </c>
    </row>
    <row r="11" spans="1:35" ht="36.75" customHeight="1">
      <c r="A11" s="33" t="s">
        <v>170</v>
      </c>
      <c r="B11" s="37" t="s">
        <v>40</v>
      </c>
      <c r="C11" s="48" t="s">
        <v>186</v>
      </c>
      <c r="D11" s="34">
        <v>2402</v>
      </c>
      <c r="E11" s="35">
        <v>0</v>
      </c>
      <c r="F11" s="35">
        <v>0</v>
      </c>
      <c r="G11" s="35">
        <v>0</v>
      </c>
      <c r="H11" s="35">
        <v>7.98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44">
        <v>0.68</v>
      </c>
      <c r="R11" s="36" t="str">
        <f aca="true" t="shared" si="8" ref="R11:R69">IF(Q11&lt;=5,"SI","NO")</f>
        <v>SI</v>
      </c>
      <c r="S11" s="36" t="str">
        <f aca="true" t="shared" si="9" ref="S11:S68">IF(Q11&lt;=5,"Sin Riesgo",IF(Q11&lt;=14,"Bajo",IF(Q11&lt;=35,"Medio",IF(Q11&lt;=80,"Alto","Inviable Sanitariamente"))))</f>
        <v>Sin Riesgo</v>
      </c>
      <c r="T11" s="2"/>
      <c r="U11" s="26" t="s">
        <v>176</v>
      </c>
      <c r="V11" s="22">
        <f>COUNTIF('2019'!A:A,"Bajo Cauca")-_xlfn.COUNTIFS('2019'!A:A,"Bajo Cauca",'2019'!C:C,"")</f>
        <v>17</v>
      </c>
      <c r="W11" s="23">
        <f t="shared" si="0"/>
        <v>9.826589595375722</v>
      </c>
      <c r="X11" s="22">
        <f>_xlfn.COUNTIFS('2019'!A:A,"Bajo Cauca",'2019'!S:S,"Sin Riesgo")</f>
        <v>12</v>
      </c>
      <c r="Y11" s="23">
        <f t="shared" si="1"/>
        <v>70.58823529411765</v>
      </c>
      <c r="Z11" s="22">
        <f>_xlfn.COUNTIFS('2019'!A:A,"Bajo Cauca",'2019'!S:S,"Bajo")</f>
        <v>1</v>
      </c>
      <c r="AA11" s="23">
        <f t="shared" si="2"/>
        <v>5.88235294117647</v>
      </c>
      <c r="AB11" s="22">
        <f>_xlfn.COUNTIFS('2019'!A:A,"Bajo Cauca",'2019'!S:S,"Medio")</f>
        <v>0</v>
      </c>
      <c r="AC11" s="23">
        <f t="shared" si="3"/>
        <v>0</v>
      </c>
      <c r="AD11" s="22">
        <f>_xlfn.COUNTIFS('2019'!A:A,"Bajo Cauca",'2019'!S:S,"Alto")</f>
        <v>2</v>
      </c>
      <c r="AE11" s="23">
        <f t="shared" si="4"/>
        <v>11.76470588235294</v>
      </c>
      <c r="AF11" s="22">
        <f>_xlfn.COUNTIFS('2019'!A:A,"Bajo Cauca",'2019'!S:S,"Inviable Sanitariamente")</f>
        <v>2</v>
      </c>
      <c r="AG11" s="23">
        <f t="shared" si="5"/>
        <v>11.76470588235294</v>
      </c>
      <c r="AH11" s="24">
        <f t="shared" si="6"/>
        <v>0</v>
      </c>
      <c r="AI11" s="23">
        <f t="shared" si="7"/>
        <v>0</v>
      </c>
    </row>
    <row r="12" spans="1:35" ht="32.25" customHeight="1">
      <c r="A12" s="33" t="s">
        <v>171</v>
      </c>
      <c r="B12" s="37" t="s">
        <v>41</v>
      </c>
      <c r="C12" s="48" t="s">
        <v>187</v>
      </c>
      <c r="D12" s="34">
        <v>283</v>
      </c>
      <c r="E12" s="38">
        <v>0</v>
      </c>
      <c r="F12" s="38">
        <v>0</v>
      </c>
      <c r="G12" s="38">
        <v>8.85</v>
      </c>
      <c r="H12" s="38">
        <v>0</v>
      </c>
      <c r="I12" s="38">
        <v>1.18</v>
      </c>
      <c r="J12" s="38">
        <v>0</v>
      </c>
      <c r="K12" s="38">
        <v>0</v>
      </c>
      <c r="L12" s="38">
        <v>0</v>
      </c>
      <c r="M12" s="38">
        <v>12.9</v>
      </c>
      <c r="N12" s="38">
        <v>8.85</v>
      </c>
      <c r="O12" s="38">
        <v>0</v>
      </c>
      <c r="P12" s="38">
        <v>8.85</v>
      </c>
      <c r="Q12" s="44">
        <v>3.39</v>
      </c>
      <c r="R12" s="36" t="str">
        <f t="shared" si="8"/>
        <v>SI</v>
      </c>
      <c r="S12" s="36" t="str">
        <f t="shared" si="9"/>
        <v>Sin Riesgo</v>
      </c>
      <c r="T12" s="2"/>
      <c r="U12" s="26" t="s">
        <v>177</v>
      </c>
      <c r="V12" s="22">
        <f>COUNTIF('2019'!A:A,"Magdalena Medio")-_xlfn.COUNTIFS('2019'!A:A,"Magdalena Medio",'2019'!C:C,"")</f>
        <v>6</v>
      </c>
      <c r="W12" s="23">
        <f t="shared" si="0"/>
        <v>3.4682080924855487</v>
      </c>
      <c r="X12" s="22">
        <f>_xlfn.COUNTIFS('2019'!A:A,"Magdalena Medio",'2019'!S:S,"Sin Riesgo")</f>
        <v>6</v>
      </c>
      <c r="Y12" s="23">
        <f t="shared" si="1"/>
        <v>100</v>
      </c>
      <c r="Z12" s="22">
        <f>_xlfn.COUNTIFS('2019'!A:A,"Magdalena Medio",'2019'!S:S,"Bajo")</f>
        <v>0</v>
      </c>
      <c r="AA12" s="23">
        <f t="shared" si="2"/>
        <v>0</v>
      </c>
      <c r="AB12" s="22">
        <f>_xlfn.COUNTIFS('2019'!A:A,"Magdalena Medio",'2019'!S:S,"Medio")</f>
        <v>0</v>
      </c>
      <c r="AC12" s="23">
        <f t="shared" si="3"/>
        <v>0</v>
      </c>
      <c r="AD12" s="22">
        <f>_xlfn.COUNTIFS('2019'!A:A,"Magdalena Medio",'2019'!S:S,"Alto")</f>
        <v>0</v>
      </c>
      <c r="AE12" s="23">
        <f t="shared" si="4"/>
        <v>0</v>
      </c>
      <c r="AF12" s="22">
        <f>_xlfn.COUNTIFS('2019'!A:A,"Magdalena Medio",'2019'!S:S,"Inviable Sanitariamente")</f>
        <v>0</v>
      </c>
      <c r="AG12" s="23">
        <f t="shared" si="5"/>
        <v>0</v>
      </c>
      <c r="AH12" s="24">
        <f t="shared" si="6"/>
        <v>0</v>
      </c>
      <c r="AI12" s="23">
        <f t="shared" si="7"/>
        <v>0</v>
      </c>
    </row>
    <row r="13" spans="1:35" ht="33.75" customHeight="1">
      <c r="A13" s="33" t="s">
        <v>170</v>
      </c>
      <c r="B13" s="37" t="s">
        <v>42</v>
      </c>
      <c r="C13" s="48" t="s">
        <v>188</v>
      </c>
      <c r="D13" s="34">
        <v>806</v>
      </c>
      <c r="E13" s="38">
        <v>0</v>
      </c>
      <c r="F13" s="38">
        <v>0</v>
      </c>
      <c r="G13" s="38">
        <v>0</v>
      </c>
      <c r="H13" s="38">
        <v>0</v>
      </c>
      <c r="I13" s="38">
        <v>1.53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45">
        <v>0.13</v>
      </c>
      <c r="R13" s="36" t="str">
        <f t="shared" si="8"/>
        <v>SI</v>
      </c>
      <c r="S13" s="36" t="str">
        <f t="shared" si="9"/>
        <v>Sin Riesgo</v>
      </c>
      <c r="T13" s="2"/>
      <c r="U13" s="26" t="s">
        <v>181</v>
      </c>
      <c r="V13" s="22">
        <f>COUNTIF('2019'!A:A,"Nordeste")-_xlfn.COUNTIFS('2019'!A:A,"Nordeste",'2019'!C:C,"")</f>
        <v>16</v>
      </c>
      <c r="W13" s="23">
        <f t="shared" si="0"/>
        <v>9.248554913294797</v>
      </c>
      <c r="X13" s="22">
        <f>_xlfn.COUNTIFS('2019'!A:A,"Nordeste",'2019'!S:S,"Sin Riesgo")</f>
        <v>10</v>
      </c>
      <c r="Y13" s="23">
        <f t="shared" si="1"/>
        <v>62.5</v>
      </c>
      <c r="Z13" s="22">
        <f>_xlfn.COUNTIFS('2019'!A:A,"Nordeste",'2019'!S:S,"Bajo")</f>
        <v>0</v>
      </c>
      <c r="AA13" s="23">
        <f t="shared" si="2"/>
        <v>0</v>
      </c>
      <c r="AB13" s="22">
        <f>_xlfn.COUNTIFS('2019'!A:A,"Nordeste",'2019'!S:S,"Medio")</f>
        <v>0</v>
      </c>
      <c r="AC13" s="23">
        <f t="shared" si="3"/>
        <v>0</v>
      </c>
      <c r="AD13" s="22">
        <f>_xlfn.COUNTIFS('2019'!A:A,"Nordeste",'2019'!S:S,"Alto")</f>
        <v>5</v>
      </c>
      <c r="AE13" s="23">
        <f t="shared" si="4"/>
        <v>31.25</v>
      </c>
      <c r="AF13" s="22">
        <f>_xlfn.COUNTIFS('2019'!A:A,"Nordeste",'2019'!S:S,"Inviable Sanitariamente")</f>
        <v>1</v>
      </c>
      <c r="AG13" s="23">
        <f t="shared" si="5"/>
        <v>6.25</v>
      </c>
      <c r="AH13" s="24">
        <f t="shared" si="6"/>
        <v>0</v>
      </c>
      <c r="AI13" s="23">
        <f t="shared" si="7"/>
        <v>0</v>
      </c>
    </row>
    <row r="14" spans="1:35" ht="24.75" customHeight="1">
      <c r="A14" s="33" t="s">
        <v>172</v>
      </c>
      <c r="B14" s="37" t="s">
        <v>43</v>
      </c>
      <c r="C14" s="48" t="s">
        <v>189</v>
      </c>
      <c r="D14" s="34">
        <v>4480</v>
      </c>
      <c r="E14" s="38">
        <v>8.85</v>
      </c>
      <c r="F14" s="38">
        <v>0</v>
      </c>
      <c r="G14" s="38">
        <v>1.17</v>
      </c>
      <c r="H14" s="38">
        <v>0</v>
      </c>
      <c r="I14" s="38">
        <v>1.17</v>
      </c>
      <c r="J14" s="38">
        <v>0</v>
      </c>
      <c r="K14" s="38">
        <v>0</v>
      </c>
      <c r="L14" s="38">
        <v>0</v>
      </c>
      <c r="M14" s="38">
        <v>0</v>
      </c>
      <c r="N14" s="38">
        <v>8.85</v>
      </c>
      <c r="O14" s="38">
        <v>0</v>
      </c>
      <c r="P14" s="38">
        <v>0</v>
      </c>
      <c r="Q14" s="45">
        <v>1.67</v>
      </c>
      <c r="R14" s="36" t="str">
        <f t="shared" si="8"/>
        <v>SI</v>
      </c>
      <c r="S14" s="36" t="str">
        <f t="shared" si="9"/>
        <v>Sin Riesgo</v>
      </c>
      <c r="T14" s="2"/>
      <c r="U14" s="26" t="s">
        <v>170</v>
      </c>
      <c r="V14" s="22">
        <f>COUNTIF('2019'!A:A,"Oriente")-_xlfn.COUNTIFS('2019'!A:A,"Oriente",'2019'!C:C,"")</f>
        <v>32</v>
      </c>
      <c r="W14" s="23">
        <f t="shared" si="0"/>
        <v>18.497109826589593</v>
      </c>
      <c r="X14" s="22">
        <f>_xlfn.COUNTIFS('2019'!A:A,"Oriente",'2019'!S:S,"Sin Riesgo")</f>
        <v>31</v>
      </c>
      <c r="Y14" s="23">
        <f t="shared" si="1"/>
        <v>96.875</v>
      </c>
      <c r="Z14" s="22">
        <f>_xlfn.COUNTIFS('2019'!A:A,"Oriente",'2019'!S:S,"Bajo")</f>
        <v>0</v>
      </c>
      <c r="AA14" s="23">
        <f t="shared" si="2"/>
        <v>0</v>
      </c>
      <c r="AB14" s="22">
        <f>_xlfn.COUNTIFS('2019'!A:A,"Oriente",'2019'!S:S,"Medio")</f>
        <v>0</v>
      </c>
      <c r="AC14" s="23">
        <f t="shared" si="3"/>
        <v>0</v>
      </c>
      <c r="AD14" s="22">
        <f>_xlfn.COUNTIFS('2019'!A:A,"Oriente",'2019'!S:S,"Alto")</f>
        <v>1</v>
      </c>
      <c r="AE14" s="23">
        <f t="shared" si="4"/>
        <v>3.125</v>
      </c>
      <c r="AF14" s="22">
        <f>_xlfn.COUNTIFS('2019'!A:A,"Oriente",'2019'!S:S,"Inviable Sanitariamente")</f>
        <v>0</v>
      </c>
      <c r="AG14" s="23">
        <f t="shared" si="5"/>
        <v>0</v>
      </c>
      <c r="AH14" s="24">
        <f t="shared" si="6"/>
        <v>0</v>
      </c>
      <c r="AI14" s="23">
        <f t="shared" si="7"/>
        <v>0</v>
      </c>
    </row>
    <row r="15" spans="1:35" ht="33" customHeight="1">
      <c r="A15" s="33" t="s">
        <v>173</v>
      </c>
      <c r="B15" s="37" t="s">
        <v>44</v>
      </c>
      <c r="C15" s="49" t="s">
        <v>190</v>
      </c>
      <c r="D15" s="53">
        <v>4041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45">
        <v>0</v>
      </c>
      <c r="R15" s="36" t="str">
        <f t="shared" si="8"/>
        <v>SI</v>
      </c>
      <c r="S15" s="36" t="str">
        <f t="shared" si="9"/>
        <v>Sin Riesgo</v>
      </c>
      <c r="T15" s="2"/>
      <c r="U15" s="27" t="s">
        <v>182</v>
      </c>
      <c r="V15" s="20">
        <f>SUM(V6:V14)</f>
        <v>173</v>
      </c>
      <c r="W15" s="28">
        <f t="shared" si="0"/>
        <v>100</v>
      </c>
      <c r="X15" s="20">
        <f>SUM(X6:X14)</f>
        <v>152</v>
      </c>
      <c r="Y15" s="28">
        <f t="shared" si="1"/>
        <v>87.86127167630057</v>
      </c>
      <c r="Z15" s="20">
        <f>SUM(Z6:Z14)</f>
        <v>5</v>
      </c>
      <c r="AA15" s="28">
        <f t="shared" si="2"/>
        <v>2.8901734104046244</v>
      </c>
      <c r="AB15" s="20">
        <f>SUM(AB6:AB14)</f>
        <v>1</v>
      </c>
      <c r="AC15" s="28">
        <f t="shared" si="3"/>
        <v>0.5780346820809248</v>
      </c>
      <c r="AD15" s="20">
        <f>SUM(AD6:AD14)</f>
        <v>10</v>
      </c>
      <c r="AE15" s="28">
        <f t="shared" si="4"/>
        <v>5.780346820809249</v>
      </c>
      <c r="AF15" s="20">
        <f>SUM(AF6:AF14)</f>
        <v>5</v>
      </c>
      <c r="AG15" s="28">
        <f t="shared" si="5"/>
        <v>2.8901734104046244</v>
      </c>
      <c r="AH15" s="20">
        <f t="shared" si="6"/>
        <v>0</v>
      </c>
      <c r="AI15" s="28">
        <f t="shared" si="7"/>
        <v>0</v>
      </c>
    </row>
    <row r="16" spans="1:35" ht="38.25" customHeight="1">
      <c r="A16" s="33" t="s">
        <v>172</v>
      </c>
      <c r="B16" s="37" t="s">
        <v>45</v>
      </c>
      <c r="C16" s="48" t="s">
        <v>290</v>
      </c>
      <c r="D16" s="22">
        <v>5012</v>
      </c>
      <c r="E16" s="35">
        <v>1.45</v>
      </c>
      <c r="F16" s="35">
        <v>1.63</v>
      </c>
      <c r="G16" s="35">
        <v>0.77</v>
      </c>
      <c r="H16" s="35">
        <v>5.99</v>
      </c>
      <c r="I16" s="35">
        <v>7.14</v>
      </c>
      <c r="J16" s="35">
        <v>1.3</v>
      </c>
      <c r="K16" s="35">
        <v>5.69</v>
      </c>
      <c r="L16" s="35">
        <v>0</v>
      </c>
      <c r="M16" s="35">
        <v>0.39</v>
      </c>
      <c r="N16" s="35">
        <v>0.42</v>
      </c>
      <c r="O16" s="35">
        <v>0</v>
      </c>
      <c r="P16" s="35">
        <v>0.48</v>
      </c>
      <c r="Q16" s="44">
        <v>2.07</v>
      </c>
      <c r="R16" s="36" t="str">
        <f t="shared" si="8"/>
        <v>SI</v>
      </c>
      <c r="S16" s="36" t="str">
        <f t="shared" si="9"/>
        <v>Sin Riesgo</v>
      </c>
      <c r="T16" s="2"/>
      <c r="U16" s="56" t="s">
        <v>330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26" ht="38.25" customHeight="1">
      <c r="A17" s="33" t="s">
        <v>172</v>
      </c>
      <c r="B17" s="37" t="s">
        <v>45</v>
      </c>
      <c r="C17" s="48" t="s">
        <v>289</v>
      </c>
      <c r="D17" s="22">
        <v>2573</v>
      </c>
      <c r="E17" s="35">
        <v>0</v>
      </c>
      <c r="F17" s="35">
        <v>0</v>
      </c>
      <c r="G17" s="35">
        <v>10.37</v>
      </c>
      <c r="H17" s="35">
        <v>7.33</v>
      </c>
      <c r="I17" s="35">
        <v>0</v>
      </c>
      <c r="J17" s="35">
        <v>0</v>
      </c>
      <c r="K17" s="35">
        <v>0.88</v>
      </c>
      <c r="L17" s="35">
        <v>7.33</v>
      </c>
      <c r="M17" s="35">
        <v>1.53</v>
      </c>
      <c r="N17" s="35">
        <v>0.64</v>
      </c>
      <c r="O17" s="35">
        <v>0.88</v>
      </c>
      <c r="P17" s="35">
        <v>5.8</v>
      </c>
      <c r="Q17" s="44">
        <v>2.98</v>
      </c>
      <c r="R17" s="36" t="str">
        <f t="shared" si="8"/>
        <v>SI</v>
      </c>
      <c r="S17" s="36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3" t="s">
        <v>172</v>
      </c>
      <c r="B18" s="37" t="s">
        <v>46</v>
      </c>
      <c r="C18" s="48" t="s">
        <v>191</v>
      </c>
      <c r="D18" s="34">
        <v>727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44">
        <v>0</v>
      </c>
      <c r="R18" s="36" t="str">
        <f t="shared" si="8"/>
        <v>SI</v>
      </c>
      <c r="S18" s="36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3" t="s">
        <v>174</v>
      </c>
      <c r="B19" s="37" t="s">
        <v>47</v>
      </c>
      <c r="C19" s="48" t="s">
        <v>192</v>
      </c>
      <c r="D19" s="34">
        <v>829</v>
      </c>
      <c r="E19" s="35">
        <v>0</v>
      </c>
      <c r="F19" s="35">
        <v>0</v>
      </c>
      <c r="G19" s="35">
        <v>0.88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44">
        <v>0.07</v>
      </c>
      <c r="R19" s="36" t="str">
        <f t="shared" si="8"/>
        <v>SI</v>
      </c>
      <c r="S19" s="36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47.25" customHeight="1">
      <c r="A20" s="33" t="s">
        <v>173</v>
      </c>
      <c r="B20" s="37" t="s">
        <v>48</v>
      </c>
      <c r="C20" s="49" t="s">
        <v>296</v>
      </c>
      <c r="D20" s="53">
        <v>2077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1.18</v>
      </c>
      <c r="K20" s="35">
        <v>6.45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44">
        <v>0.64</v>
      </c>
      <c r="R20" s="36" t="str">
        <f t="shared" si="8"/>
        <v>SI</v>
      </c>
      <c r="S20" s="36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3" t="s">
        <v>171</v>
      </c>
      <c r="B21" s="37" t="s">
        <v>49</v>
      </c>
      <c r="C21" s="48" t="s">
        <v>194</v>
      </c>
      <c r="D21" s="34">
        <v>458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4">
        <v>0</v>
      </c>
      <c r="R21" s="36" t="str">
        <f t="shared" si="8"/>
        <v>SI</v>
      </c>
      <c r="S21" s="36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3" t="s">
        <v>175</v>
      </c>
      <c r="B22" s="37" t="s">
        <v>50</v>
      </c>
      <c r="C22" s="48" t="s">
        <v>195</v>
      </c>
      <c r="D22" s="34">
        <v>29419</v>
      </c>
      <c r="E22" s="35">
        <v>0.88</v>
      </c>
      <c r="F22" s="35">
        <v>0.39</v>
      </c>
      <c r="G22" s="35">
        <v>2.48</v>
      </c>
      <c r="H22" s="35">
        <v>0.36</v>
      </c>
      <c r="I22" s="35">
        <v>2.64</v>
      </c>
      <c r="J22" s="35">
        <v>0.35</v>
      </c>
      <c r="K22" s="35">
        <v>0</v>
      </c>
      <c r="L22" s="35">
        <v>0.39</v>
      </c>
      <c r="M22" s="35">
        <v>0.71</v>
      </c>
      <c r="N22" s="35">
        <v>0</v>
      </c>
      <c r="O22" s="35">
        <v>0</v>
      </c>
      <c r="P22" s="35">
        <v>0</v>
      </c>
      <c r="Q22" s="44">
        <v>0.7</v>
      </c>
      <c r="R22" s="36" t="str">
        <f t="shared" si="8"/>
        <v>SI</v>
      </c>
      <c r="S22" s="36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3" t="s">
        <v>175</v>
      </c>
      <c r="B23" s="37" t="s">
        <v>51</v>
      </c>
      <c r="C23" s="49" t="s">
        <v>196</v>
      </c>
      <c r="D23" s="53">
        <v>2769</v>
      </c>
      <c r="E23" s="35">
        <v>0</v>
      </c>
      <c r="F23" s="35">
        <v>0</v>
      </c>
      <c r="G23" s="35">
        <v>1.18</v>
      </c>
      <c r="H23" s="35">
        <v>0</v>
      </c>
      <c r="I23" s="35">
        <v>0</v>
      </c>
      <c r="J23" s="35">
        <v>0</v>
      </c>
      <c r="K23" s="35">
        <v>9.03</v>
      </c>
      <c r="L23" s="35">
        <v>1.76</v>
      </c>
      <c r="M23" s="35">
        <v>0</v>
      </c>
      <c r="N23" s="35">
        <v>0</v>
      </c>
      <c r="O23" s="35">
        <v>0</v>
      </c>
      <c r="P23" s="35">
        <v>15.3</v>
      </c>
      <c r="Q23" s="44">
        <v>2.43</v>
      </c>
      <c r="R23" s="36" t="str">
        <f t="shared" si="8"/>
        <v>SI</v>
      </c>
      <c r="S23" s="36" t="str">
        <f t="shared" si="9"/>
        <v>Sin Riesgo</v>
      </c>
      <c r="T23" s="4"/>
      <c r="U23" s="4"/>
      <c r="V23" s="4"/>
      <c r="W23" s="4"/>
    </row>
    <row r="24" spans="1:23" ht="24.75" customHeight="1">
      <c r="A24" s="33" t="s">
        <v>170</v>
      </c>
      <c r="B24" s="90" t="s">
        <v>52</v>
      </c>
      <c r="C24" s="48" t="s">
        <v>26</v>
      </c>
      <c r="D24" s="34">
        <v>1023</v>
      </c>
      <c r="E24" s="35">
        <v>95.78</v>
      </c>
      <c r="F24" s="35">
        <v>91.13</v>
      </c>
      <c r="G24" s="35">
        <v>56.59</v>
      </c>
      <c r="H24" s="35">
        <v>86.59</v>
      </c>
      <c r="I24" s="35">
        <v>64.95</v>
      </c>
      <c r="J24" s="35">
        <v>39.44</v>
      </c>
      <c r="K24" s="35">
        <v>73.8</v>
      </c>
      <c r="L24" s="35">
        <v>88.55</v>
      </c>
      <c r="M24" s="35">
        <v>73.8</v>
      </c>
      <c r="N24" s="35">
        <v>84.15</v>
      </c>
      <c r="O24" s="35">
        <v>84.15</v>
      </c>
      <c r="P24" s="35">
        <v>97.34</v>
      </c>
      <c r="Q24" s="44">
        <v>77.82</v>
      </c>
      <c r="R24" s="36" t="str">
        <f t="shared" si="8"/>
        <v>NO</v>
      </c>
      <c r="S24" s="36" t="str">
        <f t="shared" si="9"/>
        <v>Alto</v>
      </c>
      <c r="T24" s="4"/>
      <c r="U24" s="4"/>
      <c r="V24" s="4"/>
      <c r="W24" s="4"/>
    </row>
    <row r="25" spans="1:23" ht="24.75" customHeight="1">
      <c r="A25" s="33" t="s">
        <v>171</v>
      </c>
      <c r="B25" s="37" t="s">
        <v>53</v>
      </c>
      <c r="C25" s="49" t="s">
        <v>193</v>
      </c>
      <c r="D25" s="53">
        <v>512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44">
        <v>0</v>
      </c>
      <c r="R25" s="36" t="str">
        <f t="shared" si="8"/>
        <v>SI</v>
      </c>
      <c r="S25" s="36" t="str">
        <f t="shared" si="9"/>
        <v>Sin Riesgo</v>
      </c>
      <c r="T25" s="4"/>
      <c r="U25" s="4"/>
      <c r="V25" s="4"/>
      <c r="W25" s="4"/>
    </row>
    <row r="26" spans="1:23" ht="24.75" customHeight="1">
      <c r="A26" s="33" t="s">
        <v>167</v>
      </c>
      <c r="B26" s="37" t="s">
        <v>54</v>
      </c>
      <c r="C26" s="48" t="s">
        <v>297</v>
      </c>
      <c r="D26" s="34">
        <v>6950</v>
      </c>
      <c r="E26" s="35">
        <v>0</v>
      </c>
      <c r="F26" s="35">
        <v>0.7</v>
      </c>
      <c r="G26" s="35">
        <v>0</v>
      </c>
      <c r="H26" s="35">
        <v>0</v>
      </c>
      <c r="I26" s="35">
        <v>0</v>
      </c>
      <c r="J26" s="35">
        <v>0.71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44">
        <v>0.12</v>
      </c>
      <c r="R26" s="36" t="str">
        <f t="shared" si="8"/>
        <v>SI</v>
      </c>
      <c r="S26" s="36" t="str">
        <f t="shared" si="9"/>
        <v>Sin Riesgo</v>
      </c>
      <c r="T26" s="4"/>
      <c r="U26" s="4"/>
      <c r="V26" s="4"/>
      <c r="W26" s="4"/>
    </row>
    <row r="27" spans="1:23" ht="24.75" customHeight="1">
      <c r="A27" s="33" t="s">
        <v>167</v>
      </c>
      <c r="B27" s="37" t="s">
        <v>55</v>
      </c>
      <c r="C27" s="48" t="s">
        <v>297</v>
      </c>
      <c r="D27" s="34">
        <v>150316</v>
      </c>
      <c r="E27" s="35">
        <v>0</v>
      </c>
      <c r="F27" s="35">
        <v>4.84</v>
      </c>
      <c r="G27" s="35">
        <v>0</v>
      </c>
      <c r="H27" s="35">
        <v>0</v>
      </c>
      <c r="I27" s="35">
        <v>0</v>
      </c>
      <c r="J27" s="35">
        <v>0.42</v>
      </c>
      <c r="K27" s="35">
        <v>1.21</v>
      </c>
      <c r="L27" s="35">
        <v>3.41</v>
      </c>
      <c r="M27" s="35">
        <v>0.17</v>
      </c>
      <c r="N27" s="35">
        <v>0</v>
      </c>
      <c r="O27" s="35">
        <v>0</v>
      </c>
      <c r="P27" s="35">
        <v>0.97</v>
      </c>
      <c r="Q27" s="44">
        <v>0.68</v>
      </c>
      <c r="R27" s="36" t="str">
        <f t="shared" si="8"/>
        <v>SI</v>
      </c>
      <c r="S27" s="36" t="str">
        <f t="shared" si="9"/>
        <v>Sin Riesgo</v>
      </c>
      <c r="T27" s="4"/>
      <c r="U27" s="4"/>
      <c r="V27" s="4"/>
      <c r="W27" s="4"/>
    </row>
    <row r="28" spans="1:23" ht="24.75" customHeight="1">
      <c r="A28" s="33" t="s">
        <v>174</v>
      </c>
      <c r="B28" s="37" t="s">
        <v>56</v>
      </c>
      <c r="C28" s="48" t="s">
        <v>197</v>
      </c>
      <c r="D28" s="34">
        <v>487</v>
      </c>
      <c r="E28" s="35">
        <v>0</v>
      </c>
      <c r="F28" s="35">
        <v>23.6</v>
      </c>
      <c r="G28" s="35">
        <v>0</v>
      </c>
      <c r="H28" s="35">
        <v>0</v>
      </c>
      <c r="I28" s="35">
        <v>0</v>
      </c>
      <c r="J28" s="35">
        <v>0</v>
      </c>
      <c r="K28" s="35">
        <v>8.85</v>
      </c>
      <c r="L28" s="35">
        <v>0</v>
      </c>
      <c r="M28" s="35">
        <v>0</v>
      </c>
      <c r="N28" s="35">
        <v>0</v>
      </c>
      <c r="O28" s="35">
        <v>0</v>
      </c>
      <c r="P28" s="35">
        <v>8.85</v>
      </c>
      <c r="Q28" s="44">
        <v>3.44</v>
      </c>
      <c r="R28" s="36" t="str">
        <f t="shared" si="8"/>
        <v>SI</v>
      </c>
      <c r="S28" s="36" t="str">
        <f t="shared" si="9"/>
        <v>Sin Riesgo</v>
      </c>
      <c r="T28" s="4"/>
      <c r="U28" s="4"/>
      <c r="V28" s="4"/>
      <c r="W28" s="4"/>
    </row>
    <row r="29" spans="1:23" ht="33.75" customHeight="1">
      <c r="A29" s="33" t="s">
        <v>172</v>
      </c>
      <c r="B29" s="37" t="s">
        <v>57</v>
      </c>
      <c r="C29" s="48" t="s">
        <v>198</v>
      </c>
      <c r="D29" s="34">
        <v>1130</v>
      </c>
      <c r="E29" s="35">
        <v>0</v>
      </c>
      <c r="F29" s="35">
        <v>0</v>
      </c>
      <c r="G29" s="35">
        <v>8.85</v>
      </c>
      <c r="H29" s="35">
        <v>0.88</v>
      </c>
      <c r="I29" s="35">
        <v>0.88</v>
      </c>
      <c r="J29" s="35">
        <v>0</v>
      </c>
      <c r="K29" s="35">
        <v>0</v>
      </c>
      <c r="L29" s="35">
        <v>23.6</v>
      </c>
      <c r="M29" s="35">
        <v>0.48</v>
      </c>
      <c r="N29" s="35">
        <v>0</v>
      </c>
      <c r="O29" s="35">
        <v>0</v>
      </c>
      <c r="P29" s="35">
        <v>0</v>
      </c>
      <c r="Q29" s="44">
        <v>2.9</v>
      </c>
      <c r="R29" s="36" t="str">
        <f t="shared" si="8"/>
        <v>SI</v>
      </c>
      <c r="S29" s="36" t="str">
        <f t="shared" si="9"/>
        <v>Sin Riesgo</v>
      </c>
      <c r="T29" s="4"/>
      <c r="U29" s="4"/>
      <c r="V29" s="4"/>
      <c r="W29" s="4"/>
    </row>
    <row r="30" spans="1:23" ht="24.75" customHeight="1">
      <c r="A30" s="33" t="s">
        <v>172</v>
      </c>
      <c r="B30" s="37" t="s">
        <v>58</v>
      </c>
      <c r="C30" s="48" t="s">
        <v>199</v>
      </c>
      <c r="D30" s="34">
        <v>1362</v>
      </c>
      <c r="E30" s="35">
        <v>0</v>
      </c>
      <c r="F30" s="35">
        <v>0</v>
      </c>
      <c r="G30" s="35">
        <v>0</v>
      </c>
      <c r="H30" s="35">
        <v>0</v>
      </c>
      <c r="I30" s="35">
        <v>1.18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44">
        <v>0.01</v>
      </c>
      <c r="R30" s="36" t="str">
        <f t="shared" si="8"/>
        <v>SI</v>
      </c>
      <c r="S30" s="36" t="str">
        <f t="shared" si="9"/>
        <v>Sin Riesgo</v>
      </c>
      <c r="T30" s="4"/>
      <c r="U30" s="4"/>
      <c r="V30" s="4"/>
      <c r="W30" s="4"/>
    </row>
    <row r="31" spans="1:23" ht="24.75" customHeight="1">
      <c r="A31" s="33" t="s">
        <v>174</v>
      </c>
      <c r="B31" s="37" t="s">
        <v>59</v>
      </c>
      <c r="C31" s="48" t="s">
        <v>200</v>
      </c>
      <c r="D31" s="34">
        <v>784</v>
      </c>
      <c r="E31" s="35">
        <v>0</v>
      </c>
      <c r="F31" s="35">
        <v>0</v>
      </c>
      <c r="G31" s="35">
        <v>32.45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44">
        <v>2.78</v>
      </c>
      <c r="R31" s="36" t="str">
        <f t="shared" si="8"/>
        <v>SI</v>
      </c>
      <c r="S31" s="36" t="str">
        <f t="shared" si="9"/>
        <v>Sin Riesgo</v>
      </c>
      <c r="T31" s="4"/>
      <c r="U31" s="4"/>
      <c r="V31" s="4"/>
      <c r="W31" s="4"/>
    </row>
    <row r="32" spans="1:23" ht="37.5" customHeight="1">
      <c r="A32" s="33" t="s">
        <v>171</v>
      </c>
      <c r="B32" s="37" t="s">
        <v>60</v>
      </c>
      <c r="C32" s="48" t="s">
        <v>201</v>
      </c>
      <c r="D32" s="34">
        <v>708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44">
        <v>0</v>
      </c>
      <c r="R32" s="36" t="str">
        <f t="shared" si="8"/>
        <v>SI</v>
      </c>
      <c r="S32" s="36" t="str">
        <f t="shared" si="9"/>
        <v>Sin Riesgo</v>
      </c>
      <c r="T32" s="4"/>
      <c r="U32" s="4"/>
      <c r="V32" s="4"/>
      <c r="W32" s="4"/>
    </row>
    <row r="33" spans="1:23" ht="24.75" customHeight="1">
      <c r="A33" s="33" t="s">
        <v>176</v>
      </c>
      <c r="B33" s="37" t="s">
        <v>61</v>
      </c>
      <c r="C33" s="48" t="s">
        <v>11</v>
      </c>
      <c r="D33" s="34">
        <v>54</v>
      </c>
      <c r="E33" s="35">
        <v>0</v>
      </c>
      <c r="F33" s="35">
        <v>13.27</v>
      </c>
      <c r="G33" s="35">
        <v>26.54</v>
      </c>
      <c r="H33" s="35">
        <v>9.68</v>
      </c>
      <c r="I33" s="35">
        <v>24.73</v>
      </c>
      <c r="J33" s="35">
        <v>15.3</v>
      </c>
      <c r="K33" s="35">
        <v>6.45</v>
      </c>
      <c r="L33" s="35">
        <v>0</v>
      </c>
      <c r="M33" s="35">
        <v>0</v>
      </c>
      <c r="N33" s="35">
        <v>0</v>
      </c>
      <c r="O33" s="35">
        <v>13.27</v>
      </c>
      <c r="P33" s="35">
        <v>6.58</v>
      </c>
      <c r="Q33" s="35">
        <v>9.21</v>
      </c>
      <c r="R33" s="36" t="str">
        <f t="shared" si="8"/>
        <v>NO</v>
      </c>
      <c r="S33" s="36" t="str">
        <f t="shared" si="9"/>
        <v>Bajo</v>
      </c>
      <c r="T33" s="4"/>
      <c r="U33" s="4"/>
      <c r="V33" s="4"/>
      <c r="W33" s="4"/>
    </row>
    <row r="34" spans="1:23" ht="24.75" customHeight="1">
      <c r="A34" s="33" t="s">
        <v>176</v>
      </c>
      <c r="B34" s="37" t="s">
        <v>61</v>
      </c>
      <c r="C34" s="48" t="s">
        <v>298</v>
      </c>
      <c r="D34" s="34">
        <v>1504</v>
      </c>
      <c r="E34" s="35">
        <v>0</v>
      </c>
      <c r="F34" s="35">
        <v>0</v>
      </c>
      <c r="G34" s="35">
        <v>2.58</v>
      </c>
      <c r="H34" s="35">
        <v>0</v>
      </c>
      <c r="I34" s="35">
        <v>6.45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44">
        <v>0.73</v>
      </c>
      <c r="R34" s="36" t="str">
        <f t="shared" si="8"/>
        <v>SI</v>
      </c>
      <c r="S34" s="36" t="str">
        <f t="shared" si="9"/>
        <v>Sin Riesgo</v>
      </c>
      <c r="T34" s="4"/>
      <c r="U34" s="4"/>
      <c r="V34" s="4"/>
      <c r="W34" s="4"/>
    </row>
    <row r="35" spans="1:23" ht="35.25" customHeight="1">
      <c r="A35" s="33" t="s">
        <v>171</v>
      </c>
      <c r="B35" s="37" t="s">
        <v>62</v>
      </c>
      <c r="C35" s="48" t="s">
        <v>202</v>
      </c>
      <c r="D35" s="34">
        <v>566</v>
      </c>
      <c r="E35" s="35">
        <v>0</v>
      </c>
      <c r="F35" s="35">
        <v>0</v>
      </c>
      <c r="G35" s="35">
        <v>0</v>
      </c>
      <c r="H35" s="35">
        <v>0</v>
      </c>
      <c r="I35" s="35">
        <v>7.1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44">
        <v>0.59</v>
      </c>
      <c r="R35" s="36" t="str">
        <f t="shared" si="8"/>
        <v>SI</v>
      </c>
      <c r="S35" s="36" t="str">
        <f t="shared" si="9"/>
        <v>Sin Riesgo</v>
      </c>
      <c r="T35" s="4"/>
      <c r="U35" s="4"/>
      <c r="V35" s="4"/>
      <c r="W35" s="4"/>
    </row>
    <row r="36" spans="1:23" ht="24.75" customHeight="1">
      <c r="A36" s="33" t="s">
        <v>167</v>
      </c>
      <c r="B36" s="37" t="s">
        <v>63</v>
      </c>
      <c r="C36" s="48" t="s">
        <v>297</v>
      </c>
      <c r="D36" s="34">
        <v>18336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44">
        <v>0</v>
      </c>
      <c r="R36" s="36" t="str">
        <f t="shared" si="8"/>
        <v>SI</v>
      </c>
      <c r="S36" s="36" t="str">
        <f t="shared" si="9"/>
        <v>Sin Riesgo</v>
      </c>
      <c r="T36" s="4"/>
      <c r="U36" s="4"/>
      <c r="V36" s="4"/>
      <c r="W36" s="4"/>
    </row>
    <row r="37" spans="1:23" ht="32.25" customHeight="1">
      <c r="A37" s="33" t="s">
        <v>167</v>
      </c>
      <c r="B37" s="37" t="s">
        <v>63</v>
      </c>
      <c r="C37" s="48" t="s">
        <v>203</v>
      </c>
      <c r="D37" s="34">
        <v>240</v>
      </c>
      <c r="E37" s="35" t="s">
        <v>9</v>
      </c>
      <c r="F37" s="35">
        <v>9.68</v>
      </c>
      <c r="G37" s="35">
        <v>8.14</v>
      </c>
      <c r="H37" s="35">
        <v>0</v>
      </c>
      <c r="I37" s="35">
        <v>5.81</v>
      </c>
      <c r="J37" s="35">
        <v>0</v>
      </c>
      <c r="K37" s="35">
        <v>0</v>
      </c>
      <c r="L37" s="35">
        <v>0</v>
      </c>
      <c r="M37" s="35">
        <v>17.44</v>
      </c>
      <c r="N37" s="35">
        <v>9.68</v>
      </c>
      <c r="O37" s="35">
        <v>0</v>
      </c>
      <c r="P37" s="35">
        <v>0</v>
      </c>
      <c r="Q37" s="44">
        <v>4.12</v>
      </c>
      <c r="R37" s="36" t="str">
        <f t="shared" si="8"/>
        <v>SI</v>
      </c>
      <c r="S37" s="36" t="str">
        <f t="shared" si="9"/>
        <v>Sin Riesgo</v>
      </c>
      <c r="T37" s="4"/>
      <c r="U37" s="4"/>
      <c r="V37" s="4"/>
      <c r="W37" s="4"/>
    </row>
    <row r="38" spans="1:23" ht="37.5" customHeight="1">
      <c r="A38" s="33" t="s">
        <v>167</v>
      </c>
      <c r="B38" s="37" t="s">
        <v>63</v>
      </c>
      <c r="C38" s="48" t="s">
        <v>204</v>
      </c>
      <c r="D38" s="34">
        <v>1147</v>
      </c>
      <c r="E38" s="35"/>
      <c r="F38" s="35">
        <v>0</v>
      </c>
      <c r="G38" s="35">
        <v>0</v>
      </c>
      <c r="H38" s="35">
        <v>0</v>
      </c>
      <c r="I38" s="35">
        <v>5.81</v>
      </c>
      <c r="J38" s="35">
        <v>13.95</v>
      </c>
      <c r="K38" s="35">
        <v>9.03</v>
      </c>
      <c r="L38" s="35">
        <v>0</v>
      </c>
      <c r="M38" s="35">
        <v>0</v>
      </c>
      <c r="N38" s="35">
        <v>0</v>
      </c>
      <c r="O38" s="35">
        <v>8.72</v>
      </c>
      <c r="P38" s="35">
        <v>0</v>
      </c>
      <c r="Q38" s="44">
        <v>3.7</v>
      </c>
      <c r="R38" s="36" t="str">
        <f t="shared" si="8"/>
        <v>SI</v>
      </c>
      <c r="S38" s="36" t="str">
        <f t="shared" si="9"/>
        <v>Sin Riesgo</v>
      </c>
      <c r="T38" s="4"/>
      <c r="U38" s="4"/>
      <c r="V38" s="4"/>
      <c r="W38" s="4"/>
    </row>
    <row r="39" spans="1:23" ht="33.75" customHeight="1">
      <c r="A39" s="33" t="s">
        <v>174</v>
      </c>
      <c r="B39" s="37" t="s">
        <v>64</v>
      </c>
      <c r="C39" s="50" t="s">
        <v>205</v>
      </c>
      <c r="D39" s="54">
        <v>781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2.58</v>
      </c>
      <c r="N39" s="35">
        <v>0</v>
      </c>
      <c r="O39" s="35">
        <v>0</v>
      </c>
      <c r="P39" s="35">
        <v>0</v>
      </c>
      <c r="Q39" s="44">
        <v>0.22</v>
      </c>
      <c r="R39" s="36" t="str">
        <f t="shared" si="8"/>
        <v>SI</v>
      </c>
      <c r="S39" s="36" t="str">
        <f t="shared" si="9"/>
        <v>Sin Riesgo</v>
      </c>
      <c r="T39" s="4"/>
      <c r="U39" s="4"/>
      <c r="V39" s="4"/>
      <c r="W39" s="4"/>
    </row>
    <row r="40" spans="1:23" ht="24.75" customHeight="1">
      <c r="A40" s="33" t="s">
        <v>171</v>
      </c>
      <c r="B40" s="37" t="s">
        <v>65</v>
      </c>
      <c r="C40" s="48" t="s">
        <v>206</v>
      </c>
      <c r="D40" s="34">
        <v>1514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44">
        <v>0</v>
      </c>
      <c r="R40" s="36" t="str">
        <f t="shared" si="8"/>
        <v>SI</v>
      </c>
      <c r="S40" s="36" t="str">
        <f t="shared" si="9"/>
        <v>Sin Riesgo</v>
      </c>
      <c r="T40" s="4"/>
      <c r="U40" s="4"/>
      <c r="V40" s="4"/>
      <c r="W40" s="4"/>
    </row>
    <row r="41" spans="1:23" ht="32.25" customHeight="1">
      <c r="A41" s="39" t="s">
        <v>177</v>
      </c>
      <c r="B41" s="37" t="s">
        <v>66</v>
      </c>
      <c r="C41" s="48" t="s">
        <v>207</v>
      </c>
      <c r="D41" s="34">
        <v>906</v>
      </c>
      <c r="E41" s="35">
        <v>0.88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0.88</v>
      </c>
      <c r="O41" s="35">
        <v>0</v>
      </c>
      <c r="P41" s="35">
        <v>0</v>
      </c>
      <c r="Q41" s="44">
        <v>0.15</v>
      </c>
      <c r="R41" s="36" t="str">
        <f t="shared" si="8"/>
        <v>SI</v>
      </c>
      <c r="S41" s="36" t="str">
        <f t="shared" si="9"/>
        <v>Sin Riesgo</v>
      </c>
      <c r="T41" s="13"/>
      <c r="U41" s="4"/>
      <c r="V41" s="4"/>
      <c r="W41" s="4"/>
    </row>
    <row r="42" spans="1:23" ht="26.25" customHeight="1">
      <c r="A42" s="33" t="s">
        <v>172</v>
      </c>
      <c r="B42" s="37" t="s">
        <v>67</v>
      </c>
      <c r="C42" s="48" t="s">
        <v>208</v>
      </c>
      <c r="D42" s="34">
        <v>752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44">
        <v>0</v>
      </c>
      <c r="R42" s="36" t="str">
        <f t="shared" si="8"/>
        <v>SI</v>
      </c>
      <c r="S42" s="36" t="str">
        <f t="shared" si="9"/>
        <v>Sin Riesgo</v>
      </c>
      <c r="T42" s="4"/>
      <c r="U42" s="4"/>
      <c r="V42" s="4"/>
      <c r="W42" s="4"/>
    </row>
    <row r="43" spans="1:23" ht="24.75" customHeight="1">
      <c r="A43" s="33" t="s">
        <v>175</v>
      </c>
      <c r="B43" s="37" t="s">
        <v>68</v>
      </c>
      <c r="C43" s="48" t="s">
        <v>195</v>
      </c>
      <c r="D43" s="34">
        <v>9845</v>
      </c>
      <c r="E43" s="35">
        <v>0</v>
      </c>
      <c r="F43" s="35">
        <v>0</v>
      </c>
      <c r="G43" s="35">
        <v>3.53</v>
      </c>
      <c r="H43" s="35">
        <v>3.87</v>
      </c>
      <c r="I43" s="35">
        <v>0.7</v>
      </c>
      <c r="J43" s="35">
        <v>0</v>
      </c>
      <c r="K43" s="35">
        <v>0.7</v>
      </c>
      <c r="L43" s="35">
        <v>0</v>
      </c>
      <c r="M43" s="35">
        <v>0</v>
      </c>
      <c r="N43" s="35">
        <v>3.23</v>
      </c>
      <c r="O43" s="35">
        <v>0</v>
      </c>
      <c r="P43" s="35">
        <v>0</v>
      </c>
      <c r="Q43" s="44">
        <v>1.06</v>
      </c>
      <c r="R43" s="36" t="str">
        <f t="shared" si="8"/>
        <v>SI</v>
      </c>
      <c r="S43" s="36" t="str">
        <f t="shared" si="9"/>
        <v>Sin Riesgo</v>
      </c>
      <c r="T43" s="4"/>
      <c r="U43" s="4"/>
      <c r="V43" s="4"/>
      <c r="W43" s="4"/>
    </row>
    <row r="44" spans="1:23" ht="35.25" customHeight="1">
      <c r="A44" s="33" t="s">
        <v>174</v>
      </c>
      <c r="B44" s="37" t="s">
        <v>178</v>
      </c>
      <c r="C44" s="48" t="s">
        <v>209</v>
      </c>
      <c r="D44" s="34">
        <v>1005</v>
      </c>
      <c r="E44" s="35">
        <v>0</v>
      </c>
      <c r="F44" s="35">
        <v>0</v>
      </c>
      <c r="G44" s="35">
        <v>8.85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9.03</v>
      </c>
      <c r="O44" s="35">
        <v>0</v>
      </c>
      <c r="P44" s="35">
        <v>0</v>
      </c>
      <c r="Q44" s="44">
        <v>1.49</v>
      </c>
      <c r="R44" s="36" t="str">
        <f t="shared" si="8"/>
        <v>SI</v>
      </c>
      <c r="S44" s="36" t="str">
        <f t="shared" si="9"/>
        <v>Sin Riesgo</v>
      </c>
      <c r="T44" s="4"/>
      <c r="U44" s="4"/>
      <c r="V44" s="4"/>
      <c r="W44" s="4"/>
    </row>
    <row r="45" spans="1:23" ht="24.75" customHeight="1">
      <c r="A45" s="33" t="s">
        <v>176</v>
      </c>
      <c r="B45" s="37" t="s">
        <v>69</v>
      </c>
      <c r="C45" s="48" t="s">
        <v>311</v>
      </c>
      <c r="D45" s="34">
        <v>12625</v>
      </c>
      <c r="E45" s="35">
        <v>0</v>
      </c>
      <c r="F45" s="35">
        <v>0</v>
      </c>
      <c r="G45" s="35">
        <v>0</v>
      </c>
      <c r="H45" s="35">
        <v>0</v>
      </c>
      <c r="I45" s="35">
        <v>0.71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44">
        <v>0.12</v>
      </c>
      <c r="R45" s="36" t="str">
        <f t="shared" si="8"/>
        <v>SI</v>
      </c>
      <c r="S45" s="36" t="str">
        <f t="shared" si="9"/>
        <v>Sin Riesgo</v>
      </c>
      <c r="T45" s="4"/>
      <c r="U45" s="4"/>
      <c r="V45" s="4"/>
      <c r="W45" s="4"/>
    </row>
    <row r="46" spans="1:23" ht="24.75" customHeight="1">
      <c r="A46" s="33" t="s">
        <v>176</v>
      </c>
      <c r="B46" s="37" t="s">
        <v>69</v>
      </c>
      <c r="C46" s="48" t="s">
        <v>312</v>
      </c>
      <c r="D46" s="34">
        <v>1146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44">
        <v>0</v>
      </c>
      <c r="R46" s="36" t="str">
        <f t="shared" si="8"/>
        <v>SI</v>
      </c>
      <c r="S46" s="36" t="str">
        <f t="shared" si="9"/>
        <v>Sin Riesgo</v>
      </c>
      <c r="T46" s="4"/>
      <c r="U46" s="4"/>
      <c r="V46" s="4"/>
      <c r="W46" s="4"/>
    </row>
    <row r="47" spans="1:23" ht="24.75" customHeight="1">
      <c r="A47" s="33" t="s">
        <v>176</v>
      </c>
      <c r="B47" s="37" t="s">
        <v>69</v>
      </c>
      <c r="C47" s="48" t="s">
        <v>313</v>
      </c>
      <c r="D47" s="34">
        <v>1024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6.45</v>
      </c>
      <c r="O47" s="35">
        <v>6.45</v>
      </c>
      <c r="P47" s="35">
        <v>0</v>
      </c>
      <c r="Q47" s="44">
        <v>1.08</v>
      </c>
      <c r="R47" s="36" t="str">
        <f t="shared" si="8"/>
        <v>SI</v>
      </c>
      <c r="S47" s="36" t="str">
        <f t="shared" si="9"/>
        <v>Sin Riesgo</v>
      </c>
      <c r="T47" s="4"/>
      <c r="U47" s="4"/>
      <c r="V47" s="4"/>
      <c r="W47" s="4"/>
    </row>
    <row r="48" spans="1:23" ht="24.75" customHeight="1">
      <c r="A48" s="33" t="s">
        <v>176</v>
      </c>
      <c r="B48" s="37" t="s">
        <v>69</v>
      </c>
      <c r="C48" s="48" t="s">
        <v>314</v>
      </c>
      <c r="D48" s="34">
        <v>1011</v>
      </c>
      <c r="E48" s="35">
        <v>0</v>
      </c>
      <c r="F48" s="35">
        <v>0</v>
      </c>
      <c r="G48" s="35">
        <v>0</v>
      </c>
      <c r="H48" s="35">
        <v>0</v>
      </c>
      <c r="I48" s="35">
        <v>10.65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44">
        <v>0.91</v>
      </c>
      <c r="R48" s="36" t="str">
        <f t="shared" si="8"/>
        <v>SI</v>
      </c>
      <c r="S48" s="36" t="str">
        <f t="shared" si="9"/>
        <v>Sin Riesgo</v>
      </c>
      <c r="T48" s="4"/>
      <c r="U48" s="4"/>
      <c r="V48" s="4"/>
      <c r="W48" s="4"/>
    </row>
    <row r="49" spans="1:23" ht="24.75" customHeight="1">
      <c r="A49" s="33" t="s">
        <v>176</v>
      </c>
      <c r="B49" s="37" t="s">
        <v>69</v>
      </c>
      <c r="C49" s="48" t="s">
        <v>315</v>
      </c>
      <c r="D49" s="34">
        <v>937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44">
        <v>0</v>
      </c>
      <c r="R49" s="36" t="str">
        <f t="shared" si="8"/>
        <v>SI</v>
      </c>
      <c r="S49" s="36" t="str">
        <f t="shared" si="9"/>
        <v>Sin Riesgo</v>
      </c>
      <c r="T49" s="4"/>
      <c r="U49" s="4"/>
      <c r="V49" s="4"/>
      <c r="W49" s="4"/>
    </row>
    <row r="50" spans="1:23" ht="24.75" customHeight="1">
      <c r="A50" s="33" t="s">
        <v>176</v>
      </c>
      <c r="B50" s="37" t="s">
        <v>69</v>
      </c>
      <c r="C50" s="48" t="s">
        <v>316</v>
      </c>
      <c r="D50" s="34">
        <v>1842</v>
      </c>
      <c r="E50" s="35">
        <v>0</v>
      </c>
      <c r="F50" s="35">
        <v>0</v>
      </c>
      <c r="G50" s="35">
        <v>0</v>
      </c>
      <c r="H50" s="35">
        <v>0</v>
      </c>
      <c r="I50" s="35">
        <v>1.18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44">
        <v>0.1</v>
      </c>
      <c r="R50" s="36" t="str">
        <f t="shared" si="8"/>
        <v>SI</v>
      </c>
      <c r="S50" s="36" t="str">
        <f t="shared" si="9"/>
        <v>Sin Riesgo</v>
      </c>
      <c r="T50" s="4"/>
      <c r="U50" s="4"/>
      <c r="V50" s="4"/>
      <c r="W50" s="4"/>
    </row>
    <row r="51" spans="1:23" ht="24.75" customHeight="1">
      <c r="A51" s="33" t="s">
        <v>175</v>
      </c>
      <c r="B51" s="37" t="s">
        <v>70</v>
      </c>
      <c r="C51" s="48" t="s">
        <v>195</v>
      </c>
      <c r="D51" s="34">
        <v>13009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44">
        <v>0</v>
      </c>
      <c r="R51" s="36" t="str">
        <f t="shared" si="8"/>
        <v>SI</v>
      </c>
      <c r="S51" s="36" t="str">
        <f t="shared" si="9"/>
        <v>Sin Riesgo</v>
      </c>
      <c r="T51" s="4"/>
      <c r="U51" s="4"/>
      <c r="V51" s="4"/>
      <c r="W51" s="4"/>
    </row>
    <row r="52" spans="1:23" ht="36" customHeight="1">
      <c r="A52" s="33" t="s">
        <v>173</v>
      </c>
      <c r="B52" s="37" t="s">
        <v>71</v>
      </c>
      <c r="C52" s="48" t="s">
        <v>210</v>
      </c>
      <c r="D52" s="34">
        <v>58</v>
      </c>
      <c r="E52" s="35">
        <v>70.96</v>
      </c>
      <c r="F52" s="35">
        <v>70.96</v>
      </c>
      <c r="G52" s="35">
        <v>90.32</v>
      </c>
      <c r="H52" s="35">
        <v>70.96</v>
      </c>
      <c r="I52" s="35">
        <v>98.06</v>
      </c>
      <c r="J52" s="35">
        <v>85.88</v>
      </c>
      <c r="K52" s="35">
        <v>98.06</v>
      </c>
      <c r="L52" s="35">
        <v>70.96</v>
      </c>
      <c r="M52" s="35">
        <v>90.32</v>
      </c>
      <c r="N52" s="35">
        <v>98.06</v>
      </c>
      <c r="O52" s="35">
        <v>70.96</v>
      </c>
      <c r="P52" s="35">
        <v>70.96</v>
      </c>
      <c r="Q52" s="44">
        <v>82.2</v>
      </c>
      <c r="R52" s="36" t="str">
        <f t="shared" si="8"/>
        <v>NO</v>
      </c>
      <c r="S52" s="36" t="str">
        <f t="shared" si="9"/>
        <v>Inviable Sanitariamente</v>
      </c>
      <c r="T52" s="13"/>
      <c r="U52" s="4"/>
      <c r="V52" s="4"/>
      <c r="W52" s="4"/>
    </row>
    <row r="53" spans="1:23" ht="36" customHeight="1">
      <c r="A53" s="33" t="s">
        <v>173</v>
      </c>
      <c r="B53" s="37" t="s">
        <v>71</v>
      </c>
      <c r="C53" s="48" t="s">
        <v>211</v>
      </c>
      <c r="D53" s="34">
        <v>26</v>
      </c>
      <c r="E53" s="35">
        <v>70.96</v>
      </c>
      <c r="F53" s="35">
        <v>70.96</v>
      </c>
      <c r="G53" s="35">
        <v>90.32</v>
      </c>
      <c r="H53" s="35">
        <v>70.96</v>
      </c>
      <c r="I53" s="35">
        <v>90.32</v>
      </c>
      <c r="J53" s="35">
        <v>67.48</v>
      </c>
      <c r="K53" s="35">
        <v>90.32</v>
      </c>
      <c r="L53" s="35">
        <v>70.96</v>
      </c>
      <c r="M53" s="35">
        <v>70.96</v>
      </c>
      <c r="N53" s="35"/>
      <c r="O53" s="35">
        <v>70.96</v>
      </c>
      <c r="P53" s="35">
        <v>70.96</v>
      </c>
      <c r="Q53" s="44">
        <v>75.9</v>
      </c>
      <c r="R53" s="36" t="str">
        <f t="shared" si="8"/>
        <v>NO</v>
      </c>
      <c r="S53" s="36" t="str">
        <f t="shared" si="9"/>
        <v>Alto</v>
      </c>
      <c r="T53" s="4"/>
      <c r="U53" s="4"/>
      <c r="V53" s="4"/>
      <c r="W53" s="4"/>
    </row>
    <row r="54" spans="1:23" ht="33.75" customHeight="1">
      <c r="A54" s="33" t="s">
        <v>173</v>
      </c>
      <c r="B54" s="37" t="s">
        <v>71</v>
      </c>
      <c r="C54" s="48" t="s">
        <v>212</v>
      </c>
      <c r="D54" s="34">
        <v>49</v>
      </c>
      <c r="E54" s="35">
        <v>70.96</v>
      </c>
      <c r="F54" s="35">
        <v>70.96</v>
      </c>
      <c r="G54" s="35">
        <v>98.06</v>
      </c>
      <c r="H54" s="35">
        <v>70.96</v>
      </c>
      <c r="I54" s="35">
        <v>70.96</v>
      </c>
      <c r="J54" s="35">
        <v>93.49</v>
      </c>
      <c r="K54" s="35">
        <v>78.7</v>
      </c>
      <c r="L54" s="35">
        <v>70.96</v>
      </c>
      <c r="M54" s="35">
        <v>70.96</v>
      </c>
      <c r="N54" s="35">
        <v>98.06</v>
      </c>
      <c r="O54" s="35"/>
      <c r="P54" s="35">
        <v>70.96</v>
      </c>
      <c r="Q54" s="44">
        <v>78.6</v>
      </c>
      <c r="R54" s="36" t="str">
        <f t="shared" si="8"/>
        <v>NO</v>
      </c>
      <c r="S54" s="36" t="str">
        <f t="shared" si="9"/>
        <v>Alto</v>
      </c>
      <c r="T54" s="4"/>
      <c r="U54" s="4"/>
      <c r="V54" s="4"/>
      <c r="W54" s="4"/>
    </row>
    <row r="55" spans="1:23" ht="30.75" customHeight="1">
      <c r="A55" s="33" t="s">
        <v>173</v>
      </c>
      <c r="B55" s="37" t="s">
        <v>71</v>
      </c>
      <c r="C55" s="48" t="s">
        <v>213</v>
      </c>
      <c r="D55" s="34">
        <v>210</v>
      </c>
      <c r="E55" s="35">
        <v>90.32</v>
      </c>
      <c r="F55" s="35">
        <v>70.96</v>
      </c>
      <c r="G55" s="35">
        <v>70.96</v>
      </c>
      <c r="H55" s="35">
        <v>70.96</v>
      </c>
      <c r="I55" s="35">
        <v>70.96</v>
      </c>
      <c r="J55" s="35">
        <v>82.84</v>
      </c>
      <c r="K55" s="35">
        <v>90.32</v>
      </c>
      <c r="L55" s="35">
        <v>70.96</v>
      </c>
      <c r="M55" s="35">
        <v>90.32</v>
      </c>
      <c r="N55" s="35">
        <v>98.06</v>
      </c>
      <c r="O55" s="35">
        <v>90.32</v>
      </c>
      <c r="P55" s="35">
        <v>70.96</v>
      </c>
      <c r="Q55" s="44">
        <v>78.6</v>
      </c>
      <c r="R55" s="36" t="str">
        <f t="shared" si="8"/>
        <v>NO</v>
      </c>
      <c r="S55" s="36" t="str">
        <f t="shared" si="9"/>
        <v>Alto</v>
      </c>
      <c r="T55" s="4"/>
      <c r="U55" s="4"/>
      <c r="V55" s="4"/>
      <c r="W55" s="4"/>
    </row>
    <row r="56" spans="1:23" ht="33.75" customHeight="1">
      <c r="A56" s="33" t="s">
        <v>173</v>
      </c>
      <c r="B56" s="37" t="s">
        <v>71</v>
      </c>
      <c r="C56" s="48" t="s">
        <v>214</v>
      </c>
      <c r="D56" s="34">
        <v>2112</v>
      </c>
      <c r="E56" s="35">
        <v>0</v>
      </c>
      <c r="F56" s="35">
        <v>0</v>
      </c>
      <c r="G56" s="35">
        <v>0</v>
      </c>
      <c r="H56" s="35">
        <v>0</v>
      </c>
      <c r="I56" s="35">
        <v>0.88</v>
      </c>
      <c r="J56" s="35">
        <v>1.18</v>
      </c>
      <c r="K56" s="35">
        <v>0</v>
      </c>
      <c r="L56" s="35">
        <v>0</v>
      </c>
      <c r="M56" s="35">
        <v>15.3</v>
      </c>
      <c r="N56" s="35">
        <v>0</v>
      </c>
      <c r="O56" s="35">
        <v>0</v>
      </c>
      <c r="P56" s="35">
        <v>0</v>
      </c>
      <c r="Q56" s="44">
        <v>1.37</v>
      </c>
      <c r="R56" s="36" t="str">
        <f t="shared" si="8"/>
        <v>SI</v>
      </c>
      <c r="S56" s="36" t="str">
        <f t="shared" si="9"/>
        <v>Sin Riesgo</v>
      </c>
      <c r="T56" s="4"/>
      <c r="U56" s="4"/>
      <c r="V56" s="4"/>
      <c r="W56" s="4"/>
    </row>
    <row r="57" spans="1:23" ht="33.75" customHeight="1">
      <c r="A57" s="33" t="s">
        <v>173</v>
      </c>
      <c r="B57" s="37" t="s">
        <v>71</v>
      </c>
      <c r="C57" s="48" t="s">
        <v>215</v>
      </c>
      <c r="D57" s="34">
        <v>425</v>
      </c>
      <c r="E57" s="35">
        <v>70.96</v>
      </c>
      <c r="F57" s="35">
        <v>70.96</v>
      </c>
      <c r="G57" s="35">
        <v>70.96</v>
      </c>
      <c r="H57" s="35">
        <v>70.96</v>
      </c>
      <c r="I57" s="35">
        <v>70.96</v>
      </c>
      <c r="J57" s="35">
        <v>65.08</v>
      </c>
      <c r="K57" s="35">
        <v>70.96</v>
      </c>
      <c r="L57" s="35">
        <v>70.96</v>
      </c>
      <c r="M57" s="35">
        <v>90.32</v>
      </c>
      <c r="N57" s="35">
        <v>70.96</v>
      </c>
      <c r="O57" s="35">
        <v>70.96</v>
      </c>
      <c r="P57" s="35">
        <v>70.96</v>
      </c>
      <c r="Q57" s="44">
        <v>72.1</v>
      </c>
      <c r="R57" s="36" t="str">
        <f t="shared" si="8"/>
        <v>NO</v>
      </c>
      <c r="S57" s="36" t="str">
        <f t="shared" si="9"/>
        <v>Alto</v>
      </c>
      <c r="T57" s="4"/>
      <c r="U57" s="4"/>
      <c r="V57" s="4"/>
      <c r="W57" s="4"/>
    </row>
    <row r="58" spans="1:23" ht="35.25" customHeight="1">
      <c r="A58" s="33" t="s">
        <v>173</v>
      </c>
      <c r="B58" s="37" t="s">
        <v>71</v>
      </c>
      <c r="C58" s="48" t="s">
        <v>216</v>
      </c>
      <c r="D58" s="34">
        <v>18</v>
      </c>
      <c r="E58" s="35">
        <v>70.96</v>
      </c>
      <c r="F58" s="35">
        <v>70.96</v>
      </c>
      <c r="G58" s="35">
        <v>70.96</v>
      </c>
      <c r="H58" s="35">
        <v>70.96</v>
      </c>
      <c r="I58" s="35">
        <v>70.96</v>
      </c>
      <c r="J58" s="35">
        <v>82.84</v>
      </c>
      <c r="K58" s="35">
        <v>90.32</v>
      </c>
      <c r="L58" s="35">
        <v>70.96</v>
      </c>
      <c r="M58" s="35">
        <v>98.06</v>
      </c>
      <c r="N58" s="35"/>
      <c r="O58" s="35">
        <v>70.96</v>
      </c>
      <c r="P58" s="35">
        <v>70.96</v>
      </c>
      <c r="Q58" s="44">
        <v>76.3</v>
      </c>
      <c r="R58" s="36" t="str">
        <f t="shared" si="8"/>
        <v>NO</v>
      </c>
      <c r="S58" s="36" t="str">
        <f t="shared" si="9"/>
        <v>Alto</v>
      </c>
      <c r="T58" s="4"/>
      <c r="U58" s="4"/>
      <c r="V58" s="4"/>
      <c r="W58" s="4"/>
    </row>
    <row r="59" spans="1:23" ht="24.75" customHeight="1">
      <c r="A59" s="33" t="s">
        <v>172</v>
      </c>
      <c r="B59" s="37" t="s">
        <v>72</v>
      </c>
      <c r="C59" s="48" t="s">
        <v>12</v>
      </c>
      <c r="D59" s="34">
        <v>485</v>
      </c>
      <c r="E59" s="35">
        <v>0</v>
      </c>
      <c r="F59" s="35">
        <v>6.45</v>
      </c>
      <c r="G59" s="35">
        <v>0</v>
      </c>
      <c r="H59" s="35">
        <v>0</v>
      </c>
      <c r="I59" s="35">
        <v>5.92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6.45</v>
      </c>
      <c r="Q59" s="44">
        <v>1.57</v>
      </c>
      <c r="R59" s="36" t="str">
        <f t="shared" si="8"/>
        <v>SI</v>
      </c>
      <c r="S59" s="36" t="str">
        <f t="shared" si="9"/>
        <v>Sin Riesgo</v>
      </c>
      <c r="T59" s="4"/>
      <c r="U59" s="4"/>
      <c r="V59" s="4"/>
      <c r="W59" s="4"/>
    </row>
    <row r="60" spans="1:23" ht="24.75" customHeight="1">
      <c r="A60" s="33" t="s">
        <v>172</v>
      </c>
      <c r="B60" s="37" t="s">
        <v>72</v>
      </c>
      <c r="C60" s="48" t="s">
        <v>25</v>
      </c>
      <c r="D60" s="34">
        <v>4860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v>0</v>
      </c>
      <c r="R60" s="36" t="str">
        <f t="shared" si="8"/>
        <v>SI</v>
      </c>
      <c r="S60" s="36" t="str">
        <f t="shared" si="9"/>
        <v>Sin Riesgo</v>
      </c>
      <c r="T60" s="4"/>
      <c r="U60" s="4"/>
      <c r="V60" s="4"/>
      <c r="W60" s="4"/>
    </row>
    <row r="61" spans="1:23" ht="40.5" customHeight="1">
      <c r="A61" s="33" t="s">
        <v>172</v>
      </c>
      <c r="B61" s="37" t="s">
        <v>72</v>
      </c>
      <c r="C61" s="48" t="s">
        <v>217</v>
      </c>
      <c r="D61" s="34">
        <v>198</v>
      </c>
      <c r="E61" s="35">
        <v>0</v>
      </c>
      <c r="F61" s="35">
        <v>23.6</v>
      </c>
      <c r="G61" s="35">
        <v>23.6</v>
      </c>
      <c r="H61" s="35">
        <v>0</v>
      </c>
      <c r="I61" s="35">
        <v>5.92</v>
      </c>
      <c r="J61" s="35">
        <v>6.45</v>
      </c>
      <c r="K61" s="35">
        <v>0</v>
      </c>
      <c r="L61" s="35">
        <v>0</v>
      </c>
      <c r="M61" s="35">
        <v>23.6</v>
      </c>
      <c r="N61" s="35">
        <v>47.25</v>
      </c>
      <c r="O61" s="35">
        <v>32.63</v>
      </c>
      <c r="P61" s="35">
        <v>0</v>
      </c>
      <c r="Q61" s="44">
        <v>13.59</v>
      </c>
      <c r="R61" s="36" t="str">
        <f t="shared" si="8"/>
        <v>NO</v>
      </c>
      <c r="S61" s="36" t="str">
        <f t="shared" si="9"/>
        <v>Bajo</v>
      </c>
      <c r="T61" s="4"/>
      <c r="U61" s="4"/>
      <c r="V61" s="4"/>
      <c r="W61" s="4"/>
    </row>
    <row r="62" spans="1:23" ht="24.75" customHeight="1">
      <c r="A62" s="33" t="s">
        <v>170</v>
      </c>
      <c r="B62" s="37" t="s">
        <v>73</v>
      </c>
      <c r="C62" s="48" t="s">
        <v>218</v>
      </c>
      <c r="D62" s="34">
        <v>2066</v>
      </c>
      <c r="E62" s="35">
        <v>0</v>
      </c>
      <c r="F62" s="35">
        <v>0</v>
      </c>
      <c r="G62" s="35">
        <v>15.3</v>
      </c>
      <c r="H62" s="35">
        <v>1.18</v>
      </c>
      <c r="I62" s="35">
        <v>0</v>
      </c>
      <c r="J62" s="35">
        <v>0</v>
      </c>
      <c r="K62" s="35">
        <v>0</v>
      </c>
      <c r="L62" s="35">
        <v>0</v>
      </c>
      <c r="M62" s="35">
        <v>6.45</v>
      </c>
      <c r="N62" s="35">
        <v>0</v>
      </c>
      <c r="O62" s="35">
        <v>6.45</v>
      </c>
      <c r="P62" s="35">
        <v>0</v>
      </c>
      <c r="Q62" s="44">
        <v>2.45</v>
      </c>
      <c r="R62" s="36" t="str">
        <f t="shared" si="8"/>
        <v>SI</v>
      </c>
      <c r="S62" s="36" t="str">
        <f t="shared" si="9"/>
        <v>Sin Riesgo</v>
      </c>
      <c r="T62" s="4"/>
      <c r="U62" s="4"/>
      <c r="V62" s="4"/>
      <c r="W62" s="4"/>
    </row>
    <row r="63" spans="1:23" ht="33.75" customHeight="1">
      <c r="A63" s="33" t="s">
        <v>170</v>
      </c>
      <c r="B63" s="37" t="s">
        <v>74</v>
      </c>
      <c r="C63" s="48" t="s">
        <v>219</v>
      </c>
      <c r="D63" s="34">
        <v>642</v>
      </c>
      <c r="E63" s="35">
        <v>0</v>
      </c>
      <c r="F63" s="35">
        <v>0</v>
      </c>
      <c r="G63" s="35">
        <v>0</v>
      </c>
      <c r="H63" s="35">
        <v>1.18</v>
      </c>
      <c r="I63" s="35">
        <v>0.64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44">
        <v>0.17</v>
      </c>
      <c r="R63" s="36" t="str">
        <f t="shared" si="8"/>
        <v>SI</v>
      </c>
      <c r="S63" s="36" t="str">
        <f t="shared" si="9"/>
        <v>Sin Riesgo</v>
      </c>
      <c r="T63" s="4"/>
      <c r="U63" s="4"/>
      <c r="V63" s="4"/>
      <c r="W63" s="4"/>
    </row>
    <row r="64" spans="1:23" ht="24.75" customHeight="1">
      <c r="A64" s="33" t="s">
        <v>172</v>
      </c>
      <c r="B64" s="37" t="s">
        <v>75</v>
      </c>
      <c r="C64" s="48" t="s">
        <v>220</v>
      </c>
      <c r="D64" s="34">
        <v>2485</v>
      </c>
      <c r="E64" s="35">
        <v>0</v>
      </c>
      <c r="F64" s="35">
        <v>0</v>
      </c>
      <c r="G64" s="35">
        <v>0</v>
      </c>
      <c r="H64" s="35">
        <v>0</v>
      </c>
      <c r="I64" s="35">
        <v>1.18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9.03</v>
      </c>
      <c r="P64" s="35">
        <v>0</v>
      </c>
      <c r="Q64" s="44">
        <v>0.85</v>
      </c>
      <c r="R64" s="36" t="str">
        <f t="shared" si="8"/>
        <v>SI</v>
      </c>
      <c r="S64" s="36" t="str">
        <f t="shared" si="9"/>
        <v>Sin Riesgo</v>
      </c>
      <c r="T64" s="4"/>
      <c r="U64" s="4"/>
      <c r="V64" s="4"/>
      <c r="W64" s="4"/>
    </row>
    <row r="65" spans="1:23" ht="24.75" customHeight="1">
      <c r="A65" s="33" t="s">
        <v>167</v>
      </c>
      <c r="B65" s="37" t="s">
        <v>76</v>
      </c>
      <c r="C65" s="48" t="s">
        <v>297</v>
      </c>
      <c r="D65" s="34">
        <v>19802</v>
      </c>
      <c r="E65" s="35">
        <v>0</v>
      </c>
      <c r="F65" s="35">
        <v>0</v>
      </c>
      <c r="G65" s="35">
        <v>0</v>
      </c>
      <c r="H65" s="35">
        <v>0</v>
      </c>
      <c r="I65" s="35">
        <v>1.18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9.03</v>
      </c>
      <c r="P65" s="35">
        <v>0</v>
      </c>
      <c r="Q65" s="44">
        <v>0.85</v>
      </c>
      <c r="R65" s="36" t="str">
        <f t="shared" si="8"/>
        <v>SI</v>
      </c>
      <c r="S65" s="36" t="str">
        <f t="shared" si="9"/>
        <v>Sin Riesgo</v>
      </c>
      <c r="T65" s="4"/>
      <c r="U65" s="4"/>
      <c r="V65" s="4"/>
      <c r="W65" s="4"/>
    </row>
    <row r="66" spans="1:23" ht="37.5" customHeight="1">
      <c r="A66" s="33" t="s">
        <v>171</v>
      </c>
      <c r="B66" s="37" t="s">
        <v>77</v>
      </c>
      <c r="C66" s="48" t="s">
        <v>221</v>
      </c>
      <c r="D66" s="34">
        <v>2603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44">
        <v>0</v>
      </c>
      <c r="R66" s="36" t="str">
        <f t="shared" si="8"/>
        <v>SI</v>
      </c>
      <c r="S66" s="36" t="str">
        <f t="shared" si="9"/>
        <v>Sin Riesgo</v>
      </c>
      <c r="T66" s="4"/>
      <c r="U66" s="4"/>
      <c r="V66" s="4"/>
      <c r="W66" s="4"/>
    </row>
    <row r="67" spans="1:23" ht="30.75" customHeight="1">
      <c r="A67" s="33" t="s">
        <v>171</v>
      </c>
      <c r="B67" s="37" t="s">
        <v>77</v>
      </c>
      <c r="C67" s="48" t="s">
        <v>222</v>
      </c>
      <c r="D67" s="34">
        <v>102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44">
        <v>0</v>
      </c>
      <c r="R67" s="36" t="str">
        <f t="shared" si="8"/>
        <v>SI</v>
      </c>
      <c r="S67" s="36" t="str">
        <f t="shared" si="9"/>
        <v>Sin Riesgo</v>
      </c>
      <c r="T67" s="4"/>
      <c r="U67" s="4"/>
      <c r="V67" s="4"/>
      <c r="W67" s="4"/>
    </row>
    <row r="68" spans="1:23" ht="33" customHeight="1">
      <c r="A68" s="33" t="s">
        <v>171</v>
      </c>
      <c r="B68" s="37" t="s">
        <v>77</v>
      </c>
      <c r="C68" s="48" t="s">
        <v>223</v>
      </c>
      <c r="D68" s="34">
        <v>69</v>
      </c>
      <c r="E68" s="35">
        <v>97.34</v>
      </c>
      <c r="F68" s="35">
        <v>70.96</v>
      </c>
      <c r="G68" s="35">
        <v>82.84</v>
      </c>
      <c r="H68" s="35">
        <v>98.06</v>
      </c>
      <c r="I68" s="35">
        <v>90.32</v>
      </c>
      <c r="J68" s="35">
        <v>97.6</v>
      </c>
      <c r="K68" s="35">
        <v>90.32</v>
      </c>
      <c r="L68" s="35">
        <v>90.32</v>
      </c>
      <c r="M68" s="35">
        <v>70.96</v>
      </c>
      <c r="N68" s="35">
        <v>70.96</v>
      </c>
      <c r="O68" s="35">
        <v>90.32</v>
      </c>
      <c r="P68" s="35">
        <v>70.96</v>
      </c>
      <c r="Q68" s="44">
        <v>85.08</v>
      </c>
      <c r="R68" s="36" t="str">
        <f t="shared" si="8"/>
        <v>NO</v>
      </c>
      <c r="S68" s="36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3" t="s">
        <v>174</v>
      </c>
      <c r="B69" s="37" t="s">
        <v>78</v>
      </c>
      <c r="C69" s="48" t="s">
        <v>299</v>
      </c>
      <c r="D69" s="34">
        <v>3978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44">
        <v>0</v>
      </c>
      <c r="R69" s="36" t="str">
        <f t="shared" si="8"/>
        <v>SI</v>
      </c>
      <c r="S69" s="36" t="str">
        <f aca="true" t="shared" si="10" ref="S69:S132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3" t="s">
        <v>171</v>
      </c>
      <c r="B70" s="37" t="s">
        <v>79</v>
      </c>
      <c r="C70" s="48" t="s">
        <v>224</v>
      </c>
      <c r="D70" s="34">
        <v>724</v>
      </c>
      <c r="E70" s="35">
        <v>0</v>
      </c>
      <c r="F70" s="35">
        <v>0</v>
      </c>
      <c r="G70" s="35">
        <v>0</v>
      </c>
      <c r="H70" s="35">
        <v>0</v>
      </c>
      <c r="I70" s="35">
        <v>1.18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44">
        <v>0.01</v>
      </c>
      <c r="R70" s="36" t="str">
        <f aca="true" t="shared" si="11" ref="R70:R143">IF(Q70&lt;=5,"SI","NO")</f>
        <v>SI</v>
      </c>
      <c r="S70" s="36" t="str">
        <f t="shared" si="10"/>
        <v>Sin Riesgo</v>
      </c>
      <c r="T70" s="4"/>
      <c r="U70" s="4"/>
      <c r="V70" s="4"/>
      <c r="W70" s="4"/>
    </row>
    <row r="71" spans="1:23" ht="32.25" customHeight="1">
      <c r="A71" s="33" t="s">
        <v>176</v>
      </c>
      <c r="B71" s="37" t="s">
        <v>80</v>
      </c>
      <c r="C71" s="48" t="s">
        <v>225</v>
      </c>
      <c r="D71" s="34">
        <v>8631</v>
      </c>
      <c r="E71" s="35">
        <v>0</v>
      </c>
      <c r="F71" s="35">
        <v>0</v>
      </c>
      <c r="G71" s="35">
        <v>0</v>
      </c>
      <c r="H71" s="35">
        <v>5.31</v>
      </c>
      <c r="I71" s="35">
        <v>5.69</v>
      </c>
      <c r="J71" s="35">
        <v>10.73</v>
      </c>
      <c r="K71" s="35">
        <v>0</v>
      </c>
      <c r="L71" s="35">
        <v>3.87</v>
      </c>
      <c r="M71" s="35">
        <v>0</v>
      </c>
      <c r="N71" s="35">
        <v>0</v>
      </c>
      <c r="O71" s="35">
        <v>5.31</v>
      </c>
      <c r="P71" s="35">
        <v>0</v>
      </c>
      <c r="Q71" s="44">
        <v>2.57</v>
      </c>
      <c r="R71" s="36" t="str">
        <f t="shared" si="11"/>
        <v>SI</v>
      </c>
      <c r="S71" s="36" t="str">
        <f t="shared" si="10"/>
        <v>Sin Riesgo</v>
      </c>
      <c r="T71" s="4"/>
      <c r="U71" s="4"/>
      <c r="V71" s="4"/>
      <c r="W71" s="4"/>
    </row>
    <row r="72" spans="1:23" ht="24.75" customHeight="1">
      <c r="A72" s="33" t="s">
        <v>176</v>
      </c>
      <c r="B72" s="37" t="s">
        <v>80</v>
      </c>
      <c r="C72" s="48" t="s">
        <v>300</v>
      </c>
      <c r="D72" s="34">
        <v>503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44">
        <v>0</v>
      </c>
      <c r="R72" s="36" t="str">
        <f t="shared" si="11"/>
        <v>SI</v>
      </c>
      <c r="S72" s="36" t="str">
        <f t="shared" si="10"/>
        <v>Sin Riesgo</v>
      </c>
      <c r="T72" s="4"/>
      <c r="U72" s="4"/>
      <c r="V72" s="4"/>
      <c r="W72" s="4"/>
    </row>
    <row r="73" spans="1:23" ht="24.75" customHeight="1">
      <c r="A73" s="33" t="s">
        <v>170</v>
      </c>
      <c r="B73" s="37" t="s">
        <v>179</v>
      </c>
      <c r="C73" s="48" t="s">
        <v>226</v>
      </c>
      <c r="D73" s="34">
        <v>10488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44">
        <v>0</v>
      </c>
      <c r="R73" s="36" t="str">
        <f t="shared" si="11"/>
        <v>SI</v>
      </c>
      <c r="S73" s="36" t="str">
        <f t="shared" si="10"/>
        <v>Sin Riesgo</v>
      </c>
      <c r="T73" s="4"/>
      <c r="U73" s="4"/>
      <c r="V73" s="4"/>
      <c r="W73" s="4"/>
    </row>
    <row r="74" spans="1:23" ht="38.25" customHeight="1">
      <c r="A74" s="33" t="s">
        <v>170</v>
      </c>
      <c r="B74" s="37" t="s">
        <v>81</v>
      </c>
      <c r="C74" s="48" t="s">
        <v>227</v>
      </c>
      <c r="D74" s="34">
        <v>8217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3.87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44">
        <v>0.33</v>
      </c>
      <c r="R74" s="36" t="str">
        <f t="shared" si="11"/>
        <v>SI</v>
      </c>
      <c r="S74" s="36" t="str">
        <f t="shared" si="10"/>
        <v>Sin Riesgo</v>
      </c>
      <c r="T74" s="4"/>
      <c r="U74" s="4"/>
      <c r="V74" s="4"/>
      <c r="W74" s="4"/>
    </row>
    <row r="75" spans="1:23" ht="43.5" customHeight="1">
      <c r="A75" s="33" t="s">
        <v>170</v>
      </c>
      <c r="B75" s="37" t="s">
        <v>81</v>
      </c>
      <c r="C75" s="48" t="s">
        <v>301</v>
      </c>
      <c r="D75" s="34">
        <v>150</v>
      </c>
      <c r="E75" s="35">
        <v>0</v>
      </c>
      <c r="F75" s="35">
        <v>0</v>
      </c>
      <c r="G75" s="35">
        <v>0</v>
      </c>
      <c r="H75" s="35">
        <v>0</v>
      </c>
      <c r="I75" s="35">
        <v>17.75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44">
        <v>1.48</v>
      </c>
      <c r="R75" s="36" t="str">
        <f t="shared" si="11"/>
        <v>SI</v>
      </c>
      <c r="S75" s="36" t="str">
        <f t="shared" si="10"/>
        <v>Sin Riesgo</v>
      </c>
      <c r="T75" s="4"/>
      <c r="U75" s="4"/>
      <c r="V75" s="4"/>
      <c r="W75" s="4"/>
    </row>
    <row r="76" spans="1:23" ht="33.75" customHeight="1">
      <c r="A76" s="33" t="s">
        <v>170</v>
      </c>
      <c r="B76" s="37" t="s">
        <v>81</v>
      </c>
      <c r="C76" s="48" t="s">
        <v>29</v>
      </c>
      <c r="D76" s="34">
        <v>498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44">
        <v>0</v>
      </c>
      <c r="R76" s="36" t="str">
        <f t="shared" si="11"/>
        <v>SI</v>
      </c>
      <c r="S76" s="36" t="str">
        <f t="shared" si="10"/>
        <v>Sin Riesgo</v>
      </c>
      <c r="T76" s="4"/>
      <c r="U76" s="4"/>
      <c r="V76" s="4"/>
      <c r="W76" s="4"/>
    </row>
    <row r="77" spans="1:23" ht="39.75" customHeight="1">
      <c r="A77" s="33" t="s">
        <v>174</v>
      </c>
      <c r="B77" s="37" t="s">
        <v>82</v>
      </c>
      <c r="C77" s="48" t="s">
        <v>228</v>
      </c>
      <c r="D77" s="34">
        <v>1734</v>
      </c>
      <c r="E77" s="35">
        <v>6.45</v>
      </c>
      <c r="F77" s="35">
        <v>9.03</v>
      </c>
      <c r="G77" s="35">
        <v>2.58</v>
      </c>
      <c r="H77" s="35">
        <v>9.03</v>
      </c>
      <c r="I77" s="35">
        <v>0</v>
      </c>
      <c r="J77" s="35">
        <v>2.37</v>
      </c>
      <c r="K77" s="35">
        <v>0</v>
      </c>
      <c r="L77" s="35">
        <v>9.03</v>
      </c>
      <c r="M77" s="35">
        <v>2.58</v>
      </c>
      <c r="N77" s="35">
        <v>0</v>
      </c>
      <c r="O77" s="35">
        <v>8.85</v>
      </c>
      <c r="P77" s="35">
        <v>0</v>
      </c>
      <c r="Q77" s="44">
        <v>4.16</v>
      </c>
      <c r="R77" s="36" t="str">
        <f t="shared" si="11"/>
        <v>SI</v>
      </c>
      <c r="S77" s="36" t="str">
        <f t="shared" si="10"/>
        <v>Sin Riesgo</v>
      </c>
      <c r="T77" s="4"/>
      <c r="U77" s="4"/>
      <c r="V77" s="4"/>
      <c r="W77" s="4"/>
    </row>
    <row r="78" spans="1:23" ht="24.75" customHeight="1">
      <c r="A78" s="33" t="s">
        <v>167</v>
      </c>
      <c r="B78" s="37" t="s">
        <v>83</v>
      </c>
      <c r="C78" s="52" t="s">
        <v>297</v>
      </c>
      <c r="D78" s="34">
        <v>70129</v>
      </c>
      <c r="E78" s="35">
        <v>0</v>
      </c>
      <c r="F78" s="35">
        <v>2.58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8.71</v>
      </c>
      <c r="N78" s="35">
        <v>0</v>
      </c>
      <c r="O78" s="35">
        <v>0</v>
      </c>
      <c r="P78" s="35">
        <v>6.45</v>
      </c>
      <c r="Q78" s="44">
        <v>1.44</v>
      </c>
      <c r="R78" s="36" t="str">
        <f t="shared" si="11"/>
        <v>SI</v>
      </c>
      <c r="S78" s="36" t="str">
        <f t="shared" si="10"/>
        <v>Sin Riesgo</v>
      </c>
      <c r="T78" s="4"/>
      <c r="U78" s="4"/>
      <c r="V78" s="4"/>
      <c r="W78" s="4"/>
    </row>
    <row r="79" spans="1:23" ht="24.75" customHeight="1">
      <c r="A79" s="33" t="s">
        <v>172</v>
      </c>
      <c r="B79" s="37" t="s">
        <v>84</v>
      </c>
      <c r="C79" s="48" t="s">
        <v>229</v>
      </c>
      <c r="D79" s="34">
        <v>2635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44">
        <v>0</v>
      </c>
      <c r="R79" s="36" t="str">
        <f t="shared" si="11"/>
        <v>SI</v>
      </c>
      <c r="S79" s="36" t="str">
        <f t="shared" si="10"/>
        <v>Sin Riesgo</v>
      </c>
      <c r="T79" s="4"/>
      <c r="U79" s="4"/>
      <c r="V79" s="4"/>
      <c r="W79" s="4"/>
    </row>
    <row r="80" spans="1:23" ht="32.25" customHeight="1">
      <c r="A80" s="33" t="s">
        <v>171</v>
      </c>
      <c r="B80" s="37" t="s">
        <v>85</v>
      </c>
      <c r="C80" s="48" t="s">
        <v>230</v>
      </c>
      <c r="D80" s="34">
        <v>1618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44">
        <v>0</v>
      </c>
      <c r="R80" s="36" t="str">
        <f t="shared" si="11"/>
        <v>SI</v>
      </c>
      <c r="S80" s="36" t="str">
        <f t="shared" si="10"/>
        <v>Sin Riesgo</v>
      </c>
      <c r="T80" s="4"/>
      <c r="U80" s="4"/>
      <c r="V80" s="4"/>
      <c r="W80" s="4"/>
    </row>
    <row r="81" spans="1:23" ht="39.75" customHeight="1">
      <c r="A81" s="33" t="s">
        <v>171</v>
      </c>
      <c r="B81" s="37" t="s">
        <v>85</v>
      </c>
      <c r="C81" s="48" t="s">
        <v>231</v>
      </c>
      <c r="D81" s="34">
        <v>1808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44">
        <v>0</v>
      </c>
      <c r="R81" s="36" t="str">
        <f t="shared" si="11"/>
        <v>SI</v>
      </c>
      <c r="S81" s="36" t="str">
        <f t="shared" si="10"/>
        <v>Sin Riesgo</v>
      </c>
      <c r="T81" s="4"/>
      <c r="U81" s="4"/>
      <c r="V81" s="4"/>
      <c r="W81" s="4"/>
    </row>
    <row r="82" spans="1:23" ht="39" customHeight="1">
      <c r="A82" s="33" t="s">
        <v>171</v>
      </c>
      <c r="B82" s="37" t="s">
        <v>86</v>
      </c>
      <c r="C82" s="48" t="s">
        <v>302</v>
      </c>
      <c r="D82" s="34">
        <v>729</v>
      </c>
      <c r="E82" s="35">
        <v>0</v>
      </c>
      <c r="F82" s="35">
        <v>0</v>
      </c>
      <c r="G82" s="35">
        <v>0</v>
      </c>
      <c r="H82" s="35">
        <v>15.3</v>
      </c>
      <c r="I82" s="35">
        <v>0</v>
      </c>
      <c r="J82" s="35">
        <v>0</v>
      </c>
      <c r="K82" s="35">
        <v>8.85</v>
      </c>
      <c r="L82" s="35">
        <v>0</v>
      </c>
      <c r="M82" s="35">
        <v>0</v>
      </c>
      <c r="N82" s="35">
        <v>8.85</v>
      </c>
      <c r="O82" s="35">
        <v>0</v>
      </c>
      <c r="P82" s="35">
        <v>0</v>
      </c>
      <c r="Q82" s="44">
        <v>2.75</v>
      </c>
      <c r="R82" s="36" t="str">
        <f t="shared" si="11"/>
        <v>SI</v>
      </c>
      <c r="S82" s="36" t="str">
        <f t="shared" si="10"/>
        <v>Sin Riesgo</v>
      </c>
      <c r="T82" s="4"/>
      <c r="U82" s="4"/>
      <c r="V82" s="4"/>
      <c r="W82" s="4"/>
    </row>
    <row r="83" spans="1:23" ht="39" customHeight="1">
      <c r="A83" s="33" t="s">
        <v>171</v>
      </c>
      <c r="B83" s="37" t="s">
        <v>86</v>
      </c>
      <c r="C83" s="48" t="s">
        <v>291</v>
      </c>
      <c r="D83" s="34">
        <v>70</v>
      </c>
      <c r="E83" s="35">
        <v>70.96</v>
      </c>
      <c r="F83" s="35">
        <v>70.96</v>
      </c>
      <c r="G83" s="35">
        <v>70.96</v>
      </c>
      <c r="H83" s="35">
        <v>70.96</v>
      </c>
      <c r="I83" s="35">
        <v>57.55</v>
      </c>
      <c r="J83" s="35">
        <v>38.7</v>
      </c>
      <c r="K83" s="35">
        <v>70.96</v>
      </c>
      <c r="L83" s="35">
        <v>70.96</v>
      </c>
      <c r="M83" s="35">
        <v>70.96</v>
      </c>
      <c r="N83" s="35">
        <v>70.96</v>
      </c>
      <c r="O83" s="35">
        <v>97.34</v>
      </c>
      <c r="P83" s="35">
        <v>70.96</v>
      </c>
      <c r="Q83" s="44">
        <v>69.35</v>
      </c>
      <c r="R83" s="36" t="str">
        <f t="shared" si="11"/>
        <v>NO</v>
      </c>
      <c r="S83" s="36" t="str">
        <f t="shared" si="10"/>
        <v>Alto</v>
      </c>
      <c r="T83" s="4"/>
      <c r="U83" s="4"/>
      <c r="V83" s="4"/>
      <c r="W83" s="4"/>
    </row>
    <row r="84" spans="1:23" ht="24.75" customHeight="1">
      <c r="A84" s="33" t="s">
        <v>167</v>
      </c>
      <c r="B84" s="37" t="s">
        <v>87</v>
      </c>
      <c r="C84" s="48" t="s">
        <v>297</v>
      </c>
      <c r="D84" s="34">
        <v>8813</v>
      </c>
      <c r="E84" s="35">
        <v>0</v>
      </c>
      <c r="F84" s="35">
        <v>0</v>
      </c>
      <c r="G84" s="35">
        <v>0</v>
      </c>
      <c r="H84" s="35">
        <v>0</v>
      </c>
      <c r="I84" s="35">
        <v>4.53</v>
      </c>
      <c r="J84" s="35">
        <v>0</v>
      </c>
      <c r="K84" s="35">
        <v>5.31</v>
      </c>
      <c r="L84" s="35">
        <v>0</v>
      </c>
      <c r="M84" s="35">
        <v>0</v>
      </c>
      <c r="N84" s="35">
        <v>1.92</v>
      </c>
      <c r="O84" s="35">
        <v>0</v>
      </c>
      <c r="P84" s="35">
        <v>0</v>
      </c>
      <c r="Q84" s="44">
        <v>1.03</v>
      </c>
      <c r="R84" s="36" t="str">
        <f t="shared" si="11"/>
        <v>SI</v>
      </c>
      <c r="S84" s="36" t="str">
        <f t="shared" si="10"/>
        <v>Sin Riesgo</v>
      </c>
      <c r="T84" s="4"/>
      <c r="U84" s="4"/>
      <c r="V84" s="4"/>
      <c r="W84" s="4"/>
    </row>
    <row r="85" spans="1:23" ht="36" customHeight="1">
      <c r="A85" s="33" t="s">
        <v>174</v>
      </c>
      <c r="B85" s="37" t="s">
        <v>88</v>
      </c>
      <c r="C85" s="48" t="s">
        <v>232</v>
      </c>
      <c r="D85" s="34">
        <v>1579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8.85</v>
      </c>
      <c r="K85" s="35">
        <v>0</v>
      </c>
      <c r="L85" s="35">
        <v>0</v>
      </c>
      <c r="M85" s="35">
        <v>0</v>
      </c>
      <c r="N85" s="35">
        <v>8.85</v>
      </c>
      <c r="O85" s="35">
        <v>0</v>
      </c>
      <c r="P85" s="35">
        <v>0</v>
      </c>
      <c r="Q85" s="44">
        <v>1.45</v>
      </c>
      <c r="R85" s="36" t="str">
        <f t="shared" si="11"/>
        <v>SI</v>
      </c>
      <c r="S85" s="36" t="str">
        <f t="shared" si="10"/>
        <v>Sin Riesgo</v>
      </c>
      <c r="T85" s="4"/>
      <c r="U85" s="4"/>
      <c r="V85" s="4"/>
      <c r="W85" s="4"/>
    </row>
    <row r="86" spans="1:23" ht="33.75" customHeight="1">
      <c r="A86" s="33" t="s">
        <v>170</v>
      </c>
      <c r="B86" s="37" t="s">
        <v>89</v>
      </c>
      <c r="C86" s="48" t="s">
        <v>233</v>
      </c>
      <c r="D86" s="34">
        <v>1863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17.2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44">
        <v>1.43</v>
      </c>
      <c r="R86" s="36" t="str">
        <f t="shared" si="11"/>
        <v>SI</v>
      </c>
      <c r="S86" s="36" t="str">
        <f t="shared" si="10"/>
        <v>Sin Riesgo</v>
      </c>
      <c r="T86" s="4"/>
      <c r="U86" s="4"/>
      <c r="V86" s="4"/>
      <c r="W86" s="4"/>
    </row>
    <row r="87" spans="1:23" ht="34.5" customHeight="1">
      <c r="A87" s="33" t="s">
        <v>174</v>
      </c>
      <c r="B87" s="37" t="s">
        <v>90</v>
      </c>
      <c r="C87" s="48" t="s">
        <v>234</v>
      </c>
      <c r="D87" s="34">
        <v>718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44">
        <v>0</v>
      </c>
      <c r="R87" s="36" t="str">
        <f t="shared" si="11"/>
        <v>SI</v>
      </c>
      <c r="S87" s="36" t="str">
        <f t="shared" si="10"/>
        <v>Sin Riesgo</v>
      </c>
      <c r="T87" s="4"/>
      <c r="U87" s="4"/>
      <c r="V87" s="4"/>
      <c r="W87" s="4"/>
    </row>
    <row r="88" spans="1:23" ht="24.75" customHeight="1">
      <c r="A88" s="33" t="s">
        <v>170</v>
      </c>
      <c r="B88" s="37" t="s">
        <v>91</v>
      </c>
      <c r="C88" s="48" t="s">
        <v>304</v>
      </c>
      <c r="D88" s="34">
        <v>5716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44">
        <v>0</v>
      </c>
      <c r="R88" s="36" t="str">
        <f t="shared" si="11"/>
        <v>SI</v>
      </c>
      <c r="S88" s="36" t="str">
        <f t="shared" si="10"/>
        <v>Sin Riesgo</v>
      </c>
      <c r="T88" s="4"/>
      <c r="U88" s="4"/>
      <c r="V88" s="4"/>
      <c r="W88" s="4"/>
    </row>
    <row r="89" spans="1:23" ht="30.75" customHeight="1">
      <c r="A89" s="33" t="s">
        <v>170</v>
      </c>
      <c r="B89" s="37" t="s">
        <v>92</v>
      </c>
      <c r="C89" s="48" t="s">
        <v>303</v>
      </c>
      <c r="D89" s="34">
        <v>1811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44">
        <v>0</v>
      </c>
      <c r="R89" s="36" t="str">
        <f t="shared" si="11"/>
        <v>SI</v>
      </c>
      <c r="S89" s="36" t="str">
        <f t="shared" si="10"/>
        <v>Sin Riesgo</v>
      </c>
      <c r="T89" s="4"/>
      <c r="U89" s="4"/>
      <c r="V89" s="4"/>
      <c r="W89" s="4"/>
    </row>
    <row r="90" spans="1:23" ht="24.75" customHeight="1">
      <c r="A90" s="33" t="s">
        <v>171</v>
      </c>
      <c r="B90" s="37" t="s">
        <v>93</v>
      </c>
      <c r="C90" s="48" t="s">
        <v>15</v>
      </c>
      <c r="D90" s="34">
        <v>744</v>
      </c>
      <c r="E90" s="35">
        <v>0</v>
      </c>
      <c r="F90" s="35">
        <v>0</v>
      </c>
      <c r="G90" s="35">
        <v>0</v>
      </c>
      <c r="H90" s="35">
        <v>0</v>
      </c>
      <c r="I90" s="35">
        <v>1.18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44">
        <v>0.01</v>
      </c>
      <c r="R90" s="36" t="str">
        <f t="shared" si="11"/>
        <v>SI</v>
      </c>
      <c r="S90" s="36" t="str">
        <f t="shared" si="10"/>
        <v>Sin Riesgo</v>
      </c>
      <c r="T90" s="4"/>
      <c r="U90" s="4"/>
      <c r="V90" s="4"/>
      <c r="W90" s="4"/>
    </row>
    <row r="91" spans="1:23" ht="24.75" customHeight="1">
      <c r="A91" s="33" t="s">
        <v>172</v>
      </c>
      <c r="B91" s="37" t="s">
        <v>94</v>
      </c>
      <c r="C91" s="48" t="s">
        <v>16</v>
      </c>
      <c r="D91" s="34">
        <v>1195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44">
        <v>0</v>
      </c>
      <c r="R91" s="36" t="str">
        <f t="shared" si="11"/>
        <v>SI</v>
      </c>
      <c r="S91" s="36" t="str">
        <f t="shared" si="10"/>
        <v>Sin Riesgo</v>
      </c>
      <c r="T91" s="4"/>
      <c r="U91" s="4"/>
      <c r="V91" s="4"/>
      <c r="W91" s="4"/>
    </row>
    <row r="92" spans="1:23" ht="24.75" customHeight="1">
      <c r="A92" s="33" t="s">
        <v>167</v>
      </c>
      <c r="B92" s="37" t="s">
        <v>95</v>
      </c>
      <c r="C92" s="48" t="s">
        <v>297</v>
      </c>
      <c r="D92" s="34">
        <v>76682</v>
      </c>
      <c r="E92" s="35">
        <v>4.98</v>
      </c>
      <c r="F92" s="35">
        <v>0</v>
      </c>
      <c r="G92" s="35">
        <v>0</v>
      </c>
      <c r="H92" s="35">
        <v>0</v>
      </c>
      <c r="I92" s="35">
        <v>0</v>
      </c>
      <c r="J92" s="35">
        <v>2.11</v>
      </c>
      <c r="K92" s="35">
        <v>1.69</v>
      </c>
      <c r="L92" s="35">
        <v>1.69</v>
      </c>
      <c r="M92" s="35">
        <v>0</v>
      </c>
      <c r="N92" s="35">
        <v>0</v>
      </c>
      <c r="O92" s="35">
        <v>0</v>
      </c>
      <c r="P92" s="35">
        <v>0.39</v>
      </c>
      <c r="Q92" s="44">
        <v>0.87</v>
      </c>
      <c r="R92" s="36" t="str">
        <f t="shared" si="11"/>
        <v>SI</v>
      </c>
      <c r="S92" s="36" t="str">
        <f t="shared" si="10"/>
        <v>Sin Riesgo</v>
      </c>
      <c r="T92" s="4"/>
      <c r="U92" s="4"/>
      <c r="V92" s="4"/>
      <c r="W92" s="4"/>
    </row>
    <row r="93" spans="1:23" ht="38.25" customHeight="1">
      <c r="A93" s="33" t="s">
        <v>174</v>
      </c>
      <c r="B93" s="37" t="s">
        <v>96</v>
      </c>
      <c r="C93" s="49" t="s">
        <v>235</v>
      </c>
      <c r="D93" s="53">
        <v>2820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44">
        <v>0</v>
      </c>
      <c r="R93" s="36" t="str">
        <f t="shared" si="11"/>
        <v>SI</v>
      </c>
      <c r="S93" s="36" t="str">
        <f t="shared" si="10"/>
        <v>Sin Riesgo</v>
      </c>
      <c r="T93" s="4"/>
      <c r="U93" s="4"/>
      <c r="V93" s="4"/>
      <c r="W93" s="4"/>
    </row>
    <row r="94" spans="1:23" ht="38.25" customHeight="1">
      <c r="A94" s="33" t="s">
        <v>174</v>
      </c>
      <c r="B94" s="37" t="s">
        <v>96</v>
      </c>
      <c r="C94" s="49" t="s">
        <v>306</v>
      </c>
      <c r="D94" s="53">
        <v>20</v>
      </c>
      <c r="E94" s="35">
        <v>90.32</v>
      </c>
      <c r="F94" s="35">
        <v>70.96</v>
      </c>
      <c r="G94" s="35">
        <v>98.06</v>
      </c>
      <c r="H94" s="35">
        <v>98.06</v>
      </c>
      <c r="I94" s="35">
        <v>70.96</v>
      </c>
      <c r="J94" s="35">
        <v>82.84</v>
      </c>
      <c r="K94" s="35">
        <v>90.32</v>
      </c>
      <c r="L94" s="35">
        <v>98.06</v>
      </c>
      <c r="M94" s="35">
        <v>90.32</v>
      </c>
      <c r="N94" s="35">
        <v>98.06</v>
      </c>
      <c r="O94" s="35"/>
      <c r="P94" s="35">
        <v>90.32</v>
      </c>
      <c r="Q94" s="44">
        <v>88.93</v>
      </c>
      <c r="R94" s="36" t="str">
        <f t="shared" si="11"/>
        <v>NO</v>
      </c>
      <c r="S94" s="36" t="str">
        <f t="shared" si="10"/>
        <v>Inviable Sanitariamente</v>
      </c>
      <c r="T94" s="4"/>
      <c r="U94" s="4"/>
      <c r="V94" s="4"/>
      <c r="W94" s="4"/>
    </row>
    <row r="95" spans="1:23" ht="29.25" customHeight="1">
      <c r="A95" s="33" t="s">
        <v>174</v>
      </c>
      <c r="B95" s="37" t="s">
        <v>96</v>
      </c>
      <c r="C95" s="49" t="s">
        <v>305</v>
      </c>
      <c r="D95" s="22">
        <v>79</v>
      </c>
      <c r="E95" s="35">
        <v>19.35</v>
      </c>
      <c r="F95" s="35">
        <v>70.96</v>
      </c>
      <c r="G95" s="35">
        <v>70.96</v>
      </c>
      <c r="H95" s="35">
        <v>70.96</v>
      </c>
      <c r="I95" s="35">
        <v>70.96</v>
      </c>
      <c r="J95" s="35">
        <v>82.84</v>
      </c>
      <c r="K95" s="35">
        <v>90.32</v>
      </c>
      <c r="L95" s="35">
        <v>70.96</v>
      </c>
      <c r="M95" s="35">
        <v>70.96</v>
      </c>
      <c r="N95" s="35">
        <v>70.96</v>
      </c>
      <c r="O95" s="35">
        <v>70.96</v>
      </c>
      <c r="P95" s="35">
        <v>90.32</v>
      </c>
      <c r="Q95" s="44">
        <v>70.87</v>
      </c>
      <c r="R95" s="36" t="str">
        <f t="shared" si="11"/>
        <v>NO</v>
      </c>
      <c r="S95" s="36" t="str">
        <f t="shared" si="10"/>
        <v>Alto</v>
      </c>
      <c r="T95" s="4"/>
      <c r="U95" s="4"/>
      <c r="V95" s="4"/>
      <c r="W95" s="4"/>
    </row>
    <row r="96" spans="1:23" ht="24.75" customHeight="1">
      <c r="A96" s="33" t="s">
        <v>172</v>
      </c>
      <c r="B96" s="37" t="s">
        <v>97</v>
      </c>
      <c r="C96" s="48" t="s">
        <v>307</v>
      </c>
      <c r="D96" s="34">
        <v>2547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44">
        <v>0</v>
      </c>
      <c r="R96" s="36" t="str">
        <f t="shared" si="11"/>
        <v>SI</v>
      </c>
      <c r="S96" s="36" t="str">
        <f t="shared" si="10"/>
        <v>Sin Riesgo</v>
      </c>
      <c r="T96" s="4"/>
      <c r="U96" s="4"/>
      <c r="V96" s="4"/>
      <c r="W96" s="4"/>
    </row>
    <row r="97" spans="1:23" ht="24.75" customHeight="1">
      <c r="A97" s="33" t="s">
        <v>172</v>
      </c>
      <c r="B97" s="37" t="s">
        <v>98</v>
      </c>
      <c r="C97" s="48" t="s">
        <v>308</v>
      </c>
      <c r="D97" s="34">
        <v>2522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44">
        <v>0</v>
      </c>
      <c r="R97" s="36" t="str">
        <f t="shared" si="11"/>
        <v>SI</v>
      </c>
      <c r="S97" s="36" t="str">
        <f t="shared" si="10"/>
        <v>Sin Riesgo</v>
      </c>
      <c r="T97" s="4"/>
      <c r="U97" s="4"/>
      <c r="V97" s="4"/>
      <c r="W97" s="4"/>
    </row>
    <row r="98" spans="1:23" ht="24.75" customHeight="1">
      <c r="A98" s="33" t="s">
        <v>170</v>
      </c>
      <c r="B98" s="37" t="s">
        <v>99</v>
      </c>
      <c r="C98" s="48" t="s">
        <v>236</v>
      </c>
      <c r="D98" s="34">
        <v>9403</v>
      </c>
      <c r="E98" s="35">
        <v>0</v>
      </c>
      <c r="F98" s="35">
        <v>4.84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44">
        <v>0.33</v>
      </c>
      <c r="R98" s="36" t="str">
        <f t="shared" si="11"/>
        <v>SI</v>
      </c>
      <c r="S98" s="36" t="str">
        <f t="shared" si="10"/>
        <v>Sin Riesgo</v>
      </c>
      <c r="T98" s="4"/>
      <c r="U98" s="4"/>
      <c r="V98" s="4"/>
      <c r="W98" s="4"/>
    </row>
    <row r="99" spans="1:23" ht="39.75" customHeight="1">
      <c r="A99" s="33" t="s">
        <v>170</v>
      </c>
      <c r="B99" s="37" t="s">
        <v>99</v>
      </c>
      <c r="C99" s="48" t="s">
        <v>237</v>
      </c>
      <c r="D99" s="34">
        <v>1988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44">
        <v>0</v>
      </c>
      <c r="R99" s="36" t="str">
        <f t="shared" si="11"/>
        <v>SI</v>
      </c>
      <c r="S99" s="36" t="str">
        <f t="shared" si="10"/>
        <v>Sin Riesgo</v>
      </c>
      <c r="T99" s="4"/>
      <c r="U99" s="4"/>
      <c r="V99" s="4"/>
      <c r="W99" s="4"/>
    </row>
    <row r="100" spans="1:23" ht="35.25" customHeight="1">
      <c r="A100" s="33" t="s">
        <v>170</v>
      </c>
      <c r="B100" s="37" t="s">
        <v>99</v>
      </c>
      <c r="C100" s="48" t="s">
        <v>238</v>
      </c>
      <c r="D100" s="34">
        <v>3493</v>
      </c>
      <c r="E100" s="35">
        <v>0</v>
      </c>
      <c r="F100" s="35">
        <v>0.64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44">
        <v>0.05</v>
      </c>
      <c r="R100" s="36" t="str">
        <f t="shared" si="11"/>
        <v>SI</v>
      </c>
      <c r="S100" s="36" t="str">
        <f t="shared" si="10"/>
        <v>Sin Riesgo</v>
      </c>
      <c r="T100" s="4"/>
      <c r="U100" s="4"/>
      <c r="V100" s="4"/>
      <c r="W100" s="4"/>
    </row>
    <row r="101" spans="1:23" ht="27" customHeight="1">
      <c r="A101" s="33" t="s">
        <v>167</v>
      </c>
      <c r="B101" s="37" t="s">
        <v>100</v>
      </c>
      <c r="C101" s="48" t="s">
        <v>297</v>
      </c>
      <c r="D101" s="34">
        <v>18860</v>
      </c>
      <c r="E101" s="35">
        <v>3.1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44">
        <v>0.26</v>
      </c>
      <c r="R101" s="36" t="str">
        <f t="shared" si="11"/>
        <v>SI</v>
      </c>
      <c r="S101" s="36" t="str">
        <f t="shared" si="10"/>
        <v>Sin Riesgo</v>
      </c>
      <c r="T101" s="4"/>
      <c r="U101" s="4"/>
      <c r="V101" s="4"/>
      <c r="W101" s="4"/>
    </row>
    <row r="102" spans="1:23" ht="24.75" customHeight="1">
      <c r="A102" s="33" t="s">
        <v>172</v>
      </c>
      <c r="B102" s="37" t="s">
        <v>101</v>
      </c>
      <c r="C102" s="48" t="s">
        <v>239</v>
      </c>
      <c r="D102" s="34">
        <v>234</v>
      </c>
      <c r="E102" s="35">
        <v>0</v>
      </c>
      <c r="F102" s="35">
        <v>0</v>
      </c>
      <c r="G102" s="35">
        <v>0</v>
      </c>
      <c r="H102" s="35">
        <v>6.45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0.88</v>
      </c>
      <c r="P102" s="35">
        <v>0</v>
      </c>
      <c r="Q102" s="44">
        <v>0.63</v>
      </c>
      <c r="R102" s="36" t="str">
        <f t="shared" si="11"/>
        <v>SI</v>
      </c>
      <c r="S102" s="36" t="str">
        <f t="shared" si="10"/>
        <v>Sin Riesgo</v>
      </c>
      <c r="T102" s="4"/>
      <c r="U102" s="4"/>
      <c r="V102" s="4"/>
      <c r="W102" s="4"/>
    </row>
    <row r="103" spans="1:23" ht="24.75" customHeight="1">
      <c r="A103" s="33" t="s">
        <v>172</v>
      </c>
      <c r="B103" s="37" t="s">
        <v>101</v>
      </c>
      <c r="C103" s="48" t="s">
        <v>309</v>
      </c>
      <c r="D103" s="34">
        <v>2684</v>
      </c>
      <c r="E103" s="35">
        <v>0</v>
      </c>
      <c r="F103" s="35">
        <v>0</v>
      </c>
      <c r="G103" s="35">
        <v>0</v>
      </c>
      <c r="H103" s="35">
        <v>0</v>
      </c>
      <c r="I103" s="35">
        <v>1.18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44">
        <v>0.01</v>
      </c>
      <c r="R103" s="36" t="str">
        <f t="shared" si="11"/>
        <v>SI</v>
      </c>
      <c r="S103" s="36" t="str">
        <f t="shared" si="10"/>
        <v>Sin Riesgo</v>
      </c>
      <c r="T103" s="4"/>
      <c r="U103" s="4"/>
      <c r="V103" s="4"/>
      <c r="W103" s="4"/>
    </row>
    <row r="104" spans="1:23" ht="34.5" customHeight="1">
      <c r="A104" s="33" t="s">
        <v>170</v>
      </c>
      <c r="B104" s="37" t="s">
        <v>102</v>
      </c>
      <c r="C104" s="48" t="s">
        <v>240</v>
      </c>
      <c r="D104" s="34">
        <v>3820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44">
        <v>0</v>
      </c>
      <c r="R104" s="36" t="str">
        <f t="shared" si="11"/>
        <v>SI</v>
      </c>
      <c r="S104" s="36" t="str">
        <f t="shared" si="10"/>
        <v>Sin Riesgo</v>
      </c>
      <c r="T104" s="4"/>
      <c r="U104" s="4"/>
      <c r="V104" s="4"/>
      <c r="W104" s="4"/>
    </row>
    <row r="105" spans="1:23" ht="33" customHeight="1">
      <c r="A105" s="33" t="s">
        <v>171</v>
      </c>
      <c r="B105" s="37" t="s">
        <v>103</v>
      </c>
      <c r="C105" s="48" t="s">
        <v>241</v>
      </c>
      <c r="D105" s="34">
        <v>774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44">
        <v>0</v>
      </c>
      <c r="R105" s="36" t="str">
        <f t="shared" si="11"/>
        <v>SI</v>
      </c>
      <c r="S105" s="36" t="str">
        <f t="shared" si="10"/>
        <v>Sin Riesgo</v>
      </c>
      <c r="T105" s="4"/>
      <c r="U105" s="4"/>
      <c r="V105" s="4"/>
      <c r="W105" s="4"/>
    </row>
    <row r="106" spans="1:23" ht="24.75" customHeight="1">
      <c r="A106" s="33" t="s">
        <v>177</v>
      </c>
      <c r="B106" s="37" t="s">
        <v>104</v>
      </c>
      <c r="C106" s="48" t="s">
        <v>310</v>
      </c>
      <c r="D106" s="34">
        <v>991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1.18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0.64</v>
      </c>
      <c r="Q106" s="44">
        <v>0.16</v>
      </c>
      <c r="R106" s="36" t="str">
        <f t="shared" si="11"/>
        <v>SI</v>
      </c>
      <c r="S106" s="36" t="str">
        <f t="shared" si="10"/>
        <v>Sin Riesgo</v>
      </c>
      <c r="T106" s="4"/>
      <c r="U106" s="4"/>
      <c r="V106" s="4"/>
      <c r="W106" s="4"/>
    </row>
    <row r="107" spans="1:23" ht="37.5" customHeight="1">
      <c r="A107" s="33" t="s">
        <v>170</v>
      </c>
      <c r="B107" s="37" t="s">
        <v>105</v>
      </c>
      <c r="C107" s="48" t="s">
        <v>242</v>
      </c>
      <c r="D107" s="34">
        <v>16027</v>
      </c>
      <c r="E107" s="35">
        <v>0</v>
      </c>
      <c r="F107" s="35">
        <v>0</v>
      </c>
      <c r="G107" s="35">
        <v>5.31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44">
        <v>0.46</v>
      </c>
      <c r="R107" s="36" t="str">
        <f t="shared" si="11"/>
        <v>SI</v>
      </c>
      <c r="S107" s="36" t="str">
        <f t="shared" si="10"/>
        <v>Sin Riesgo</v>
      </c>
      <c r="T107" s="4"/>
      <c r="U107" s="4"/>
      <c r="V107" s="4"/>
      <c r="W107" s="4"/>
    </row>
    <row r="108" spans="1:23" ht="33.75" customHeight="1">
      <c r="A108" s="33" t="s">
        <v>170</v>
      </c>
      <c r="B108" s="37" t="s">
        <v>105</v>
      </c>
      <c r="C108" s="48" t="s">
        <v>243</v>
      </c>
      <c r="D108" s="34">
        <v>1300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8.85</v>
      </c>
      <c r="O108" s="35">
        <v>0</v>
      </c>
      <c r="P108" s="35">
        <v>0</v>
      </c>
      <c r="Q108" s="44">
        <v>0.74</v>
      </c>
      <c r="R108" s="36" t="str">
        <f t="shared" si="11"/>
        <v>SI</v>
      </c>
      <c r="S108" s="36" t="str">
        <f t="shared" si="10"/>
        <v>Sin Riesgo</v>
      </c>
      <c r="T108" s="4"/>
      <c r="U108" s="4"/>
      <c r="V108" s="4"/>
      <c r="W108" s="4"/>
    </row>
    <row r="109" spans="1:23" ht="24.75" customHeight="1">
      <c r="A109" s="33" t="s">
        <v>167</v>
      </c>
      <c r="B109" s="37" t="s">
        <v>106</v>
      </c>
      <c r="C109" s="89" t="s">
        <v>30</v>
      </c>
      <c r="D109" s="34">
        <v>29469</v>
      </c>
      <c r="E109" s="35">
        <v>1.27</v>
      </c>
      <c r="F109" s="35">
        <v>0</v>
      </c>
      <c r="G109" s="35">
        <v>2.18</v>
      </c>
      <c r="H109" s="35">
        <v>3.88</v>
      </c>
      <c r="I109" s="35">
        <v>1.89</v>
      </c>
      <c r="J109" s="35">
        <v>1.31</v>
      </c>
      <c r="K109" s="35">
        <v>1.61</v>
      </c>
      <c r="L109" s="35">
        <v>1.48</v>
      </c>
      <c r="M109" s="35">
        <v>2.02</v>
      </c>
      <c r="N109" s="35">
        <v>1.82</v>
      </c>
      <c r="O109" s="35">
        <v>6.39</v>
      </c>
      <c r="P109" s="35">
        <v>2.53</v>
      </c>
      <c r="Q109" s="44">
        <v>2.1983333333333337</v>
      </c>
      <c r="R109" s="36" t="str">
        <f t="shared" si="11"/>
        <v>SI</v>
      </c>
      <c r="S109" s="36" t="str">
        <f t="shared" si="10"/>
        <v>Sin Riesgo</v>
      </c>
      <c r="T109" s="4"/>
      <c r="U109" s="4"/>
      <c r="V109" s="4"/>
      <c r="W109" s="4"/>
    </row>
    <row r="110" spans="1:23" ht="24.75" customHeight="1">
      <c r="A110" s="33" t="s">
        <v>167</v>
      </c>
      <c r="B110" s="37" t="s">
        <v>106</v>
      </c>
      <c r="C110" s="89" t="s">
        <v>31</v>
      </c>
      <c r="D110" s="34">
        <v>373862</v>
      </c>
      <c r="E110" s="35">
        <v>2.07</v>
      </c>
      <c r="F110" s="35">
        <v>0.58</v>
      </c>
      <c r="G110" s="35">
        <v>0</v>
      </c>
      <c r="H110" s="35">
        <v>0</v>
      </c>
      <c r="I110" s="35">
        <v>0</v>
      </c>
      <c r="J110" s="35">
        <v>0.82</v>
      </c>
      <c r="K110" s="35">
        <v>0</v>
      </c>
      <c r="L110" s="35">
        <v>2.79</v>
      </c>
      <c r="M110" s="35">
        <v>4.29</v>
      </c>
      <c r="N110" s="35">
        <v>0.92</v>
      </c>
      <c r="O110" s="35">
        <v>5.81</v>
      </c>
      <c r="P110" s="35">
        <v>3.71</v>
      </c>
      <c r="Q110" s="44">
        <v>1.7491666666666668</v>
      </c>
      <c r="R110" s="36" t="str">
        <f t="shared" si="11"/>
        <v>SI</v>
      </c>
      <c r="S110" s="36" t="str">
        <f t="shared" si="10"/>
        <v>Sin Riesgo</v>
      </c>
      <c r="T110" s="4"/>
      <c r="U110" s="4"/>
      <c r="V110" s="4"/>
      <c r="W110" s="4"/>
    </row>
    <row r="111" spans="1:23" ht="24.75" customHeight="1">
      <c r="A111" s="33" t="s">
        <v>167</v>
      </c>
      <c r="B111" s="37" t="s">
        <v>106</v>
      </c>
      <c r="C111" s="89" t="s">
        <v>32</v>
      </c>
      <c r="D111" s="34">
        <v>5544</v>
      </c>
      <c r="E111" s="35">
        <v>0.49</v>
      </c>
      <c r="F111" s="35">
        <v>0</v>
      </c>
      <c r="G111" s="35">
        <v>8.72</v>
      </c>
      <c r="H111" s="35">
        <v>1.94</v>
      </c>
      <c r="I111" s="35">
        <v>1.16</v>
      </c>
      <c r="J111" s="35">
        <v>0</v>
      </c>
      <c r="K111" s="35">
        <v>1.59</v>
      </c>
      <c r="L111" s="35">
        <v>1.25</v>
      </c>
      <c r="M111" s="35">
        <v>1.07</v>
      </c>
      <c r="N111" s="35">
        <v>0</v>
      </c>
      <c r="O111" s="35"/>
      <c r="P111" s="35">
        <v>1.9</v>
      </c>
      <c r="Q111" s="44">
        <v>1.647272727272727</v>
      </c>
      <c r="R111" s="36" t="str">
        <f t="shared" si="11"/>
        <v>SI</v>
      </c>
      <c r="S111" s="36" t="str">
        <f t="shared" si="10"/>
        <v>Sin Riesgo</v>
      </c>
      <c r="T111" s="4"/>
      <c r="U111" s="4"/>
      <c r="V111" s="4"/>
      <c r="W111" s="4"/>
    </row>
    <row r="112" spans="1:23" ht="24.75" customHeight="1">
      <c r="A112" s="33" t="s">
        <v>167</v>
      </c>
      <c r="B112" s="37" t="s">
        <v>106</v>
      </c>
      <c r="C112" s="89" t="s">
        <v>33</v>
      </c>
      <c r="D112" s="34">
        <v>7106</v>
      </c>
      <c r="E112" s="35">
        <v>0</v>
      </c>
      <c r="F112" s="35">
        <v>0</v>
      </c>
      <c r="G112" s="35">
        <v>8.72</v>
      </c>
      <c r="H112" s="35">
        <v>0</v>
      </c>
      <c r="I112" s="35">
        <v>0</v>
      </c>
      <c r="J112" s="35">
        <v>0</v>
      </c>
      <c r="K112" s="35">
        <v>8.37</v>
      </c>
      <c r="L112" s="35">
        <v>0</v>
      </c>
      <c r="M112" s="35">
        <v>0</v>
      </c>
      <c r="N112" s="35">
        <v>0</v>
      </c>
      <c r="O112" s="35"/>
      <c r="P112" s="35">
        <v>16.35</v>
      </c>
      <c r="Q112" s="44">
        <v>3.0399999999999996</v>
      </c>
      <c r="R112" s="36" t="str">
        <f t="shared" si="11"/>
        <v>SI</v>
      </c>
      <c r="S112" s="36" t="str">
        <f t="shared" si="10"/>
        <v>Sin Riesgo</v>
      </c>
      <c r="T112" s="4"/>
      <c r="U112" s="4"/>
      <c r="V112" s="4"/>
      <c r="W112" s="4"/>
    </row>
    <row r="113" spans="1:23" ht="24.75" customHeight="1">
      <c r="A113" s="33" t="s">
        <v>167</v>
      </c>
      <c r="B113" s="37" t="s">
        <v>106</v>
      </c>
      <c r="C113" s="89" t="s">
        <v>34</v>
      </c>
      <c r="D113" s="34">
        <v>504469</v>
      </c>
      <c r="E113" s="35">
        <v>0.82</v>
      </c>
      <c r="F113" s="35">
        <v>0.34</v>
      </c>
      <c r="G113" s="35">
        <v>2.49</v>
      </c>
      <c r="H113" s="35">
        <v>0</v>
      </c>
      <c r="I113" s="35">
        <v>0.99</v>
      </c>
      <c r="J113" s="35">
        <v>1.06</v>
      </c>
      <c r="K113" s="35">
        <v>0.08</v>
      </c>
      <c r="L113" s="35">
        <v>2.96</v>
      </c>
      <c r="M113" s="35">
        <v>2.86</v>
      </c>
      <c r="N113" s="35">
        <v>3.88</v>
      </c>
      <c r="O113" s="35">
        <v>3.88</v>
      </c>
      <c r="P113" s="35">
        <v>0.8</v>
      </c>
      <c r="Q113" s="44">
        <v>1.68</v>
      </c>
      <c r="R113" s="36" t="str">
        <f t="shared" si="11"/>
        <v>SI</v>
      </c>
      <c r="S113" s="36" t="str">
        <f t="shared" si="10"/>
        <v>Sin Riesgo</v>
      </c>
      <c r="T113" s="4"/>
      <c r="U113" s="4"/>
      <c r="V113" s="4"/>
      <c r="W113" s="4"/>
    </row>
    <row r="114" spans="1:23" ht="24.75" customHeight="1">
      <c r="A114" s="33" t="s">
        <v>167</v>
      </c>
      <c r="B114" s="37" t="s">
        <v>106</v>
      </c>
      <c r="C114" s="48" t="s">
        <v>35</v>
      </c>
      <c r="D114" s="34">
        <v>18320</v>
      </c>
      <c r="E114" s="35">
        <v>0</v>
      </c>
      <c r="F114" s="35">
        <v>0</v>
      </c>
      <c r="G114" s="35"/>
      <c r="H114" s="35">
        <v>5.98</v>
      </c>
      <c r="I114" s="35">
        <v>0</v>
      </c>
      <c r="J114" s="35">
        <v>0</v>
      </c>
      <c r="K114" s="35">
        <v>2.49</v>
      </c>
      <c r="L114" s="35">
        <v>2.91</v>
      </c>
      <c r="M114" s="35">
        <v>9.88</v>
      </c>
      <c r="N114" s="35">
        <v>0</v>
      </c>
      <c r="O114" s="35">
        <v>0</v>
      </c>
      <c r="P114" s="35">
        <v>0</v>
      </c>
      <c r="Q114" s="44">
        <v>1.9327272727272728</v>
      </c>
      <c r="R114" s="36" t="str">
        <f t="shared" si="11"/>
        <v>SI</v>
      </c>
      <c r="S114" s="36" t="str">
        <f t="shared" si="10"/>
        <v>Sin Riesgo</v>
      </c>
      <c r="T114" s="4"/>
      <c r="U114" s="4"/>
      <c r="V114" s="4"/>
      <c r="W114" s="4"/>
    </row>
    <row r="115" spans="1:23" ht="24.75" customHeight="1">
      <c r="A115" s="33" t="s">
        <v>167</v>
      </c>
      <c r="B115" s="37" t="s">
        <v>106</v>
      </c>
      <c r="C115" s="48" t="s">
        <v>36</v>
      </c>
      <c r="D115" s="34">
        <v>11305</v>
      </c>
      <c r="E115" s="35">
        <v>0</v>
      </c>
      <c r="F115" s="35">
        <v>0</v>
      </c>
      <c r="G115" s="35">
        <v>4.3604651162790695</v>
      </c>
      <c r="H115" s="35">
        <v>4.3604651162790695</v>
      </c>
      <c r="I115" s="35">
        <v>0</v>
      </c>
      <c r="J115" s="35">
        <v>0</v>
      </c>
      <c r="K115" s="35">
        <v>2.9069767441860463</v>
      </c>
      <c r="L115" s="35">
        <v>0</v>
      </c>
      <c r="M115" s="35">
        <v>0.3875968992248062</v>
      </c>
      <c r="N115" s="35">
        <v>3.488372093023256</v>
      </c>
      <c r="O115" s="35">
        <v>0</v>
      </c>
      <c r="P115" s="35">
        <v>4.746835443037975</v>
      </c>
      <c r="Q115" s="44">
        <v>1.6875592843358518</v>
      </c>
      <c r="R115" s="36" t="str">
        <f t="shared" si="11"/>
        <v>SI</v>
      </c>
      <c r="S115" s="36" t="str">
        <f t="shared" si="10"/>
        <v>Sin Riesgo</v>
      </c>
      <c r="T115" s="4"/>
      <c r="U115" s="4"/>
      <c r="V115" s="4"/>
      <c r="W115" s="4"/>
    </row>
    <row r="116" spans="1:23" ht="24.75" customHeight="1">
      <c r="A116" s="33" t="s">
        <v>167</v>
      </c>
      <c r="B116" s="37" t="s">
        <v>106</v>
      </c>
      <c r="C116" s="48" t="s">
        <v>37</v>
      </c>
      <c r="D116" s="34">
        <v>1600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0.1</v>
      </c>
      <c r="K116" s="35">
        <v>0</v>
      </c>
      <c r="L116" s="35">
        <v>4.3</v>
      </c>
      <c r="M116" s="35">
        <v>2.49</v>
      </c>
      <c r="N116" s="35">
        <v>2.49</v>
      </c>
      <c r="O116" s="35">
        <v>0</v>
      </c>
      <c r="P116" s="35">
        <v>1.22</v>
      </c>
      <c r="Q116" s="44">
        <v>0.8833333333333333</v>
      </c>
      <c r="R116" s="36" t="str">
        <f t="shared" si="11"/>
        <v>SI</v>
      </c>
      <c r="S116" s="36" t="str">
        <f t="shared" si="10"/>
        <v>Sin Riesgo</v>
      </c>
      <c r="T116" s="4"/>
      <c r="U116" s="4"/>
      <c r="V116" s="4"/>
      <c r="W116" s="4"/>
    </row>
    <row r="117" spans="1:23" ht="24.75" customHeight="1">
      <c r="A117" s="33" t="s">
        <v>167</v>
      </c>
      <c r="B117" s="37" t="s">
        <v>106</v>
      </c>
      <c r="C117" s="89" t="s">
        <v>38</v>
      </c>
      <c r="D117" s="34">
        <v>180</v>
      </c>
      <c r="E117" s="35">
        <v>0</v>
      </c>
      <c r="F117" s="35"/>
      <c r="G117" s="35">
        <v>8.72</v>
      </c>
      <c r="H117" s="35">
        <v>0</v>
      </c>
      <c r="I117" s="35">
        <v>8.72</v>
      </c>
      <c r="J117" s="35">
        <v>31.97</v>
      </c>
      <c r="K117" s="35">
        <v>8.72</v>
      </c>
      <c r="L117" s="35">
        <v>5.81</v>
      </c>
      <c r="M117" s="35">
        <v>0</v>
      </c>
      <c r="N117" s="35">
        <v>8.72</v>
      </c>
      <c r="O117" s="35"/>
      <c r="P117" s="35">
        <v>1.89</v>
      </c>
      <c r="Q117" s="44">
        <v>7.455</v>
      </c>
      <c r="R117" s="36" t="str">
        <f t="shared" si="11"/>
        <v>NO</v>
      </c>
      <c r="S117" s="36" t="str">
        <f t="shared" si="10"/>
        <v>Bajo</v>
      </c>
      <c r="T117" s="4"/>
      <c r="U117" s="4"/>
      <c r="V117" s="4"/>
      <c r="W117" s="4"/>
    </row>
    <row r="118" spans="1:23" ht="24.75" customHeight="1">
      <c r="A118" s="33" t="s">
        <v>172</v>
      </c>
      <c r="B118" s="37" t="s">
        <v>107</v>
      </c>
      <c r="C118" s="48" t="s">
        <v>17</v>
      </c>
      <c r="D118" s="34">
        <v>627</v>
      </c>
      <c r="E118" s="35">
        <v>0</v>
      </c>
      <c r="F118" s="35">
        <v>6.45</v>
      </c>
      <c r="G118" s="35">
        <v>8.85</v>
      </c>
      <c r="H118" s="35">
        <v>32.45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6.45</v>
      </c>
      <c r="O118" s="35">
        <v>0</v>
      </c>
      <c r="P118" s="35">
        <v>0</v>
      </c>
      <c r="Q118" s="44">
        <v>4.52</v>
      </c>
      <c r="R118" s="36" t="str">
        <f t="shared" si="11"/>
        <v>SI</v>
      </c>
      <c r="S118" s="36" t="str">
        <f t="shared" si="10"/>
        <v>Sin Riesgo</v>
      </c>
      <c r="T118" s="4"/>
      <c r="U118" s="4"/>
      <c r="V118" s="4"/>
      <c r="W118" s="4"/>
    </row>
    <row r="119" spans="1:23" ht="24.75" customHeight="1">
      <c r="A119" s="33" t="s">
        <v>328</v>
      </c>
      <c r="B119" s="37" t="s">
        <v>108</v>
      </c>
      <c r="C119" s="48" t="s">
        <v>244</v>
      </c>
      <c r="D119" s="34"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6"/>
      <c r="R119" s="36" t="s">
        <v>281</v>
      </c>
      <c r="S119" s="36" t="s">
        <v>281</v>
      </c>
      <c r="T119" s="4"/>
      <c r="U119" s="4"/>
      <c r="V119" s="4"/>
      <c r="W119" s="4"/>
    </row>
    <row r="120" spans="1:23" ht="24.75" customHeight="1">
      <c r="A120" s="33" t="s">
        <v>175</v>
      </c>
      <c r="B120" s="37" t="s">
        <v>109</v>
      </c>
      <c r="C120" s="48" t="s">
        <v>195</v>
      </c>
      <c r="D120" s="34">
        <v>1356</v>
      </c>
      <c r="E120" s="35">
        <v>0</v>
      </c>
      <c r="F120" s="35">
        <v>0</v>
      </c>
      <c r="G120" s="35">
        <v>1.18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44">
        <v>0.01</v>
      </c>
      <c r="R120" s="36" t="str">
        <f t="shared" si="11"/>
        <v>SI</v>
      </c>
      <c r="S120" s="36" t="str">
        <f t="shared" si="10"/>
        <v>Sin Riesgo</v>
      </c>
      <c r="T120" s="4"/>
      <c r="U120" s="4"/>
      <c r="V120" s="4"/>
      <c r="W120" s="4"/>
    </row>
    <row r="121" spans="1:23" ht="35.25" customHeight="1">
      <c r="A121" s="33" t="s">
        <v>170</v>
      </c>
      <c r="B121" s="90" t="s">
        <v>110</v>
      </c>
      <c r="C121" s="48" t="s">
        <v>245</v>
      </c>
      <c r="D121" s="34">
        <v>937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/>
      <c r="K121" s="35">
        <v>0</v>
      </c>
      <c r="L121" s="35">
        <v>0</v>
      </c>
      <c r="M121" s="35">
        <v>0</v>
      </c>
      <c r="N121" s="35"/>
      <c r="O121" s="35">
        <v>0</v>
      </c>
      <c r="P121" s="35">
        <v>0</v>
      </c>
      <c r="Q121" s="44">
        <v>0</v>
      </c>
      <c r="R121" s="36" t="str">
        <f t="shared" si="11"/>
        <v>SI</v>
      </c>
      <c r="S121" s="36" t="str">
        <f t="shared" si="10"/>
        <v>Sin Riesgo</v>
      </c>
      <c r="T121" s="4"/>
      <c r="U121" s="4"/>
      <c r="V121" s="4"/>
      <c r="W121" s="4"/>
    </row>
    <row r="122" spans="1:23" ht="35.25" customHeight="1">
      <c r="A122" s="33" t="s">
        <v>170</v>
      </c>
      <c r="B122" s="90" t="s">
        <v>110</v>
      </c>
      <c r="C122" s="48" t="s">
        <v>246</v>
      </c>
      <c r="D122" s="34">
        <v>197</v>
      </c>
      <c r="E122" s="35">
        <v>6.45</v>
      </c>
      <c r="F122" s="35">
        <v>6.45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4.84</v>
      </c>
      <c r="P122" s="35">
        <v>0</v>
      </c>
      <c r="Q122" s="44">
        <v>1.61</v>
      </c>
      <c r="R122" s="36" t="str">
        <f t="shared" si="11"/>
        <v>SI</v>
      </c>
      <c r="S122" s="36" t="str">
        <f t="shared" si="10"/>
        <v>Sin Riesgo</v>
      </c>
      <c r="T122" s="4"/>
      <c r="U122" s="4"/>
      <c r="V122" s="4"/>
      <c r="W122" s="4"/>
    </row>
    <row r="123" spans="1:23" ht="24.75" customHeight="1">
      <c r="A123" s="33" t="s">
        <v>176</v>
      </c>
      <c r="B123" s="37" t="s">
        <v>111</v>
      </c>
      <c r="C123" s="48" t="s">
        <v>298</v>
      </c>
      <c r="D123" s="34">
        <v>3127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6.64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44">
        <v>0.72</v>
      </c>
      <c r="R123" s="36" t="str">
        <f t="shared" si="11"/>
        <v>SI</v>
      </c>
      <c r="S123" s="36" t="str">
        <f t="shared" si="10"/>
        <v>Sin Riesgo</v>
      </c>
      <c r="T123" s="4"/>
      <c r="U123" s="4"/>
      <c r="V123" s="4"/>
      <c r="W123" s="4"/>
    </row>
    <row r="124" spans="1:23" ht="58.5" customHeight="1">
      <c r="A124" s="33" t="s">
        <v>175</v>
      </c>
      <c r="B124" s="37" t="s">
        <v>112</v>
      </c>
      <c r="C124" s="48" t="s">
        <v>317</v>
      </c>
      <c r="D124" s="34">
        <v>3231</v>
      </c>
      <c r="E124" s="35">
        <v>6.45</v>
      </c>
      <c r="F124" s="35">
        <v>12.9</v>
      </c>
      <c r="G124" s="35">
        <v>2.37</v>
      </c>
      <c r="H124" s="35">
        <v>1.17</v>
      </c>
      <c r="I124" s="35">
        <v>0</v>
      </c>
      <c r="J124" s="35">
        <v>1.76</v>
      </c>
      <c r="K124" s="35">
        <v>0</v>
      </c>
      <c r="L124" s="35">
        <v>11.47</v>
      </c>
      <c r="M124" s="35">
        <v>0</v>
      </c>
      <c r="N124" s="35">
        <v>9.03</v>
      </c>
      <c r="O124" s="35">
        <v>1.17</v>
      </c>
      <c r="P124" s="35">
        <v>0</v>
      </c>
      <c r="Q124" s="44">
        <v>3.69</v>
      </c>
      <c r="R124" s="36" t="str">
        <f t="shared" si="11"/>
        <v>SI</v>
      </c>
      <c r="S124" s="36" t="str">
        <f t="shared" si="10"/>
        <v>Sin Riesgo</v>
      </c>
      <c r="T124" s="4"/>
      <c r="U124" s="4"/>
      <c r="V124" s="4"/>
      <c r="W124" s="4"/>
    </row>
    <row r="125" spans="1:23" ht="24.75" customHeight="1">
      <c r="A125" s="33" t="s">
        <v>171</v>
      </c>
      <c r="B125" s="37" t="s">
        <v>113</v>
      </c>
      <c r="C125" s="48" t="s">
        <v>247</v>
      </c>
      <c r="D125" s="34">
        <v>76</v>
      </c>
      <c r="E125" s="35">
        <v>0</v>
      </c>
      <c r="F125" s="35">
        <v>0</v>
      </c>
      <c r="G125" s="35">
        <v>0</v>
      </c>
      <c r="H125" s="35">
        <v>6.45</v>
      </c>
      <c r="I125" s="35">
        <v>5.92</v>
      </c>
      <c r="J125" s="35">
        <v>0</v>
      </c>
      <c r="K125" s="35">
        <v>0</v>
      </c>
      <c r="L125" s="35">
        <v>0</v>
      </c>
      <c r="M125" s="35">
        <v>0</v>
      </c>
      <c r="N125" s="35">
        <v>5.99</v>
      </c>
      <c r="O125" s="35">
        <v>0</v>
      </c>
      <c r="P125" s="35">
        <v>0</v>
      </c>
      <c r="Q125" s="44">
        <v>1.53</v>
      </c>
      <c r="R125" s="36" t="str">
        <f t="shared" si="11"/>
        <v>SI</v>
      </c>
      <c r="S125" s="36" t="str">
        <f t="shared" si="10"/>
        <v>Sin Riesgo</v>
      </c>
      <c r="T125" s="4"/>
      <c r="U125" s="4"/>
      <c r="V125" s="4"/>
      <c r="W125" s="4"/>
    </row>
    <row r="126" spans="1:23" ht="24.75" customHeight="1">
      <c r="A126" s="33" t="s">
        <v>170</v>
      </c>
      <c r="B126" s="37" t="s">
        <v>114</v>
      </c>
      <c r="C126" s="48" t="s">
        <v>18</v>
      </c>
      <c r="D126" s="34">
        <v>3743</v>
      </c>
      <c r="E126" s="35">
        <v>0</v>
      </c>
      <c r="F126" s="35">
        <v>0</v>
      </c>
      <c r="G126" s="35">
        <v>6.45</v>
      </c>
      <c r="H126" s="35">
        <v>0.88</v>
      </c>
      <c r="I126" s="35">
        <v>0</v>
      </c>
      <c r="J126" s="35">
        <v>6.45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44">
        <v>1.15</v>
      </c>
      <c r="R126" s="36" t="str">
        <f t="shared" si="11"/>
        <v>SI</v>
      </c>
      <c r="S126" s="36" t="str">
        <f t="shared" si="10"/>
        <v>Sin Riesgo</v>
      </c>
      <c r="T126" s="4"/>
      <c r="U126" s="4"/>
      <c r="V126" s="4"/>
      <c r="W126" s="4"/>
    </row>
    <row r="127" spans="1:23" ht="24.75" customHeight="1">
      <c r="A127" s="33" t="s">
        <v>171</v>
      </c>
      <c r="B127" s="37" t="s">
        <v>115</v>
      </c>
      <c r="C127" s="48" t="s">
        <v>248</v>
      </c>
      <c r="D127" s="34">
        <v>741</v>
      </c>
      <c r="E127" s="35">
        <v>0</v>
      </c>
      <c r="F127" s="35">
        <v>0</v>
      </c>
      <c r="G127" s="35">
        <v>0</v>
      </c>
      <c r="H127" s="35">
        <v>9.03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44">
        <v>0.75</v>
      </c>
      <c r="R127" s="36" t="str">
        <f t="shared" si="11"/>
        <v>SI</v>
      </c>
      <c r="S127" s="36" t="str">
        <f t="shared" si="10"/>
        <v>Sin Riesgo</v>
      </c>
      <c r="T127" s="4"/>
      <c r="U127" s="4"/>
      <c r="V127" s="4"/>
      <c r="W127" s="4"/>
    </row>
    <row r="128" spans="1:23" ht="30.75" customHeight="1">
      <c r="A128" s="33" t="s">
        <v>172</v>
      </c>
      <c r="B128" s="37" t="s">
        <v>116</v>
      </c>
      <c r="C128" s="48" t="s">
        <v>318</v>
      </c>
      <c r="D128" s="34">
        <v>1352</v>
      </c>
      <c r="E128" s="35">
        <v>6.45</v>
      </c>
      <c r="F128" s="35">
        <v>9.03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17.2</v>
      </c>
      <c r="N128" s="35">
        <v>6.45</v>
      </c>
      <c r="O128" s="35">
        <v>0</v>
      </c>
      <c r="P128" s="35">
        <v>0</v>
      </c>
      <c r="Q128" s="44">
        <v>3.26</v>
      </c>
      <c r="R128" s="36" t="str">
        <f t="shared" si="11"/>
        <v>SI</v>
      </c>
      <c r="S128" s="36" t="str">
        <f t="shared" si="10"/>
        <v>Sin Riesgo</v>
      </c>
      <c r="T128" s="4"/>
      <c r="U128" s="4"/>
      <c r="V128" s="4"/>
      <c r="W128" s="4"/>
    </row>
    <row r="129" spans="1:23" ht="24.75" customHeight="1">
      <c r="A129" s="39" t="s">
        <v>177</v>
      </c>
      <c r="B129" s="37" t="s">
        <v>117</v>
      </c>
      <c r="C129" s="48" t="s">
        <v>249</v>
      </c>
      <c r="D129" s="34">
        <v>10444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44">
        <v>0</v>
      </c>
      <c r="R129" s="36" t="str">
        <f t="shared" si="11"/>
        <v>SI</v>
      </c>
      <c r="S129" s="36" t="str">
        <f t="shared" si="10"/>
        <v>Sin Riesgo</v>
      </c>
      <c r="T129" s="4"/>
      <c r="U129" s="4"/>
      <c r="V129" s="4"/>
      <c r="W129" s="4"/>
    </row>
    <row r="130" spans="1:23" ht="24.75" customHeight="1">
      <c r="A130" s="39" t="s">
        <v>177</v>
      </c>
      <c r="B130" s="37" t="s">
        <v>118</v>
      </c>
      <c r="C130" s="48" t="s">
        <v>319</v>
      </c>
      <c r="D130" s="34">
        <v>1417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6.45</v>
      </c>
      <c r="P130" s="35">
        <v>0</v>
      </c>
      <c r="Q130" s="44">
        <v>0.54</v>
      </c>
      <c r="R130" s="36" t="str">
        <f t="shared" si="11"/>
        <v>SI</v>
      </c>
      <c r="S130" s="36" t="str">
        <f t="shared" si="10"/>
        <v>Sin Riesgo</v>
      </c>
      <c r="T130" s="4"/>
      <c r="U130" s="4"/>
      <c r="V130" s="4"/>
      <c r="W130" s="4"/>
    </row>
    <row r="131" spans="1:23" ht="24.75" customHeight="1">
      <c r="A131" s="33" t="s">
        <v>177</v>
      </c>
      <c r="B131" s="90" t="s">
        <v>119</v>
      </c>
      <c r="C131" s="49" t="s">
        <v>193</v>
      </c>
      <c r="D131" s="53">
        <v>950</v>
      </c>
      <c r="E131" s="35">
        <v>0</v>
      </c>
      <c r="F131" s="35">
        <v>0</v>
      </c>
      <c r="G131" s="35">
        <v>9.03</v>
      </c>
      <c r="H131" s="35">
        <v>0</v>
      </c>
      <c r="I131" s="35">
        <v>0</v>
      </c>
      <c r="J131" s="35">
        <v>9.03</v>
      </c>
      <c r="K131" s="35">
        <v>0</v>
      </c>
      <c r="L131" s="35">
        <v>0</v>
      </c>
      <c r="M131" s="35">
        <v>0</v>
      </c>
      <c r="N131" s="35">
        <v>2.58</v>
      </c>
      <c r="O131" s="35">
        <v>0</v>
      </c>
      <c r="P131" s="35">
        <v>0</v>
      </c>
      <c r="Q131" s="44">
        <v>1.72</v>
      </c>
      <c r="R131" s="36" t="str">
        <f t="shared" si="11"/>
        <v>SI</v>
      </c>
      <c r="S131" s="36" t="str">
        <f t="shared" si="10"/>
        <v>Sin Riesgo</v>
      </c>
      <c r="T131" s="4"/>
      <c r="U131" s="4"/>
      <c r="V131" s="4"/>
      <c r="W131" s="4"/>
    </row>
    <row r="132" spans="1:23" ht="24.75" customHeight="1">
      <c r="A132" s="33" t="s">
        <v>173</v>
      </c>
      <c r="B132" s="90" t="s">
        <v>120</v>
      </c>
      <c r="C132" s="48" t="s">
        <v>250</v>
      </c>
      <c r="D132" s="22">
        <v>3619</v>
      </c>
      <c r="E132" s="35">
        <v>0</v>
      </c>
      <c r="F132" s="35">
        <v>0</v>
      </c>
      <c r="G132" s="35">
        <v>0</v>
      </c>
      <c r="H132" s="35">
        <v>0</v>
      </c>
      <c r="I132" s="35">
        <v>9.49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0.97</v>
      </c>
      <c r="P132" s="35">
        <v>0</v>
      </c>
      <c r="Q132" s="44">
        <v>0.87</v>
      </c>
      <c r="R132" s="36" t="str">
        <f t="shared" si="11"/>
        <v>SI</v>
      </c>
      <c r="S132" s="36" t="str">
        <f t="shared" si="10"/>
        <v>Sin Riesgo</v>
      </c>
      <c r="T132" s="4"/>
      <c r="U132" s="4"/>
      <c r="V132" s="4"/>
      <c r="W132" s="4"/>
    </row>
    <row r="133" spans="1:23" ht="24.75" customHeight="1">
      <c r="A133" s="33" t="s">
        <v>170</v>
      </c>
      <c r="B133" s="37" t="s">
        <v>180</v>
      </c>
      <c r="C133" s="48" t="s">
        <v>19</v>
      </c>
      <c r="D133" s="34">
        <v>5098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44">
        <v>0</v>
      </c>
      <c r="R133" s="36" t="str">
        <f t="shared" si="11"/>
        <v>SI</v>
      </c>
      <c r="S133" s="36" t="str">
        <f aca="true" t="shared" si="12" ref="S133:S184">IF(Q133&lt;=5,"Sin Riesgo",IF(Q133&lt;=14,"Bajo",IF(Q133&lt;=35,"Medio",IF(Q133&lt;=80,"Alto","Inviable Sanitariamente"))))</f>
        <v>Sin Riesgo</v>
      </c>
      <c r="T133" s="4"/>
      <c r="U133" s="4"/>
      <c r="V133" s="4"/>
      <c r="W133" s="4"/>
    </row>
    <row r="134" spans="1:23" ht="36.75" customHeight="1">
      <c r="A134" s="33" t="s">
        <v>170</v>
      </c>
      <c r="B134" s="37" t="s">
        <v>180</v>
      </c>
      <c r="C134" s="48" t="s">
        <v>320</v>
      </c>
      <c r="D134" s="34">
        <v>346</v>
      </c>
      <c r="E134" s="35">
        <v>0</v>
      </c>
      <c r="F134" s="35">
        <v>0</v>
      </c>
      <c r="G134" s="35">
        <v>6.45</v>
      </c>
      <c r="H134" s="35">
        <v>13.02</v>
      </c>
      <c r="I134" s="35">
        <v>6.45</v>
      </c>
      <c r="J134" s="35">
        <v>0</v>
      </c>
      <c r="K134" s="35">
        <v>0</v>
      </c>
      <c r="L134" s="35">
        <v>0</v>
      </c>
      <c r="M134" s="35">
        <v>0</v>
      </c>
      <c r="N134" s="35">
        <v>6.45</v>
      </c>
      <c r="O134" s="35">
        <v>0</v>
      </c>
      <c r="P134" s="35">
        <v>0</v>
      </c>
      <c r="Q134" s="44">
        <v>2.86</v>
      </c>
      <c r="R134" s="36" t="str">
        <f t="shared" si="11"/>
        <v>SI</v>
      </c>
      <c r="S134" s="36" t="str">
        <f t="shared" si="12"/>
        <v>Sin Riesgo</v>
      </c>
      <c r="T134" s="4"/>
      <c r="U134" s="4"/>
      <c r="V134" s="4"/>
      <c r="W134" s="4"/>
    </row>
    <row r="135" spans="1:23" ht="24.75" customHeight="1">
      <c r="A135" s="33" t="s">
        <v>170</v>
      </c>
      <c r="B135" s="37" t="s">
        <v>121</v>
      </c>
      <c r="C135" s="48" t="s">
        <v>251</v>
      </c>
      <c r="D135" s="34">
        <v>26981</v>
      </c>
      <c r="E135" s="35">
        <v>0</v>
      </c>
      <c r="F135" s="35">
        <v>0</v>
      </c>
      <c r="G135" s="35">
        <v>0</v>
      </c>
      <c r="H135" s="35">
        <v>5.68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44">
        <v>0.51</v>
      </c>
      <c r="R135" s="36" t="str">
        <f t="shared" si="11"/>
        <v>SI</v>
      </c>
      <c r="S135" s="36" t="str">
        <f t="shared" si="12"/>
        <v>Sin Riesgo</v>
      </c>
      <c r="T135" s="4"/>
      <c r="U135" s="4"/>
      <c r="V135" s="4"/>
      <c r="W135" s="4"/>
    </row>
    <row r="136" spans="1:23" ht="33.75" customHeight="1">
      <c r="A136" s="33" t="s">
        <v>171</v>
      </c>
      <c r="B136" s="37" t="s">
        <v>122</v>
      </c>
      <c r="C136" s="48" t="s">
        <v>252</v>
      </c>
      <c r="D136" s="34">
        <v>927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44">
        <v>0</v>
      </c>
      <c r="R136" s="36" t="str">
        <f t="shared" si="11"/>
        <v>SI</v>
      </c>
      <c r="S136" s="36" t="str">
        <f t="shared" si="12"/>
        <v>Sin Riesgo</v>
      </c>
      <c r="T136" s="4"/>
      <c r="U136" s="4"/>
      <c r="V136" s="4"/>
      <c r="W136" s="4"/>
    </row>
    <row r="137" spans="1:23" ht="24.75" customHeight="1">
      <c r="A137" s="33" t="s">
        <v>167</v>
      </c>
      <c r="B137" s="37" t="s">
        <v>123</v>
      </c>
      <c r="C137" s="48" t="s">
        <v>297</v>
      </c>
      <c r="D137" s="34">
        <v>25608</v>
      </c>
      <c r="E137" s="35">
        <v>0</v>
      </c>
      <c r="F137" s="35">
        <v>0</v>
      </c>
      <c r="G137" s="35">
        <v>4.84</v>
      </c>
      <c r="H137" s="35">
        <v>0</v>
      </c>
      <c r="I137" s="35">
        <v>0</v>
      </c>
      <c r="J137" s="35">
        <v>0</v>
      </c>
      <c r="K137" s="35">
        <v>2.61</v>
      </c>
      <c r="L137" s="35">
        <v>6.1</v>
      </c>
      <c r="M137" s="35">
        <v>0</v>
      </c>
      <c r="N137" s="35">
        <v>0</v>
      </c>
      <c r="O137" s="35">
        <v>0</v>
      </c>
      <c r="P137" s="35">
        <v>0</v>
      </c>
      <c r="Q137" s="44">
        <v>1.29</v>
      </c>
      <c r="R137" s="36" t="str">
        <f t="shared" si="11"/>
        <v>SI</v>
      </c>
      <c r="S137" s="36" t="str">
        <f t="shared" si="12"/>
        <v>Sin Riesgo</v>
      </c>
      <c r="T137" s="4"/>
      <c r="U137" s="4"/>
      <c r="V137" s="4"/>
      <c r="W137" s="4"/>
    </row>
    <row r="138" spans="1:23" ht="24.75" customHeight="1">
      <c r="A138" s="33" t="s">
        <v>172</v>
      </c>
      <c r="B138" s="37" t="s">
        <v>124</v>
      </c>
      <c r="C138" s="48" t="s">
        <v>253</v>
      </c>
      <c r="D138" s="34">
        <v>2083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44">
        <v>0</v>
      </c>
      <c r="R138" s="36" t="str">
        <f t="shared" si="11"/>
        <v>SI</v>
      </c>
      <c r="S138" s="36" t="str">
        <f t="shared" si="12"/>
        <v>Sin Riesgo</v>
      </c>
      <c r="T138" s="4"/>
      <c r="U138" s="4"/>
      <c r="V138" s="4"/>
      <c r="W138" s="4"/>
    </row>
    <row r="139" spans="1:23" ht="24.75" customHeight="1">
      <c r="A139" s="33" t="s">
        <v>172</v>
      </c>
      <c r="B139" s="37" t="s">
        <v>124</v>
      </c>
      <c r="C139" s="48" t="s">
        <v>321</v>
      </c>
      <c r="D139" s="34">
        <v>165</v>
      </c>
      <c r="E139" s="35">
        <v>6.45</v>
      </c>
      <c r="F139" s="35">
        <v>0</v>
      </c>
      <c r="G139" s="35">
        <v>6.45</v>
      </c>
      <c r="H139" s="35">
        <v>6.45</v>
      </c>
      <c r="I139" s="35">
        <v>9.47</v>
      </c>
      <c r="J139" s="35">
        <v>0</v>
      </c>
      <c r="K139" s="35">
        <v>0</v>
      </c>
      <c r="L139" s="35">
        <v>6.45</v>
      </c>
      <c r="M139" s="35">
        <v>0</v>
      </c>
      <c r="N139" s="35">
        <v>9.68</v>
      </c>
      <c r="O139" s="35">
        <v>0</v>
      </c>
      <c r="P139" s="35">
        <v>0</v>
      </c>
      <c r="Q139" s="44">
        <v>3.48</v>
      </c>
      <c r="R139" s="36" t="str">
        <f t="shared" si="11"/>
        <v>SI</v>
      </c>
      <c r="S139" s="36" t="str">
        <f t="shared" si="12"/>
        <v>Sin Riesgo</v>
      </c>
      <c r="T139" s="4"/>
      <c r="U139" s="4"/>
      <c r="V139" s="4"/>
      <c r="W139" s="4"/>
    </row>
    <row r="140" spans="1:23" ht="32.25" customHeight="1">
      <c r="A140" s="33" t="s">
        <v>174</v>
      </c>
      <c r="B140" s="37" t="s">
        <v>125</v>
      </c>
      <c r="C140" s="48" t="s">
        <v>254</v>
      </c>
      <c r="D140" s="34">
        <v>864</v>
      </c>
      <c r="E140" s="35">
        <v>0</v>
      </c>
      <c r="F140" s="35">
        <v>15.3</v>
      </c>
      <c r="G140" s="35">
        <v>6.45</v>
      </c>
      <c r="H140" s="35">
        <v>0</v>
      </c>
      <c r="I140" s="35">
        <v>15.3</v>
      </c>
      <c r="J140" s="35">
        <v>12.9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44">
        <v>4.28</v>
      </c>
      <c r="R140" s="36" t="str">
        <f t="shared" si="11"/>
        <v>SI</v>
      </c>
      <c r="S140" s="36" t="str">
        <f t="shared" si="12"/>
        <v>Sin Riesgo</v>
      </c>
      <c r="T140" s="4"/>
      <c r="U140" s="4"/>
      <c r="V140" s="4"/>
      <c r="W140" s="4"/>
    </row>
    <row r="141" spans="1:23" ht="34.5" customHeight="1">
      <c r="A141" s="33" t="s">
        <v>170</v>
      </c>
      <c r="B141" s="37" t="s">
        <v>126</v>
      </c>
      <c r="C141" s="48" t="s">
        <v>255</v>
      </c>
      <c r="D141" s="34">
        <v>2510</v>
      </c>
      <c r="E141" s="35">
        <v>0</v>
      </c>
      <c r="F141" s="35">
        <v>0</v>
      </c>
      <c r="G141" s="35">
        <v>0.88</v>
      </c>
      <c r="H141" s="35">
        <v>1.77</v>
      </c>
      <c r="I141" s="35">
        <v>7.98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1.77</v>
      </c>
      <c r="Q141" s="44">
        <v>1.03</v>
      </c>
      <c r="R141" s="36" t="str">
        <f t="shared" si="11"/>
        <v>SI</v>
      </c>
      <c r="S141" s="36" t="str">
        <f t="shared" si="12"/>
        <v>Sin Riesgo</v>
      </c>
      <c r="T141" s="4"/>
      <c r="U141" s="4"/>
      <c r="V141" s="4"/>
      <c r="W141" s="4"/>
    </row>
    <row r="142" spans="1:23" ht="24.75" customHeight="1">
      <c r="A142" s="33" t="s">
        <v>170</v>
      </c>
      <c r="B142" s="37" t="s">
        <v>127</v>
      </c>
      <c r="C142" s="48" t="s">
        <v>256</v>
      </c>
      <c r="D142" s="34">
        <v>843</v>
      </c>
      <c r="E142" s="35">
        <v>0</v>
      </c>
      <c r="F142" s="35">
        <v>0</v>
      </c>
      <c r="G142" s="35">
        <v>9.68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15.3</v>
      </c>
      <c r="P142" s="35">
        <v>0</v>
      </c>
      <c r="Q142" s="44">
        <v>1.86</v>
      </c>
      <c r="R142" s="36" t="str">
        <f t="shared" si="11"/>
        <v>SI</v>
      </c>
      <c r="S142" s="36" t="str">
        <f t="shared" si="12"/>
        <v>Sin Riesgo</v>
      </c>
      <c r="T142" s="4"/>
      <c r="U142" s="4"/>
      <c r="V142" s="4"/>
      <c r="W142" s="4"/>
    </row>
    <row r="143" spans="1:23" ht="24.75" customHeight="1">
      <c r="A143" s="33" t="s">
        <v>171</v>
      </c>
      <c r="B143" s="37" t="s">
        <v>128</v>
      </c>
      <c r="C143" s="48" t="s">
        <v>257</v>
      </c>
      <c r="D143" s="34">
        <v>2130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6.45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44">
        <v>0.55</v>
      </c>
      <c r="R143" s="36" t="str">
        <f t="shared" si="11"/>
        <v>SI</v>
      </c>
      <c r="S143" s="36" t="str">
        <f t="shared" si="12"/>
        <v>Sin Riesgo</v>
      </c>
      <c r="T143" s="4"/>
      <c r="U143" s="4"/>
      <c r="V143" s="4"/>
      <c r="W143" s="4"/>
    </row>
    <row r="144" spans="1:23" ht="24.75" customHeight="1">
      <c r="A144" s="33" t="s">
        <v>174</v>
      </c>
      <c r="B144" s="37" t="s">
        <v>129</v>
      </c>
      <c r="C144" s="49" t="s">
        <v>196</v>
      </c>
      <c r="D144" s="53">
        <v>706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44">
        <v>0</v>
      </c>
      <c r="R144" s="36" t="str">
        <f aca="true" t="shared" si="13" ref="R144:R184">IF(Q144&lt;=5,"SI","NO")</f>
        <v>SI</v>
      </c>
      <c r="S144" s="36" t="str">
        <f t="shared" si="12"/>
        <v>Sin Riesgo</v>
      </c>
      <c r="T144" s="4"/>
      <c r="U144" s="4"/>
      <c r="V144" s="4"/>
      <c r="W144" s="4"/>
    </row>
    <row r="145" spans="1:23" ht="24.75" customHeight="1">
      <c r="A145" s="33" t="s">
        <v>175</v>
      </c>
      <c r="B145" s="37" t="s">
        <v>130</v>
      </c>
      <c r="C145" s="48" t="s">
        <v>193</v>
      </c>
      <c r="D145" s="34">
        <v>1865</v>
      </c>
      <c r="E145" s="35">
        <v>8.85</v>
      </c>
      <c r="F145" s="35">
        <v>6.45</v>
      </c>
      <c r="G145" s="35">
        <v>4.73</v>
      </c>
      <c r="H145" s="35">
        <v>13.27</v>
      </c>
      <c r="I145" s="35"/>
      <c r="J145" s="35"/>
      <c r="K145" s="35">
        <v>17.71</v>
      </c>
      <c r="L145" s="35"/>
      <c r="M145" s="35">
        <v>1.53</v>
      </c>
      <c r="N145" s="35">
        <v>0</v>
      </c>
      <c r="O145" s="35">
        <v>0</v>
      </c>
      <c r="P145" s="35">
        <v>1.77</v>
      </c>
      <c r="Q145" s="44">
        <v>5.76</v>
      </c>
      <c r="R145" s="36" t="str">
        <f t="shared" si="13"/>
        <v>NO</v>
      </c>
      <c r="S145" s="36" t="str">
        <f t="shared" si="12"/>
        <v>Bajo</v>
      </c>
      <c r="T145" s="4"/>
      <c r="U145" s="4"/>
      <c r="V145" s="4"/>
      <c r="W145" s="4"/>
    </row>
    <row r="146" spans="1:23" ht="36" customHeight="1">
      <c r="A146" s="33" t="s">
        <v>170</v>
      </c>
      <c r="B146" s="37" t="s">
        <v>131</v>
      </c>
      <c r="C146" s="48" t="s">
        <v>258</v>
      </c>
      <c r="D146" s="34">
        <v>610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47">
        <v>0</v>
      </c>
      <c r="R146" s="36" t="str">
        <f t="shared" si="13"/>
        <v>SI</v>
      </c>
      <c r="S146" s="36" t="str">
        <f t="shared" si="12"/>
        <v>Sin Riesgo</v>
      </c>
      <c r="T146" s="4"/>
      <c r="U146" s="4"/>
      <c r="V146" s="4"/>
      <c r="W146" s="4"/>
    </row>
    <row r="147" spans="1:23" ht="38.25" customHeight="1">
      <c r="A147" s="33" t="s">
        <v>170</v>
      </c>
      <c r="B147" s="37" t="s">
        <v>131</v>
      </c>
      <c r="C147" s="48" t="s">
        <v>259</v>
      </c>
      <c r="D147" s="34">
        <v>2442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44">
        <v>0</v>
      </c>
      <c r="R147" s="36" t="str">
        <f t="shared" si="13"/>
        <v>SI</v>
      </c>
      <c r="S147" s="36" t="str">
        <f t="shared" si="12"/>
        <v>Sin Riesgo</v>
      </c>
      <c r="T147" s="4"/>
      <c r="U147" s="4"/>
      <c r="V147" s="4"/>
      <c r="W147" s="4"/>
    </row>
    <row r="148" spans="1:23" ht="24.75" customHeight="1">
      <c r="A148" s="33" t="s">
        <v>174</v>
      </c>
      <c r="B148" s="37" t="s">
        <v>132</v>
      </c>
      <c r="C148" s="49" t="s">
        <v>260</v>
      </c>
      <c r="D148" s="53">
        <v>3553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44">
        <v>0</v>
      </c>
      <c r="R148" s="36" t="str">
        <f t="shared" si="13"/>
        <v>SI</v>
      </c>
      <c r="S148" s="36" t="str">
        <f t="shared" si="12"/>
        <v>Sin Riesgo</v>
      </c>
      <c r="T148" s="4"/>
      <c r="U148" s="4"/>
      <c r="V148" s="4"/>
      <c r="W148" s="4"/>
    </row>
    <row r="149" spans="1:23" ht="24.75" customHeight="1">
      <c r="A149" s="33" t="s">
        <v>175</v>
      </c>
      <c r="B149" s="37" t="s">
        <v>133</v>
      </c>
      <c r="C149" s="48" t="s">
        <v>322</v>
      </c>
      <c r="D149" s="34">
        <v>3382</v>
      </c>
      <c r="E149" s="35">
        <v>0</v>
      </c>
      <c r="F149" s="35">
        <v>0</v>
      </c>
      <c r="G149" s="35">
        <v>1.18</v>
      </c>
      <c r="H149" s="35">
        <v>1.17</v>
      </c>
      <c r="I149" s="35">
        <v>6.45</v>
      </c>
      <c r="J149" s="35">
        <v>0</v>
      </c>
      <c r="K149" s="35">
        <v>0</v>
      </c>
      <c r="L149" s="35">
        <v>0</v>
      </c>
      <c r="M149" s="35">
        <v>0</v>
      </c>
      <c r="N149" s="35">
        <v>8.85</v>
      </c>
      <c r="O149" s="35">
        <v>0</v>
      </c>
      <c r="P149" s="35">
        <v>6.45</v>
      </c>
      <c r="Q149" s="44">
        <v>2</v>
      </c>
      <c r="R149" s="36" t="str">
        <f t="shared" si="13"/>
        <v>SI</v>
      </c>
      <c r="S149" s="36" t="str">
        <f t="shared" si="12"/>
        <v>Sin Riesgo</v>
      </c>
      <c r="T149" s="4"/>
      <c r="U149" s="4"/>
      <c r="V149" s="4"/>
      <c r="W149" s="4"/>
    </row>
    <row r="150" spans="1:23" ht="24.75" customHeight="1">
      <c r="A150" s="33" t="s">
        <v>170</v>
      </c>
      <c r="B150" s="37" t="s">
        <v>134</v>
      </c>
      <c r="C150" s="48" t="s">
        <v>261</v>
      </c>
      <c r="D150" s="34">
        <v>2633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44">
        <v>0</v>
      </c>
      <c r="R150" s="36" t="str">
        <f t="shared" si="13"/>
        <v>SI</v>
      </c>
      <c r="S150" s="36" t="str">
        <f t="shared" si="12"/>
        <v>Sin Riesgo</v>
      </c>
      <c r="T150" s="4"/>
      <c r="U150" s="4"/>
      <c r="V150" s="4"/>
      <c r="W150" s="4"/>
    </row>
    <row r="151" spans="1:23" ht="24.75" customHeight="1">
      <c r="A151" s="33" t="s">
        <v>173</v>
      </c>
      <c r="B151" s="37" t="s">
        <v>135</v>
      </c>
      <c r="C151" s="48" t="s">
        <v>262</v>
      </c>
      <c r="D151" s="34">
        <v>2150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6.45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44">
        <v>0.55</v>
      </c>
      <c r="R151" s="36" t="str">
        <f t="shared" si="13"/>
        <v>SI</v>
      </c>
      <c r="S151" s="36" t="str">
        <f t="shared" si="12"/>
        <v>Sin Riesgo</v>
      </c>
      <c r="T151" s="4"/>
      <c r="U151" s="4"/>
      <c r="V151" s="4"/>
      <c r="W151" s="4"/>
    </row>
    <row r="152" spans="1:23" ht="36" customHeight="1">
      <c r="A152" s="33" t="s">
        <v>170</v>
      </c>
      <c r="B152" s="37" t="s">
        <v>327</v>
      </c>
      <c r="C152" s="48" t="s">
        <v>323</v>
      </c>
      <c r="D152" s="34">
        <v>1753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0.88</v>
      </c>
      <c r="L152" s="35">
        <v>0.88</v>
      </c>
      <c r="M152" s="35">
        <v>0</v>
      </c>
      <c r="N152" s="35">
        <v>0</v>
      </c>
      <c r="O152" s="35">
        <v>0</v>
      </c>
      <c r="P152" s="35">
        <v>0</v>
      </c>
      <c r="Q152" s="44">
        <v>0.15</v>
      </c>
      <c r="R152" s="36" t="str">
        <f t="shared" si="13"/>
        <v>SI</v>
      </c>
      <c r="S152" s="36" t="str">
        <f t="shared" si="12"/>
        <v>Sin Riesgo</v>
      </c>
      <c r="T152" s="4"/>
      <c r="U152" s="4"/>
      <c r="V152" s="4"/>
      <c r="W152" s="4"/>
    </row>
    <row r="153" spans="1:23" ht="24.75" customHeight="1">
      <c r="A153" s="33" t="s">
        <v>172</v>
      </c>
      <c r="B153" s="37" t="s">
        <v>136</v>
      </c>
      <c r="C153" s="48" t="s">
        <v>229</v>
      </c>
      <c r="D153" s="34">
        <v>3621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44">
        <v>0</v>
      </c>
      <c r="R153" s="36" t="str">
        <f t="shared" si="13"/>
        <v>SI</v>
      </c>
      <c r="S153" s="36" t="str">
        <f t="shared" si="12"/>
        <v>Sin Riesgo</v>
      </c>
      <c r="T153" s="4"/>
      <c r="U153" s="4"/>
      <c r="V153" s="4"/>
      <c r="W153" s="4"/>
    </row>
    <row r="154" spans="1:23" ht="24.75" customHeight="1">
      <c r="A154" s="33" t="s">
        <v>174</v>
      </c>
      <c r="B154" s="37" t="s">
        <v>137</v>
      </c>
      <c r="C154" s="49" t="s">
        <v>196</v>
      </c>
      <c r="D154" s="53">
        <v>5510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4.4</v>
      </c>
      <c r="M154" s="35">
        <v>0</v>
      </c>
      <c r="N154" s="35">
        <v>0</v>
      </c>
      <c r="O154" s="35">
        <v>3.87</v>
      </c>
      <c r="P154" s="35">
        <v>0</v>
      </c>
      <c r="Q154" s="44">
        <v>0.7</v>
      </c>
      <c r="R154" s="36" t="str">
        <f t="shared" si="13"/>
        <v>SI</v>
      </c>
      <c r="S154" s="36" t="str">
        <f t="shared" si="12"/>
        <v>Sin Riesgo</v>
      </c>
      <c r="T154" s="4"/>
      <c r="U154" s="4"/>
      <c r="V154" s="4"/>
      <c r="W154" s="4"/>
    </row>
    <row r="155" spans="1:23" ht="24.75" customHeight="1">
      <c r="A155" s="33" t="s">
        <v>171</v>
      </c>
      <c r="B155" s="37" t="s">
        <v>138</v>
      </c>
      <c r="C155" s="48" t="s">
        <v>257</v>
      </c>
      <c r="D155" s="34">
        <v>5307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44">
        <v>0</v>
      </c>
      <c r="R155" s="36" t="str">
        <f t="shared" si="13"/>
        <v>SI</v>
      </c>
      <c r="S155" s="36" t="str">
        <f t="shared" si="12"/>
        <v>Sin Riesgo</v>
      </c>
      <c r="T155" s="4"/>
      <c r="U155" s="4"/>
      <c r="V155" s="4"/>
      <c r="W155" s="4"/>
    </row>
    <row r="156" spans="1:23" ht="34.5" customHeight="1">
      <c r="A156" s="33" t="s">
        <v>173</v>
      </c>
      <c r="B156" s="37" t="s">
        <v>139</v>
      </c>
      <c r="C156" s="48" t="s">
        <v>324</v>
      </c>
      <c r="D156" s="34">
        <v>879</v>
      </c>
      <c r="E156" s="35">
        <v>0</v>
      </c>
      <c r="F156" s="35">
        <v>0</v>
      </c>
      <c r="G156" s="35">
        <v>0</v>
      </c>
      <c r="H156" s="35">
        <v>0.88</v>
      </c>
      <c r="I156" s="35">
        <v>0.88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44">
        <v>0.15</v>
      </c>
      <c r="R156" s="36" t="str">
        <f t="shared" si="13"/>
        <v>SI</v>
      </c>
      <c r="S156" s="36" t="str">
        <f t="shared" si="12"/>
        <v>Sin Riesgo</v>
      </c>
      <c r="T156" s="4"/>
      <c r="U156" s="4"/>
      <c r="V156" s="4"/>
      <c r="W156" s="4"/>
    </row>
    <row r="157" spans="1:23" ht="24.75" customHeight="1">
      <c r="A157" s="33" t="s">
        <v>173</v>
      </c>
      <c r="B157" s="37" t="s">
        <v>140</v>
      </c>
      <c r="C157" s="48" t="s">
        <v>263</v>
      </c>
      <c r="D157" s="34">
        <v>7978</v>
      </c>
      <c r="E157" s="35">
        <v>18.36</v>
      </c>
      <c r="F157" s="35">
        <v>0</v>
      </c>
      <c r="G157" s="35">
        <v>0.7</v>
      </c>
      <c r="H157" s="35">
        <v>0</v>
      </c>
      <c r="I157" s="35">
        <v>0.7</v>
      </c>
      <c r="J157" s="35">
        <v>6.54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47">
        <v>2.19</v>
      </c>
      <c r="R157" s="36" t="str">
        <f t="shared" si="13"/>
        <v>SI</v>
      </c>
      <c r="S157" s="36" t="str">
        <f t="shared" si="12"/>
        <v>Sin Riesgo</v>
      </c>
      <c r="T157" s="4"/>
      <c r="U157" s="4"/>
      <c r="V157" s="4"/>
      <c r="W157" s="4"/>
    </row>
    <row r="158" spans="1:23" ht="24.75" customHeight="1">
      <c r="A158" s="33" t="s">
        <v>170</v>
      </c>
      <c r="B158" s="91" t="s">
        <v>141</v>
      </c>
      <c r="C158" s="48" t="s">
        <v>264</v>
      </c>
      <c r="D158" s="34">
        <v>5175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4.84</v>
      </c>
      <c r="P158" s="35">
        <v>0</v>
      </c>
      <c r="Q158" s="44">
        <v>0.51</v>
      </c>
      <c r="R158" s="36" t="str">
        <f t="shared" si="13"/>
        <v>SI</v>
      </c>
      <c r="S158" s="36" t="str">
        <f t="shared" si="12"/>
        <v>Sin Riesgo</v>
      </c>
      <c r="T158" s="4"/>
      <c r="U158" s="4"/>
      <c r="V158" s="4"/>
      <c r="W158" s="4"/>
    </row>
    <row r="159" spans="1:23" ht="24.75" customHeight="1">
      <c r="A159" s="33" t="s">
        <v>171</v>
      </c>
      <c r="B159" s="37" t="s">
        <v>142</v>
      </c>
      <c r="C159" s="48" t="s">
        <v>265</v>
      </c>
      <c r="D159" s="34">
        <v>2275</v>
      </c>
      <c r="E159" s="35">
        <v>0</v>
      </c>
      <c r="F159" s="35">
        <v>0</v>
      </c>
      <c r="G159" s="35">
        <v>0</v>
      </c>
      <c r="H159" s="35">
        <v>8.85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44">
        <v>0.72</v>
      </c>
      <c r="R159" s="36" t="str">
        <f t="shared" si="13"/>
        <v>SI</v>
      </c>
      <c r="S159" s="36" t="str">
        <f t="shared" si="12"/>
        <v>Sin Riesgo</v>
      </c>
      <c r="T159" s="4"/>
      <c r="U159" s="4"/>
      <c r="V159" s="4"/>
      <c r="W159" s="4"/>
    </row>
    <row r="160" spans="1:23" ht="33.75" customHeight="1">
      <c r="A160" s="33" t="s">
        <v>172</v>
      </c>
      <c r="B160" s="37" t="s">
        <v>143</v>
      </c>
      <c r="C160" s="48" t="s">
        <v>266</v>
      </c>
      <c r="D160" s="34">
        <v>2439</v>
      </c>
      <c r="E160" s="35">
        <v>0</v>
      </c>
      <c r="F160" s="35">
        <v>0</v>
      </c>
      <c r="G160" s="35">
        <v>0</v>
      </c>
      <c r="H160" s="35">
        <v>0</v>
      </c>
      <c r="I160" s="35">
        <v>1.18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44">
        <v>0.01</v>
      </c>
      <c r="R160" s="36" t="str">
        <f t="shared" si="13"/>
        <v>SI</v>
      </c>
      <c r="S160" s="36" t="str">
        <f t="shared" si="12"/>
        <v>Sin Riesgo</v>
      </c>
      <c r="T160" s="4"/>
      <c r="U160" s="4"/>
      <c r="V160" s="4"/>
      <c r="W160" s="4"/>
    </row>
    <row r="161" spans="1:23" ht="24.75" customHeight="1">
      <c r="A161" s="33" t="s">
        <v>176</v>
      </c>
      <c r="B161" s="92" t="s">
        <v>144</v>
      </c>
      <c r="C161" s="48" t="s">
        <v>325</v>
      </c>
      <c r="D161" s="34">
        <v>4259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23.6</v>
      </c>
      <c r="P161" s="35">
        <v>0</v>
      </c>
      <c r="Q161" s="44">
        <v>1.91</v>
      </c>
      <c r="R161" s="36" t="str">
        <f t="shared" si="13"/>
        <v>SI</v>
      </c>
      <c r="S161" s="36" t="str">
        <f t="shared" si="12"/>
        <v>Sin Riesgo</v>
      </c>
      <c r="T161" s="4"/>
      <c r="U161" s="4"/>
      <c r="V161" s="4"/>
      <c r="W161" s="4"/>
    </row>
    <row r="162" spans="1:23" ht="24.75" customHeight="1">
      <c r="A162" s="39" t="s">
        <v>176</v>
      </c>
      <c r="B162" s="92" t="s">
        <v>144</v>
      </c>
      <c r="C162" s="48" t="s">
        <v>294</v>
      </c>
      <c r="D162" s="34">
        <v>200</v>
      </c>
      <c r="E162" s="35">
        <v>70.96</v>
      </c>
      <c r="F162" s="35">
        <v>70.96</v>
      </c>
      <c r="G162" s="35">
        <v>70.96</v>
      </c>
      <c r="H162" s="35">
        <v>90.32</v>
      </c>
      <c r="I162" s="35">
        <v>65.08</v>
      </c>
      <c r="J162" s="35">
        <v>70.96</v>
      </c>
      <c r="K162" s="35">
        <v>90.32</v>
      </c>
      <c r="L162" s="35">
        <v>98.06</v>
      </c>
      <c r="M162" s="35">
        <v>70.96</v>
      </c>
      <c r="N162" s="35">
        <v>98.06</v>
      </c>
      <c r="O162" s="35">
        <v>70.96</v>
      </c>
      <c r="P162" s="35">
        <v>70.96</v>
      </c>
      <c r="Q162" s="44">
        <v>78.21</v>
      </c>
      <c r="R162" s="36" t="str">
        <f t="shared" si="13"/>
        <v>NO</v>
      </c>
      <c r="S162" s="36" t="str">
        <f t="shared" si="12"/>
        <v>Alto</v>
      </c>
      <c r="T162" s="4"/>
      <c r="U162" s="4"/>
      <c r="V162" s="4"/>
      <c r="W162" s="4"/>
    </row>
    <row r="163" spans="1:23" ht="24.75" customHeight="1">
      <c r="A163" s="39" t="s">
        <v>176</v>
      </c>
      <c r="B163" s="92" t="s">
        <v>144</v>
      </c>
      <c r="C163" s="48" t="s">
        <v>293</v>
      </c>
      <c r="D163" s="34">
        <v>127</v>
      </c>
      <c r="E163" s="35">
        <v>70.96</v>
      </c>
      <c r="F163" s="35">
        <v>70.96</v>
      </c>
      <c r="G163" s="35">
        <v>98.06</v>
      </c>
      <c r="H163" s="35">
        <v>70.96</v>
      </c>
      <c r="I163" s="35">
        <v>58.82</v>
      </c>
      <c r="J163" s="35"/>
      <c r="K163" s="35">
        <v>98.06</v>
      </c>
      <c r="L163" s="35">
        <v>90.32</v>
      </c>
      <c r="M163" s="35">
        <v>90.32</v>
      </c>
      <c r="N163" s="35">
        <v>90.32</v>
      </c>
      <c r="O163" s="35">
        <v>19.35</v>
      </c>
      <c r="P163" s="35">
        <v>90.32</v>
      </c>
      <c r="Q163" s="44">
        <v>77.13</v>
      </c>
      <c r="R163" s="36" t="str">
        <f t="shared" si="13"/>
        <v>NO</v>
      </c>
      <c r="S163" s="36" t="str">
        <f t="shared" si="12"/>
        <v>Alto</v>
      </c>
      <c r="T163" s="4"/>
      <c r="U163" s="4"/>
      <c r="V163" s="4"/>
      <c r="W163" s="4"/>
    </row>
    <row r="164" spans="1:23" ht="24.75" customHeight="1">
      <c r="A164" s="39" t="s">
        <v>176</v>
      </c>
      <c r="B164" s="92" t="s">
        <v>144</v>
      </c>
      <c r="C164" s="48" t="s">
        <v>292</v>
      </c>
      <c r="D164" s="34">
        <v>76</v>
      </c>
      <c r="E164" s="35">
        <v>98.06</v>
      </c>
      <c r="F164" s="35">
        <v>90.32</v>
      </c>
      <c r="G164" s="35">
        <v>90.32</v>
      </c>
      <c r="H164" s="35">
        <v>90.32</v>
      </c>
      <c r="I164" s="35">
        <v>89.94</v>
      </c>
      <c r="J164" s="35">
        <v>98.06</v>
      </c>
      <c r="K164" s="35">
        <v>90.32</v>
      </c>
      <c r="L164" s="35">
        <v>100</v>
      </c>
      <c r="M164" s="35">
        <v>70.96</v>
      </c>
      <c r="N164" s="35">
        <v>90.32</v>
      </c>
      <c r="O164" s="35">
        <v>90.32</v>
      </c>
      <c r="P164" s="35">
        <v>90.32</v>
      </c>
      <c r="Q164" s="44">
        <v>90.77</v>
      </c>
      <c r="R164" s="36" t="str">
        <f t="shared" si="13"/>
        <v>NO</v>
      </c>
      <c r="S164" s="36" t="str">
        <f t="shared" si="12"/>
        <v>Inviable Sanitariamente</v>
      </c>
      <c r="T164" s="4"/>
      <c r="U164" s="4"/>
      <c r="V164" s="4"/>
      <c r="W164" s="4"/>
    </row>
    <row r="165" spans="1:23" ht="24.75" customHeight="1">
      <c r="A165" s="33" t="s">
        <v>172</v>
      </c>
      <c r="B165" s="37" t="s">
        <v>145</v>
      </c>
      <c r="C165" s="48" t="s">
        <v>326</v>
      </c>
      <c r="D165" s="34">
        <v>1030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44">
        <v>0</v>
      </c>
      <c r="R165" s="36" t="str">
        <f t="shared" si="13"/>
        <v>SI</v>
      </c>
      <c r="S165" s="36" t="str">
        <f t="shared" si="12"/>
        <v>Sin Riesgo</v>
      </c>
      <c r="T165" s="4"/>
      <c r="U165" s="4"/>
      <c r="V165" s="4"/>
      <c r="W165" s="4"/>
    </row>
    <row r="166" spans="1:23" ht="24.75" customHeight="1">
      <c r="A166" s="33" t="s">
        <v>172</v>
      </c>
      <c r="B166" s="37" t="s">
        <v>146</v>
      </c>
      <c r="C166" s="49" t="s">
        <v>196</v>
      </c>
      <c r="D166" s="53">
        <v>1440</v>
      </c>
      <c r="E166" s="35">
        <v>0</v>
      </c>
      <c r="F166" s="35">
        <v>6.45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44">
        <v>0.52</v>
      </c>
      <c r="R166" s="36" t="str">
        <f t="shared" si="13"/>
        <v>SI</v>
      </c>
      <c r="S166" s="36" t="str">
        <f t="shared" si="12"/>
        <v>Sin Riesgo</v>
      </c>
      <c r="T166" s="4"/>
      <c r="U166" s="4"/>
      <c r="V166" s="4"/>
      <c r="W166" s="4"/>
    </row>
    <row r="167" spans="1:23" ht="34.5" customHeight="1">
      <c r="A167" s="33" t="s">
        <v>172</v>
      </c>
      <c r="B167" s="37" t="s">
        <v>146</v>
      </c>
      <c r="C167" s="49" t="s">
        <v>267</v>
      </c>
      <c r="D167" s="53">
        <v>217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44">
        <v>0</v>
      </c>
      <c r="R167" s="36" t="str">
        <f t="shared" si="13"/>
        <v>SI</v>
      </c>
      <c r="S167" s="36" t="str">
        <f t="shared" si="12"/>
        <v>Sin Riesgo</v>
      </c>
      <c r="T167" s="4"/>
      <c r="U167" s="4"/>
      <c r="V167" s="4"/>
      <c r="W167" s="4"/>
    </row>
    <row r="168" spans="1:23" ht="24.75" customHeight="1">
      <c r="A168" s="33" t="s">
        <v>174</v>
      </c>
      <c r="B168" s="37" t="s">
        <v>147</v>
      </c>
      <c r="C168" s="48" t="s">
        <v>268</v>
      </c>
      <c r="D168" s="34">
        <v>588</v>
      </c>
      <c r="E168" s="35">
        <v>0</v>
      </c>
      <c r="F168" s="35">
        <v>8.85</v>
      </c>
      <c r="G168" s="35">
        <v>24.14</v>
      </c>
      <c r="H168" s="35">
        <v>49.28</v>
      </c>
      <c r="I168" s="35">
        <v>35.59</v>
      </c>
      <c r="J168" s="35">
        <v>16.54</v>
      </c>
      <c r="K168" s="35">
        <v>9.73</v>
      </c>
      <c r="L168" s="35">
        <v>8.86</v>
      </c>
      <c r="M168" s="35">
        <v>34.71</v>
      </c>
      <c r="N168" s="35">
        <v>6.45</v>
      </c>
      <c r="O168" s="35">
        <v>9.73</v>
      </c>
      <c r="P168" s="35">
        <v>9.73</v>
      </c>
      <c r="Q168" s="44">
        <v>17.8</v>
      </c>
      <c r="R168" s="36" t="str">
        <f t="shared" si="13"/>
        <v>NO</v>
      </c>
      <c r="S168" s="36" t="str">
        <f t="shared" si="12"/>
        <v>Medio</v>
      </c>
      <c r="T168" s="4"/>
      <c r="U168" s="4"/>
      <c r="V168" s="4"/>
      <c r="W168" s="4"/>
    </row>
    <row r="169" spans="1:23" ht="24.75" customHeight="1">
      <c r="A169" s="33" t="s">
        <v>175</v>
      </c>
      <c r="B169" s="37" t="s">
        <v>148</v>
      </c>
      <c r="C169" s="48" t="s">
        <v>195</v>
      </c>
      <c r="D169" s="34">
        <v>10603</v>
      </c>
      <c r="E169" s="35">
        <v>0</v>
      </c>
      <c r="F169" s="35">
        <v>5.31</v>
      </c>
      <c r="G169" s="35">
        <v>4.84</v>
      </c>
      <c r="H169" s="35">
        <v>0</v>
      </c>
      <c r="I169" s="35">
        <v>1.18</v>
      </c>
      <c r="J169" s="35">
        <v>0</v>
      </c>
      <c r="K169" s="35">
        <v>0.94</v>
      </c>
      <c r="L169" s="35">
        <v>0</v>
      </c>
      <c r="M169" s="35">
        <v>0</v>
      </c>
      <c r="N169" s="35">
        <v>6.64</v>
      </c>
      <c r="O169" s="35">
        <v>0.7</v>
      </c>
      <c r="P169" s="35">
        <v>0</v>
      </c>
      <c r="Q169" s="44">
        <v>1.52</v>
      </c>
      <c r="R169" s="36" t="str">
        <f t="shared" si="13"/>
        <v>SI</v>
      </c>
      <c r="S169" s="36" t="str">
        <f t="shared" si="12"/>
        <v>Sin Riesgo</v>
      </c>
      <c r="T169" s="4"/>
      <c r="U169" s="4"/>
      <c r="V169" s="4"/>
      <c r="W169" s="4"/>
    </row>
    <row r="170" spans="1:23" ht="35.25" customHeight="1">
      <c r="A170" s="33" t="s">
        <v>171</v>
      </c>
      <c r="B170" s="37" t="s">
        <v>149</v>
      </c>
      <c r="C170" s="48" t="s">
        <v>269</v>
      </c>
      <c r="D170" s="34">
        <v>816</v>
      </c>
      <c r="E170" s="35">
        <v>6.45</v>
      </c>
      <c r="F170" s="35">
        <v>0</v>
      </c>
      <c r="G170" s="35">
        <v>0</v>
      </c>
      <c r="H170" s="35">
        <v>0</v>
      </c>
      <c r="I170" s="35">
        <v>6.45</v>
      </c>
      <c r="J170" s="35">
        <v>0</v>
      </c>
      <c r="K170" s="35">
        <v>0</v>
      </c>
      <c r="L170" s="35">
        <v>17.7</v>
      </c>
      <c r="M170" s="35">
        <v>0</v>
      </c>
      <c r="N170" s="35">
        <v>0</v>
      </c>
      <c r="O170" s="35">
        <v>0</v>
      </c>
      <c r="P170" s="35">
        <v>0</v>
      </c>
      <c r="Q170" s="44">
        <v>2.55</v>
      </c>
      <c r="R170" s="36" t="str">
        <f t="shared" si="13"/>
        <v>SI</v>
      </c>
      <c r="S170" s="36" t="str">
        <f t="shared" si="12"/>
        <v>Sin Riesgo</v>
      </c>
      <c r="T170" s="4"/>
      <c r="U170" s="4"/>
      <c r="V170" s="4"/>
      <c r="W170" s="4"/>
    </row>
    <row r="171" spans="1:23" ht="36.75" customHeight="1">
      <c r="A171" s="33" t="s">
        <v>171</v>
      </c>
      <c r="B171" s="37" t="s">
        <v>149</v>
      </c>
      <c r="C171" s="48" t="s">
        <v>270</v>
      </c>
      <c r="D171" s="34">
        <v>101</v>
      </c>
      <c r="E171" s="35">
        <v>0</v>
      </c>
      <c r="F171" s="35">
        <v>6.45</v>
      </c>
      <c r="G171" s="35">
        <v>0</v>
      </c>
      <c r="H171" s="35">
        <v>32.45</v>
      </c>
      <c r="I171" s="35">
        <v>12.9</v>
      </c>
      <c r="J171" s="35">
        <v>15.3</v>
      </c>
      <c r="K171" s="35">
        <v>24.33</v>
      </c>
      <c r="L171" s="35">
        <v>6.45</v>
      </c>
      <c r="M171" s="35">
        <v>0</v>
      </c>
      <c r="N171" s="35">
        <v>41.29</v>
      </c>
      <c r="O171" s="35">
        <v>6.45</v>
      </c>
      <c r="P171" s="35">
        <v>6.45</v>
      </c>
      <c r="Q171" s="44">
        <v>12.67</v>
      </c>
      <c r="R171" s="36" t="str">
        <f t="shared" si="13"/>
        <v>NO</v>
      </c>
      <c r="S171" s="36" t="str">
        <f t="shared" si="12"/>
        <v>Bajo</v>
      </c>
      <c r="T171" s="4"/>
      <c r="U171" s="4"/>
      <c r="V171" s="4"/>
      <c r="W171" s="4"/>
    </row>
    <row r="172" spans="1:23" ht="24.75" customHeight="1">
      <c r="A172" s="33" t="s">
        <v>172</v>
      </c>
      <c r="B172" s="37" t="s">
        <v>150</v>
      </c>
      <c r="C172" s="48" t="s">
        <v>271</v>
      </c>
      <c r="D172" s="34">
        <v>4959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12.9</v>
      </c>
      <c r="Q172" s="44">
        <v>1.08</v>
      </c>
      <c r="R172" s="36" t="str">
        <f t="shared" si="13"/>
        <v>SI</v>
      </c>
      <c r="S172" s="36" t="str">
        <f t="shared" si="12"/>
        <v>Sin Riesgo</v>
      </c>
      <c r="T172" s="4"/>
      <c r="U172" s="4"/>
      <c r="V172" s="4"/>
      <c r="W172" s="4"/>
    </row>
    <row r="173" spans="1:23" ht="32.25" customHeight="1">
      <c r="A173" s="33" t="s">
        <v>174</v>
      </c>
      <c r="B173" s="37" t="s">
        <v>151</v>
      </c>
      <c r="C173" s="48" t="s">
        <v>272</v>
      </c>
      <c r="D173" s="34">
        <v>1025</v>
      </c>
      <c r="E173" s="35">
        <v>0</v>
      </c>
      <c r="F173" s="35">
        <v>0</v>
      </c>
      <c r="G173" s="35">
        <v>0</v>
      </c>
      <c r="H173" s="35">
        <v>6.45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44">
        <v>0.54</v>
      </c>
      <c r="R173" s="36" t="str">
        <f t="shared" si="13"/>
        <v>SI</v>
      </c>
      <c r="S173" s="36" t="str">
        <f t="shared" si="12"/>
        <v>Sin Riesgo</v>
      </c>
      <c r="T173" s="4"/>
      <c r="U173" s="4"/>
      <c r="V173" s="4"/>
      <c r="W173" s="4"/>
    </row>
    <row r="174" spans="1:23" ht="34.5" customHeight="1">
      <c r="A174" s="33" t="s">
        <v>172</v>
      </c>
      <c r="B174" s="90" t="s">
        <v>152</v>
      </c>
      <c r="C174" s="51" t="s">
        <v>273</v>
      </c>
      <c r="D174" s="34">
        <v>1144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44">
        <v>0</v>
      </c>
      <c r="R174" s="36" t="str">
        <f t="shared" si="13"/>
        <v>SI</v>
      </c>
      <c r="S174" s="36" t="str">
        <f t="shared" si="12"/>
        <v>Sin Riesgo</v>
      </c>
      <c r="T174" s="4"/>
      <c r="U174" s="4"/>
      <c r="V174" s="4"/>
      <c r="W174" s="4"/>
    </row>
    <row r="175" spans="1:23" ht="24.75" customHeight="1">
      <c r="A175" s="33" t="s">
        <v>173</v>
      </c>
      <c r="B175" s="37" t="s">
        <v>153</v>
      </c>
      <c r="C175" s="48" t="s">
        <v>274</v>
      </c>
      <c r="D175" s="34">
        <v>2499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8.85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44">
        <v>0.78</v>
      </c>
      <c r="R175" s="36" t="str">
        <f t="shared" si="13"/>
        <v>SI</v>
      </c>
      <c r="S175" s="36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40" t="s">
        <v>172</v>
      </c>
      <c r="B176" s="90" t="s">
        <v>154</v>
      </c>
      <c r="C176" s="49" t="s">
        <v>275</v>
      </c>
      <c r="D176" s="53">
        <v>1699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44">
        <v>0</v>
      </c>
      <c r="R176" s="36" t="str">
        <f t="shared" si="13"/>
        <v>SI</v>
      </c>
      <c r="S176" s="36" t="str">
        <f t="shared" si="12"/>
        <v>Sin Riesgo</v>
      </c>
      <c r="T176" s="4"/>
      <c r="U176" s="4"/>
      <c r="V176" s="4"/>
      <c r="W176" s="4"/>
    </row>
    <row r="177" spans="1:23" ht="24.75" customHeight="1">
      <c r="A177" s="33" t="s">
        <v>328</v>
      </c>
      <c r="B177" s="37" t="s">
        <v>155</v>
      </c>
      <c r="C177" s="48" t="s">
        <v>276</v>
      </c>
      <c r="D177" s="34">
        <v>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6"/>
      <c r="R177" s="36" t="s">
        <v>281</v>
      </c>
      <c r="S177" s="36" t="s">
        <v>281</v>
      </c>
      <c r="T177" s="4"/>
      <c r="U177" s="4"/>
      <c r="V177" s="4"/>
      <c r="W177" s="4"/>
    </row>
    <row r="178" spans="1:23" ht="24.75" customHeight="1">
      <c r="A178" s="33" t="s">
        <v>173</v>
      </c>
      <c r="B178" s="37" t="s">
        <v>156</v>
      </c>
      <c r="C178" s="49" t="s">
        <v>277</v>
      </c>
      <c r="D178" s="53">
        <v>1085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1.77</v>
      </c>
      <c r="N178" s="35">
        <v>0.64</v>
      </c>
      <c r="O178" s="35">
        <v>0</v>
      </c>
      <c r="P178" s="35">
        <v>0</v>
      </c>
      <c r="Q178" s="44">
        <v>0.2</v>
      </c>
      <c r="R178" s="36" t="str">
        <f t="shared" si="13"/>
        <v>SI</v>
      </c>
      <c r="S178" s="36" t="str">
        <f t="shared" si="12"/>
        <v>Sin Riesgo</v>
      </c>
      <c r="T178" s="4"/>
      <c r="U178" s="4"/>
      <c r="V178" s="4"/>
      <c r="W178" s="4"/>
    </row>
    <row r="179" spans="1:23" ht="24.75" customHeight="1">
      <c r="A179" s="33" t="s">
        <v>174</v>
      </c>
      <c r="B179" s="90" t="s">
        <v>157</v>
      </c>
      <c r="C179" s="48" t="s">
        <v>278</v>
      </c>
      <c r="D179" s="34">
        <v>9154</v>
      </c>
      <c r="E179" s="35">
        <v>0</v>
      </c>
      <c r="F179" s="35">
        <v>0</v>
      </c>
      <c r="G179" s="35">
        <v>0</v>
      </c>
      <c r="H179" s="35">
        <v>3.87</v>
      </c>
      <c r="I179" s="35">
        <v>0</v>
      </c>
      <c r="J179" s="35">
        <v>0</v>
      </c>
      <c r="K179" s="35">
        <v>0</v>
      </c>
      <c r="L179" s="35">
        <v>0</v>
      </c>
      <c r="M179" s="35">
        <v>0.7</v>
      </c>
      <c r="N179" s="35">
        <v>0</v>
      </c>
      <c r="O179" s="35">
        <v>0</v>
      </c>
      <c r="P179" s="35">
        <v>0</v>
      </c>
      <c r="Q179" s="44">
        <v>0.38</v>
      </c>
      <c r="R179" s="36" t="str">
        <f t="shared" si="13"/>
        <v>SI</v>
      </c>
      <c r="S179" s="36" t="str">
        <f t="shared" si="12"/>
        <v>Sin Riesgo</v>
      </c>
      <c r="T179" s="13"/>
      <c r="U179" s="4"/>
      <c r="V179" s="4"/>
      <c r="W179" s="4"/>
    </row>
    <row r="180" spans="1:23" ht="36" customHeight="1">
      <c r="A180" s="33" t="s">
        <v>174</v>
      </c>
      <c r="B180" s="90" t="s">
        <v>157</v>
      </c>
      <c r="C180" s="48" t="s">
        <v>279</v>
      </c>
      <c r="D180" s="34">
        <v>227</v>
      </c>
      <c r="E180" s="35">
        <v>0</v>
      </c>
      <c r="F180" s="35">
        <v>0</v>
      </c>
      <c r="G180" s="35">
        <v>0</v>
      </c>
      <c r="H180" s="35">
        <v>0.88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44">
        <v>0.07</v>
      </c>
      <c r="R180" s="36" t="str">
        <f t="shared" si="13"/>
        <v>SI</v>
      </c>
      <c r="S180" s="36" t="str">
        <f t="shared" si="12"/>
        <v>Sin Riesgo</v>
      </c>
      <c r="T180" s="13"/>
      <c r="U180" s="4"/>
      <c r="V180" s="4"/>
      <c r="W180" s="4"/>
    </row>
    <row r="181" spans="1:23" ht="24.75" customHeight="1">
      <c r="A181" s="33" t="s">
        <v>173</v>
      </c>
      <c r="B181" s="37" t="s">
        <v>158</v>
      </c>
      <c r="C181" s="48" t="s">
        <v>280</v>
      </c>
      <c r="D181" s="34">
        <v>2167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44">
        <v>0</v>
      </c>
      <c r="R181" s="36" t="str">
        <f t="shared" si="13"/>
        <v>SI</v>
      </c>
      <c r="S181" s="36" t="str">
        <f t="shared" si="12"/>
        <v>Sin Riesgo</v>
      </c>
      <c r="T181" s="4"/>
      <c r="U181" s="4"/>
      <c r="V181" s="4"/>
      <c r="W181" s="4"/>
    </row>
    <row r="182" spans="1:23" ht="34.5" customHeight="1">
      <c r="A182" s="39" t="s">
        <v>177</v>
      </c>
      <c r="B182" s="37" t="s">
        <v>159</v>
      </c>
      <c r="C182" s="48" t="s">
        <v>184</v>
      </c>
      <c r="D182" s="34">
        <v>2757</v>
      </c>
      <c r="E182" s="35">
        <v>0</v>
      </c>
      <c r="F182" s="35">
        <v>2.58</v>
      </c>
      <c r="G182" s="35">
        <v>0</v>
      </c>
      <c r="H182" s="35">
        <v>8.85</v>
      </c>
      <c r="I182" s="35">
        <v>0</v>
      </c>
      <c r="J182" s="35">
        <v>1.78</v>
      </c>
      <c r="K182" s="35">
        <v>0</v>
      </c>
      <c r="L182" s="35">
        <v>0</v>
      </c>
      <c r="M182" s="35">
        <v>0</v>
      </c>
      <c r="N182" s="35">
        <v>8.85</v>
      </c>
      <c r="O182" s="35">
        <v>0</v>
      </c>
      <c r="P182" s="35">
        <v>6.45</v>
      </c>
      <c r="Q182" s="44">
        <v>2.53</v>
      </c>
      <c r="R182" s="36" t="str">
        <f t="shared" si="13"/>
        <v>SI</v>
      </c>
      <c r="S182" s="36" t="str">
        <f t="shared" si="12"/>
        <v>Sin Riesgo</v>
      </c>
      <c r="T182" s="4"/>
      <c r="U182" s="4"/>
      <c r="V182" s="4"/>
      <c r="W182" s="4"/>
    </row>
    <row r="183" spans="1:23" ht="24.75" customHeight="1">
      <c r="A183" s="33" t="s">
        <v>176</v>
      </c>
      <c r="B183" s="37" t="s">
        <v>168</v>
      </c>
      <c r="C183" s="48" t="s">
        <v>28</v>
      </c>
      <c r="D183" s="34">
        <v>1017</v>
      </c>
      <c r="E183" s="35">
        <v>96.83</v>
      </c>
      <c r="F183" s="35">
        <v>97.58</v>
      </c>
      <c r="G183" s="35">
        <v>97.58</v>
      </c>
      <c r="H183" s="35">
        <v>97.34</v>
      </c>
      <c r="I183" s="35">
        <v>81.21</v>
      </c>
      <c r="J183" s="35">
        <v>97.58</v>
      </c>
      <c r="K183" s="35">
        <v>97.58</v>
      </c>
      <c r="L183" s="35">
        <v>88.55</v>
      </c>
      <c r="M183" s="35">
        <v>64.95</v>
      </c>
      <c r="N183" s="35">
        <v>86.21</v>
      </c>
      <c r="O183" s="35">
        <v>86.45</v>
      </c>
      <c r="P183" s="35">
        <v>89.19</v>
      </c>
      <c r="Q183" s="44">
        <v>90.08</v>
      </c>
      <c r="R183" s="36" t="str">
        <f t="shared" si="13"/>
        <v>NO</v>
      </c>
      <c r="S183" s="36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3" t="s">
        <v>176</v>
      </c>
      <c r="B184" s="37" t="s">
        <v>168</v>
      </c>
      <c r="C184" s="48" t="s">
        <v>27</v>
      </c>
      <c r="D184" s="34">
        <v>1814</v>
      </c>
      <c r="E184" s="35">
        <v>13.55</v>
      </c>
      <c r="F184" s="35">
        <v>8.85</v>
      </c>
      <c r="G184" s="35">
        <v>0</v>
      </c>
      <c r="H184" s="35">
        <v>0</v>
      </c>
      <c r="I184" s="35">
        <v>1.78</v>
      </c>
      <c r="J184" s="35">
        <v>6.45</v>
      </c>
      <c r="K184" s="35">
        <v>6.45</v>
      </c>
      <c r="L184" s="35">
        <v>0</v>
      </c>
      <c r="M184" s="35">
        <v>0</v>
      </c>
      <c r="N184" s="35">
        <v>0</v>
      </c>
      <c r="O184" s="35">
        <v>1.33</v>
      </c>
      <c r="P184" s="35">
        <v>0</v>
      </c>
      <c r="Q184" s="44">
        <v>2.98</v>
      </c>
      <c r="R184" s="36" t="str">
        <f t="shared" si="13"/>
        <v>SI</v>
      </c>
      <c r="S184" s="36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55" t="s">
        <v>333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2:17" ht="12.75">
      <c r="B187" s="19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9</v>
      </c>
    </row>
    <row r="188" spans="2:6" ht="14.25">
      <c r="B188" s="74"/>
      <c r="C188" s="74"/>
      <c r="D188" s="74"/>
      <c r="E188" s="74"/>
      <c r="F188" s="74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7"/>
      <c r="E194" s="73"/>
      <c r="F194" s="73"/>
      <c r="G194" s="73"/>
      <c r="H194" s="73"/>
      <c r="I194" s="73"/>
      <c r="J194" s="73"/>
      <c r="K194" s="73"/>
      <c r="L194" s="73"/>
      <c r="M194" s="73"/>
      <c r="N194" s="10"/>
      <c r="O194" s="10"/>
      <c r="P194" s="10"/>
    </row>
    <row r="195" spans="2:16" ht="15">
      <c r="B195" s="10"/>
      <c r="C195" s="10"/>
      <c r="D195" s="6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6">
    <mergeCell ref="AH1:AH5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F5:H6"/>
    <mergeCell ref="I5:K6"/>
    <mergeCell ref="Y1:Y5"/>
    <mergeCell ref="AF1:AF5"/>
    <mergeCell ref="V1:V5"/>
    <mergeCell ref="U1:U5"/>
    <mergeCell ref="W1:W5"/>
    <mergeCell ref="O5:Q6"/>
    <mergeCell ref="R5:S6"/>
    <mergeCell ref="D195:N195"/>
    <mergeCell ref="D8:D9"/>
    <mergeCell ref="D194:M194"/>
    <mergeCell ref="B188:F188"/>
    <mergeCell ref="E8:P8"/>
    <mergeCell ref="R8:R9"/>
    <mergeCell ref="Q8:Q9"/>
    <mergeCell ref="U16:AI16"/>
    <mergeCell ref="C4:S4"/>
    <mergeCell ref="C3:S3"/>
    <mergeCell ref="A8:A9"/>
    <mergeCell ref="B8:B9"/>
    <mergeCell ref="C8:C9"/>
    <mergeCell ref="C5:C6"/>
    <mergeCell ref="L5:N6"/>
    <mergeCell ref="S8:S9"/>
    <mergeCell ref="D5:E6"/>
  </mergeCells>
  <conditionalFormatting sqref="E118:N118 P118:Q118 E119:P119 E177:P177 E178:Q184 E10:Q11 E16:Q117 E120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8">
    <cfRule type="containsBlanks" priority="59" dxfId="2" stopIfTrue="1">
      <formula>LEN(TRIM(O118))=0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LEN(TRIM(O118))=0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19">
    <cfRule type="containsBlanks" priority="24" dxfId="2" stopIfTrue="1">
      <formula>LEN(TRIM(Q119))=0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LEN(TRIM(Q119))=0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5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JOHN TABARES</cp:lastModifiedBy>
  <cp:lastPrinted>2020-04-22T20:07:55Z</cp:lastPrinted>
  <dcterms:created xsi:type="dcterms:W3CDTF">2009-11-03T22:41:49Z</dcterms:created>
  <dcterms:modified xsi:type="dcterms:W3CDTF">2020-10-05T21:49:12Z</dcterms:modified>
  <cp:category/>
  <cp:version/>
  <cp:contentType/>
  <cp:contentStatus/>
</cp:coreProperties>
</file>