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30" windowWidth="12600" windowHeight="10080" activeTab="0"/>
  </bookViews>
  <sheets>
    <sheet name="2011" sheetId="1" r:id="rId1"/>
  </sheets>
  <externalReferences>
    <externalReference r:id="rId4"/>
  </externalReferences>
  <definedNames>
    <definedName name="_xlfn.COUNTIFS" hidden="1">#NAME?</definedName>
    <definedName name="_xlnm.Print_Titles" localSheetId="0">'2011'!$1:$9</definedName>
  </definedNames>
  <calcPr fullCalcOnLoad="1"/>
</workbook>
</file>

<file path=xl/sharedStrings.xml><?xml version="1.0" encoding="utf-8"?>
<sst xmlns="http://schemas.openxmlformats.org/spreadsheetml/2006/main" count="542" uniqueCount="311">
  <si>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</si>
  <si>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</si>
  <si>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</si>
  <si>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</si>
  <si>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</si>
  <si>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</si>
  <si>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</si>
  <si>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</si>
  <si>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</si>
  <si>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</si>
  <si>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</si>
  <si>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</si>
  <si>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</si>
  <si>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</si>
  <si>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</si>
  <si>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</si>
  <si>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</si>
  <si>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</si>
  <si>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</si>
  <si>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</si>
  <si>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</si>
  <si>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</si>
  <si>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</si>
  <si>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</si>
  <si>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</si>
  <si>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</si>
  <si>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</si>
  <si>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</si>
  <si>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</si>
  <si>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</si>
  <si>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</si>
  <si>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</si>
  <si>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</si>
  <si>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</si>
  <si>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</si>
  <si>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</si>
  <si>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</si>
  <si>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</si>
  <si>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</si>
  <si>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</si>
  <si>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</si>
  <si>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</si>
  <si>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</si>
  <si>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</si>
  <si>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</si>
  <si>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</si>
  <si>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</si>
  <si>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</si>
  <si>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</si>
  <si>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</si>
  <si>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</si>
  <si>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</si>
  <si>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</si>
  <si>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</si>
  <si>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</si>
  <si>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</si>
  <si>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</si>
  <si>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</si>
  <si>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</si>
  <si>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</si>
  <si>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</si>
  <si>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</si>
  <si>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</si>
  <si>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</si>
  <si>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</si>
  <si>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</si>
  <si>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</si>
  <si>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</si>
  <si>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</si>
  <si>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</si>
  <si>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</si>
  <si>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</si>
  <si>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</si>
  <si>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</si>
  <si>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</si>
  <si>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</si>
  <si>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</si>
  <si>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</si>
  <si>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</si>
  <si>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</si>
  <si>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</si>
  <si>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</si>
  <si>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</si>
  <si>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</si>
  <si>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</si>
  <si>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</si>
  <si>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</si>
  <si>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</si>
  <si>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</si>
  <si>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</si>
  <si>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</si>
  <si>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</si>
  <si>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</si>
  <si>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</si>
  <si>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</si>
  <si>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Mutata</t>
  </si>
  <si>
    <t>Nariño</t>
  </si>
  <si>
    <t>Nechi</t>
  </si>
  <si>
    <t>Necocli</t>
  </si>
  <si>
    <t>Olaya</t>
  </si>
  <si>
    <t>Peñol</t>
  </si>
  <si>
    <t>Peque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</si>
  <si>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</si>
  <si>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</si>
  <si>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</si>
  <si>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</si>
  <si>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</si>
  <si>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</si>
  <si>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</si>
  <si>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</si>
  <si>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</si>
  <si>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</si>
  <si>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</si>
  <si>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</si>
  <si>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</si>
  <si>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</si>
  <si>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</si>
  <si>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</si>
  <si>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</si>
  <si>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</si>
  <si>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Vicente</t>
  </si>
  <si>
    <t>Santa Barbara</t>
  </si>
  <si>
    <t>Santa Rosa de Osos</t>
  </si>
  <si>
    <t>Santo Domingo</t>
  </si>
  <si>
    <t>Segovia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</si>
  <si>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</si>
  <si>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</si>
  <si>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</si>
  <si>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</si>
  <si>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</si>
  <si>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</si>
  <si>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</si>
  <si>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</si>
  <si>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</si>
  <si>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</si>
  <si>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</si>
  <si>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</si>
  <si>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</si>
  <si>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</si>
  <si>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</si>
  <si>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</si>
  <si>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</si>
  <si>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</si>
  <si>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</si>
  <si>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</si>
  <si>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</si>
  <si>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</si>
  <si>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</si>
  <si>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</si>
  <si>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</si>
  <si>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</si>
  <si>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</si>
  <si>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</si>
  <si>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</si>
  <si>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</si>
  <si>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</si>
  <si>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</si>
  <si>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</si>
  <si>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</si>
  <si>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</si>
  <si>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</si>
  <si>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</si>
  <si>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</si>
  <si>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</si>
  <si>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</si>
  <si>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</si>
  <si>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</si>
  <si>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</si>
  <si>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</si>
  <si>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</si>
  <si>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</si>
  <si>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</si>
  <si>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</si>
  <si>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</si>
  <si>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</si>
  <si>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</si>
  <si>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</si>
  <si>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</si>
  <si>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</si>
  <si>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</si>
  <si>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</si>
  <si>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</si>
  <si>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</si>
  <si>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</si>
  <si>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</si>
  <si>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</si>
  <si>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Ingenieria Total</t>
  </si>
  <si>
    <t>Municipio</t>
  </si>
  <si>
    <t>Unidad de Servicios Publicos Domiciliarios</t>
  </si>
  <si>
    <t>Aguas de Uraba S.A.</t>
  </si>
  <si>
    <t>Aguascol S.A. E.S.P. - Sistema Pozo 8</t>
  </si>
  <si>
    <t>Conhydra S.A.</t>
  </si>
  <si>
    <t xml:space="preserve">Empresa de Servicios Públicos </t>
  </si>
  <si>
    <t>Sistemas Públicos S.A. E.S.P.</t>
  </si>
  <si>
    <t>Oficina de Servicios Publicos</t>
  </si>
  <si>
    <t>Operador de Servicios S.A.</t>
  </si>
  <si>
    <t>Asprollac</t>
  </si>
  <si>
    <t>Junta de Accion Comunal Barrio San Jose</t>
  </si>
  <si>
    <t>Unidad de Servicioas Publicos Aguas de Abriaqui</t>
  </si>
  <si>
    <t>Empresa de Servicios Públicos de Amaga S.A.S. E.S.P.</t>
  </si>
  <si>
    <t>Oficina de SPD Municipio de Angelopolis</t>
  </si>
  <si>
    <t>ESP Domiciliarios de Angostura</t>
  </si>
  <si>
    <t>PRESEA S.A. E.S.P.</t>
  </si>
  <si>
    <t>ESP de Argelia y Maria  ESPAM S.A.</t>
  </si>
  <si>
    <t>Empresa  Publicas Municipales de Betania</t>
  </si>
  <si>
    <t>Empresas Publicas de Briceño S.A.S. E.S.P.</t>
  </si>
  <si>
    <t>ESP Domiciliarios S.A E.S.P. de Buritica</t>
  </si>
  <si>
    <t>Asociacion de suscriptores del acueducto la Rapida "ASDAR"</t>
  </si>
  <si>
    <t>Aguascol S.A. E.S.P. - Sistema Pozo 10</t>
  </si>
  <si>
    <t>Municipio de Concepcion</t>
  </si>
  <si>
    <t>Empresas Públicas Municipales de Concordia</t>
  </si>
  <si>
    <t>Empresas Publicas de Dabeiba S.A.S. E.S.P. Cabecera Municipal</t>
  </si>
  <si>
    <t>Empresas Publicas de Dabeiba S.A.S. E.S.P. Barrio Bernardo Guerra</t>
  </si>
  <si>
    <t>Secretaria de Servicios Publicos de Don Matias</t>
  </si>
  <si>
    <t>Empresa de Servicios Públicos de Ebejico</t>
  </si>
  <si>
    <t>E. P. de El Bagre</t>
  </si>
  <si>
    <t>Acueductos Mineros S.A</t>
  </si>
  <si>
    <t>La Cimarrona ESP</t>
  </si>
  <si>
    <t>Empresas Públicas del Municipio del Santuario E.S.P.</t>
  </si>
  <si>
    <t>Unidad de SPD</t>
  </si>
  <si>
    <t>Operadores de servicios S.A</t>
  </si>
  <si>
    <t>Empresa de Servicios Públicos de Frontino</t>
  </si>
  <si>
    <t>Empresa de Servicios Publicos de Frontino-MANGURUMA</t>
  </si>
  <si>
    <t>Cooperativa Aguas de Giraldo</t>
  </si>
  <si>
    <t xml:space="preserve">Empresa de Servicios Públicos de Granada E.S.P. </t>
  </si>
  <si>
    <t>Empresa de Servicios Publicos de Guadalupe</t>
  </si>
  <si>
    <t>ESPD de Guarne</t>
  </si>
  <si>
    <t>Empresa de SPD de Guatape E.S.P.</t>
  </si>
  <si>
    <t>Acueductos y Alcantarillados Sostenibles S.A.</t>
  </si>
  <si>
    <t>Ingeniería total ESP</t>
  </si>
  <si>
    <t>Empresas Publicas de Jerico</t>
  </si>
  <si>
    <t>E. P. de La Ceja E.S.P. Fátima</t>
  </si>
  <si>
    <t xml:space="preserve">E. P. de La Ceja E.S.P. Palo Santo </t>
  </si>
  <si>
    <t>E. P. de La Ceja E.S.P. La Milagrosa</t>
  </si>
  <si>
    <t>Acueducto Calle vieja</t>
  </si>
  <si>
    <t>Empresas Públicas de La Pintada</t>
  </si>
  <si>
    <t>Empresa de Servicios Públicos la Union E.S.P.</t>
  </si>
  <si>
    <t>Empresa de SPD  S.A.</t>
  </si>
  <si>
    <t>Aguas de Maceo S.A.S  E.S.P.</t>
  </si>
  <si>
    <t xml:space="preserve">Conhydra S.A. E.S.P. </t>
  </si>
  <si>
    <t>Corbelén ESP</t>
  </si>
  <si>
    <t>Conhydra S.A cabecera</t>
  </si>
  <si>
    <t>Aguas de Urabá S.A  E.S.P.  Belen de Bajira</t>
  </si>
  <si>
    <t>Unidad de S.P.D Santa Clara</t>
  </si>
  <si>
    <t>Unidad de S.P.D Carcamo</t>
  </si>
  <si>
    <t>Unidad de S.P.D Burbujas</t>
  </si>
  <si>
    <t>Unidad de S.P.D.</t>
  </si>
  <si>
    <t>Aguascol SA ESP</t>
  </si>
  <si>
    <t>Regional de Occidente SA ESP</t>
  </si>
  <si>
    <t>Unidad de SPD del Municipio de Peque</t>
  </si>
  <si>
    <t>Empresa Pueblorriqueña de AAA.</t>
  </si>
  <si>
    <t>Conhydra  S.A. E.S.P.</t>
  </si>
  <si>
    <t>Empresas Publicas de Puerto Nare</t>
  </si>
  <si>
    <t>Aguas del Nordeste S.A. E.S.P.</t>
  </si>
  <si>
    <t>Agua Plan</t>
  </si>
  <si>
    <t xml:space="preserve">Aguas de Rionegro S.A.  E.S.P </t>
  </si>
  <si>
    <t>Empresa de SPD</t>
  </si>
  <si>
    <t>Ingeniería Total S.A.  E.S.P.</t>
  </si>
  <si>
    <t>Asociacion Usuarios La Habana</t>
  </si>
  <si>
    <t>ESP de San Andres de Cuerquia S.A. E.S.P.  "EMPUSAC"</t>
  </si>
  <si>
    <t>USP Aguas y Aseo del Tabor</t>
  </si>
  <si>
    <t>Municipio San Juan de Uraba</t>
  </si>
  <si>
    <t>Empresa Sanluisana de Servicios Publicos S.A. E.S.P.(Quebrada la Cristalina)</t>
  </si>
  <si>
    <t>Empresa Sanluisana de Servicios Publicos S.A. E.S.P.(Quebrada la Risaralda)</t>
  </si>
  <si>
    <t>Sistemas Públicos S.A</t>
  </si>
  <si>
    <t>Dirección de SPD</t>
  </si>
  <si>
    <t>Empresa de SPD  E.S.P.</t>
  </si>
  <si>
    <t>Operadores de servicios S.A  E.S.P.</t>
  </si>
  <si>
    <t xml:space="preserve">Conhydra  S.A.  E.S.P. </t>
  </si>
  <si>
    <t>Ingeniería Total ESP</t>
  </si>
  <si>
    <t>Alcaldía Municipal SPD</t>
  </si>
  <si>
    <t>Empresas Públicas de Taraza S.A E.S.P - La Caucana</t>
  </si>
  <si>
    <t>Oficina de SPD</t>
  </si>
  <si>
    <t>Acueducto Comunitario El Algibe</t>
  </si>
  <si>
    <t xml:space="preserve">Acueducto Comunitario Los Isazas </t>
  </si>
  <si>
    <t>Municipio de Toledo- Antioquia</t>
  </si>
  <si>
    <t>ESP de Uramita S.A.S. E.S.P. Sistema el Oso</t>
  </si>
  <si>
    <t>ESP de Uramita S.A.S.E.S.P.Quebrada El Churimo</t>
  </si>
  <si>
    <t>Empresas Publicas de Urrao  E.S.P.</t>
  </si>
  <si>
    <t>Empresas Públicas Municipales  S.A.  E.S.P.</t>
  </si>
  <si>
    <t>Operadores de servicios S.A. E.S.P.</t>
  </si>
  <si>
    <t>ESP de Vegachi S.A. E.S.P.</t>
  </si>
  <si>
    <t>Municipio de Vigia del Fuerte</t>
  </si>
  <si>
    <t xml:space="preserve">Aguas del Norte Antioqueño SA ESP                                       </t>
  </si>
  <si>
    <t>Junta de Acción Comunal Acueducto la Inmaculada No. 1</t>
  </si>
  <si>
    <t>Aguas del Norte Antioqueño-Barrio Buenos Aires</t>
  </si>
  <si>
    <t>Empresa de SP "ESPY"</t>
  </si>
  <si>
    <t>Empresa de Servicios AAA  de Yondo</t>
  </si>
  <si>
    <t>Municipio de Zaragoza</t>
  </si>
  <si>
    <t>Servicios Publicos</t>
  </si>
  <si>
    <t>SD</t>
  </si>
  <si>
    <t xml:space="preserve">EL Bagre  </t>
  </si>
  <si>
    <t xml:space="preserve">El Bagre </t>
  </si>
  <si>
    <t>El  Santuario</t>
  </si>
  <si>
    <t>Jericó</t>
  </si>
  <si>
    <t>Murindó</t>
  </si>
  <si>
    <t>Pueblorrico</t>
  </si>
  <si>
    <t>Retiro</t>
  </si>
  <si>
    <t>san roque</t>
  </si>
  <si>
    <t>Santa Fe de Antioquia</t>
  </si>
  <si>
    <t>Sonson</t>
  </si>
  <si>
    <t>Yalí</t>
  </si>
  <si>
    <t>% IRCA PROMEDIO ENERO - DIC /2011</t>
  </si>
  <si>
    <t>Convenciones:</t>
  </si>
  <si>
    <r>
      <rPr>
        <sz val="12"/>
        <rFont val="Verdana"/>
        <family val="2"/>
      </rPr>
      <t xml:space="preserve"> 0.0 - 5 %: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</si>
  <si>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</si>
  <si>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</si>
  <si>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 - 100 %
:</t>
    </r>
    <r>
      <rPr>
        <b/>
        <sz val="12"/>
        <rFont val="Verdana"/>
        <family val="2"/>
      </rPr>
      <t xml:space="preserve"> Inviable Sanitariamente</t>
    </r>
  </si>
  <si>
    <t>PERSONA PRESTADORA DEL SERVICIO</t>
  </si>
  <si>
    <r>
      <rPr>
        <sz val="12"/>
        <rFont val="Verdana"/>
        <family val="2"/>
      </rPr>
      <t>14.1  -  35 %:</t>
    </r>
    <r>
      <rPr>
        <b/>
        <sz val="12"/>
        <rFont val="Verdana"/>
        <family val="2"/>
      </rPr>
      <t xml:space="preserve">               Riesgo Medio</t>
    </r>
  </si>
  <si>
    <t>CONSOLIDADO  INDICE DE RIESGO DE CALIDAD DEL AGUA PARA CONSUMO HUMANO - IRCA MENSUAL ACUEDUCTOS URBANOS-  ANTIOQUIA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</si>
</sst>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3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80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0" fillId="35" borderId="0" xfId="0" applyFill="1" applyBorder="1" applyAlignment="1" applyProtection="1">
      <alignment horizontal="left" vertical="top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vertical="center" wrapText="1"/>
    </xf>
    <xf numFmtId="180" fontId="3" fillId="36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1" fillId="35" borderId="16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6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5" borderId="16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5" fillId="39" borderId="14" xfId="0" applyFont="1" applyFill="1" applyBorder="1" applyAlignment="1">
      <alignment horizontal="center" vertical="center" wrapText="1"/>
    </xf>
    <xf numFmtId="0" fontId="15" fillId="40" borderId="14" xfId="0" applyFont="1" applyFill="1" applyBorder="1" applyAlignment="1">
      <alignment horizontal="center" vertical="center" wrapText="1"/>
    </xf>
    <xf numFmtId="0" fontId="15" fillId="41" borderId="14" xfId="0" applyFont="1" applyFill="1" applyBorder="1" applyAlignment="1">
      <alignment horizontal="center" vertical="center" wrapText="1"/>
    </xf>
    <xf numFmtId="0" fontId="15" fillId="42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61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8" tint="0.5999600291252136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2011</a:t>
            </a:r>
          </a:p>
        </c:rich>
      </c:tx>
      <c:layout>
        <c:manualLayout>
          <c:xMode val="factor"/>
          <c:yMode val="factor"/>
          <c:x val="-0.003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8"/>
          <c:w val="0.946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'2011'!$V$6:$V$14</c:f>
              <c:numCache/>
            </c:numRef>
          </c:val>
        </c:ser>
        <c:axId val="7677499"/>
        <c:axId val="1988628"/>
      </c:barChart>
      <c:barChart>
        <c:barDir val="col"/>
        <c:grouping val="clustered"/>
        <c:varyColors val="0"/>
        <c:ser>
          <c:idx val="1"/>
          <c:order val="1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'2011'!$U$6:$U$14</c:f>
              <c:strCache/>
            </c:strRef>
          </c:cat>
          <c:val>
            <c:numRef>
              <c:f>'2011'!$W$6:$W$14</c:f>
              <c:numCache/>
            </c:numRef>
          </c:val>
        </c:ser>
        <c:axId val="17897653"/>
        <c:axId val="26861150"/>
      </c:barChart>
      <c:catAx>
        <c:axId val="7677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628"/>
        <c:crossesAt val="0"/>
        <c:auto val="1"/>
        <c:lblOffset val="100"/>
        <c:tickLblSkip val="1"/>
        <c:noMultiLvlLbl val="0"/>
      </c:catAx>
      <c:valAx>
        <c:axId val="198862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677499"/>
        <c:crossesAt val="1"/>
        <c:crossBetween val="between"/>
        <c:dispUnits/>
        <c:majorUnit val="5"/>
        <c:minorUnit val="1"/>
      </c:valAx>
      <c:catAx>
        <c:axId val="1789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8976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65"/>
          <c:w val="0.499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2011</a:t>
            </a:r>
          </a:p>
        </c:rich>
      </c:tx>
      <c:layout>
        <c:manualLayout>
          <c:xMode val="factor"/>
          <c:yMode val="factor"/>
          <c:x val="0.02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55"/>
          <c:w val="0.90775"/>
          <c:h val="0.789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'2011'!$V$1:$V$5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('2011'!$X$15,'2011'!$Z$15,'2011'!$AB$15,'2011'!$AD$15,'2011'!$AF$15,'2011'!$AH$15)</c:f>
              <c:numCache/>
            </c:numRef>
          </c:val>
        </c:ser>
        <c:overlap val="-6"/>
        <c:gapWidth val="114"/>
        <c:axId val="40423759"/>
        <c:axId val="28269512"/>
      </c:barChart>
      <c:barChart>
        <c:barDir val="bar"/>
        <c:grouping val="stacked"/>
        <c:varyColors val="0"/>
        <c:ser>
          <c:idx val="0"/>
          <c:order val="0"/>
          <c:tx>
            <c:strRef>
              <c:f>'2011'!$W$1:$W$5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('2011'!$X$1:$X$5,'2011'!$Z$1:$Z$5,'2011'!$AB$1:$AB$5,'2011'!$AD$1:$AD$5,'2011'!$AF$1:$AF$5,'2011'!$AH$1:$AH$5)</c:f>
              <c:strCache/>
            </c:strRef>
          </c:cat>
          <c:val>
            <c:numRef>
              <c:f>('2011'!$Y$15,'2011'!$AA$15,'2011'!$AC$15,'2011'!$AE$15,'2011'!$AG$15,'2011'!$AI$15)</c:f>
              <c:numCache/>
            </c:numRef>
          </c:val>
        </c:ser>
        <c:overlap val="-6"/>
        <c:gapWidth val="114"/>
        <c:axId val="53099017"/>
        <c:axId val="8129106"/>
      </c:barChart>
      <c:catAx>
        <c:axId val="40423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23759"/>
        <c:crosses val="max"/>
        <c:crossBetween val="between"/>
        <c:dispUnits/>
        <c:majorUnit val="20"/>
      </c:valAx>
      <c:catAx>
        <c:axId val="53099017"/>
        <c:scaling>
          <c:orientation val="minMax"/>
        </c:scaling>
        <c:axPos val="l"/>
        <c:delete val="1"/>
        <c:majorTickMark val="out"/>
        <c:minorTickMark val="none"/>
        <c:tickLblPos val="nextTo"/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"/>
          <c:w val="0.28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0.8345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705350"/>
          <a:ext cx="86677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0.8345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705350"/>
          <a:ext cx="8477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0.396</cdr:y>
    </cdr:from>
    <cdr:to>
      <cdr:x>0.96675</cdr:x>
      <cdr:y>0.60575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228850"/>
          <a:ext cx="13049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0.45875</cdr:y>
    </cdr:from>
    <cdr:to>
      <cdr:x>0.985</cdr:x>
      <cdr:y>0.701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581275"/>
          <a:ext cx="1285875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0.5735</cdr:y>
    </cdr:from>
    <cdr:to>
      <cdr:x>0.999</cdr:x>
      <cdr:y>0.7385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228975"/>
          <a:ext cx="7810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0.7485</cdr:y>
    </cdr:from>
    <cdr:to>
      <cdr:x>0.95725</cdr:x>
      <cdr:y>0.92275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219575"/>
          <a:ext cx="7715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104775</xdr:rowOff>
    </xdr:from>
    <xdr:to>
      <xdr:col>1</xdr:col>
      <xdr:colOff>1428750</xdr:colOff>
      <xdr:row>6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219075</xdr:rowOff>
    </xdr:from>
    <xdr:to>
      <xdr:col>30</xdr:col>
      <xdr:colOff>419100</xdr:colOff>
      <xdr:row>32</xdr:row>
      <xdr:rowOff>190500</xdr:rowOff>
    </xdr:to>
    <xdr:graphicFrame>
      <xdr:nvGraphicFramePr>
        <xdr:cNvPr id="2" name="1 Gráfico"/>
        <xdr:cNvGraphicFramePr/>
      </xdr:nvGraphicFramePr>
      <xdr:xfrm>
        <a:off x="20993100" y="5019675"/>
        <a:ext cx="77724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476250</xdr:colOff>
      <xdr:row>15</xdr:row>
      <xdr:rowOff>219075</xdr:rowOff>
    </xdr:from>
    <xdr:to>
      <xdr:col>41</xdr:col>
      <xdr:colOff>400050</xdr:colOff>
      <xdr:row>32</xdr:row>
      <xdr:rowOff>190500</xdr:rowOff>
    </xdr:to>
    <xdr:graphicFrame>
      <xdr:nvGraphicFramePr>
        <xdr:cNvPr id="3" name="40 Gráfico"/>
        <xdr:cNvGraphicFramePr/>
      </xdr:nvGraphicFramePr>
      <xdr:xfrm>
        <a:off x="28822650" y="5019675"/>
        <a:ext cx="77343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tabSelected="1" zoomScale="60" zoomScaleNormal="60" zoomScalePageLayoutView="40" workbookViewId="0" topLeftCell="A1">
      <selection activeCell="Q11" sqref="Q11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U1" s="78" t="s">
        <v>142</v>
      </c>
      <c r="V1" s="77" t="s">
        <v>164</v>
      </c>
      <c r="W1" s="78" t="s">
        <v>143</v>
      </c>
      <c r="X1" s="77" t="s">
        <v>144</v>
      </c>
      <c r="Y1" s="78" t="s">
        <v>143</v>
      </c>
      <c r="Z1" s="77" t="s">
        <v>145</v>
      </c>
      <c r="AA1" s="78" t="s">
        <v>143</v>
      </c>
      <c r="AB1" s="77" t="s">
        <v>146</v>
      </c>
      <c r="AC1" s="78" t="s">
        <v>143</v>
      </c>
      <c r="AD1" s="77" t="s">
        <v>147</v>
      </c>
      <c r="AE1" s="78" t="s">
        <v>143</v>
      </c>
      <c r="AF1" s="77" t="s">
        <v>148</v>
      </c>
      <c r="AG1" s="78" t="s">
        <v>143</v>
      </c>
      <c r="AH1" s="77" t="s">
        <v>30</v>
      </c>
      <c r="AI1" s="78" t="s">
        <v>143</v>
      </c>
    </row>
    <row r="2" spans="2:35" ht="18">
      <c r="B2" s="57" t="s">
        <v>11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U2" s="78"/>
      <c r="V2" s="77"/>
      <c r="W2" s="78"/>
      <c r="X2" s="77"/>
      <c r="Y2" s="78"/>
      <c r="Z2" s="77"/>
      <c r="AA2" s="78"/>
      <c r="AB2" s="77"/>
      <c r="AC2" s="78"/>
      <c r="AD2" s="77"/>
      <c r="AE2" s="78"/>
      <c r="AF2" s="77"/>
      <c r="AG2" s="78"/>
      <c r="AH2" s="77"/>
      <c r="AI2" s="78"/>
    </row>
    <row r="3" spans="2:35" ht="15" customHeight="1">
      <c r="B3" s="58" t="s">
        <v>310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U3" s="78"/>
      <c r="V3" s="77"/>
      <c r="W3" s="78"/>
      <c r="X3" s="77"/>
      <c r="Y3" s="78"/>
      <c r="Z3" s="77"/>
      <c r="AA3" s="78"/>
      <c r="AB3" s="77"/>
      <c r="AC3" s="78"/>
      <c r="AD3" s="77"/>
      <c r="AE3" s="78"/>
      <c r="AF3" s="77"/>
      <c r="AG3" s="78"/>
      <c r="AH3" s="77"/>
      <c r="AI3" s="78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78"/>
      <c r="V4" s="77"/>
      <c r="W4" s="78"/>
      <c r="X4" s="77"/>
      <c r="Y4" s="78"/>
      <c r="Z4" s="77"/>
      <c r="AA4" s="78"/>
      <c r="AB4" s="77"/>
      <c r="AC4" s="78"/>
      <c r="AD4" s="77"/>
      <c r="AE4" s="78"/>
      <c r="AF4" s="77"/>
      <c r="AG4" s="78"/>
      <c r="AH4" s="77"/>
      <c r="AI4" s="78"/>
    </row>
    <row r="5" spans="1:35" ht="12.75" customHeight="1">
      <c r="A5" s="10"/>
      <c r="B5" s="50"/>
      <c r="C5" s="80" t="s">
        <v>303</v>
      </c>
      <c r="D5" s="81" t="s">
        <v>30</v>
      </c>
      <c r="E5" s="81"/>
      <c r="F5" s="82" t="s">
        <v>304</v>
      </c>
      <c r="G5" s="82"/>
      <c r="H5" s="82"/>
      <c r="I5" s="83" t="s">
        <v>305</v>
      </c>
      <c r="J5" s="83"/>
      <c r="K5" s="83"/>
      <c r="L5" s="84" t="s">
        <v>309</v>
      </c>
      <c r="M5" s="84"/>
      <c r="N5" s="84"/>
      <c r="O5" s="85" t="s">
        <v>306</v>
      </c>
      <c r="P5" s="85"/>
      <c r="Q5" s="85"/>
      <c r="R5" s="79" t="s">
        <v>307</v>
      </c>
      <c r="S5" s="79"/>
      <c r="U5" s="78"/>
      <c r="V5" s="77"/>
      <c r="W5" s="78"/>
      <c r="X5" s="77"/>
      <c r="Y5" s="78"/>
      <c r="Z5" s="77"/>
      <c r="AA5" s="78"/>
      <c r="AB5" s="77"/>
      <c r="AC5" s="78"/>
      <c r="AD5" s="77"/>
      <c r="AE5" s="78"/>
      <c r="AF5" s="77"/>
      <c r="AG5" s="78"/>
      <c r="AH5" s="77"/>
      <c r="AI5" s="78"/>
    </row>
    <row r="6" spans="1:35" ht="24.75" customHeight="1">
      <c r="A6" s="10"/>
      <c r="B6" s="50"/>
      <c r="C6" s="80"/>
      <c r="D6" s="81"/>
      <c r="E6" s="81"/>
      <c r="F6" s="82"/>
      <c r="G6" s="82"/>
      <c r="H6" s="82"/>
      <c r="I6" s="83"/>
      <c r="J6" s="83"/>
      <c r="K6" s="83"/>
      <c r="L6" s="84"/>
      <c r="M6" s="84"/>
      <c r="N6" s="84"/>
      <c r="O6" s="85"/>
      <c r="P6" s="85"/>
      <c r="Q6" s="85"/>
      <c r="R6" s="79"/>
      <c r="S6" s="79"/>
      <c r="U6" s="23" t="s">
        <v>149</v>
      </c>
      <c r="V6" s="24">
        <f>COUNTIF('2011'!A:A,"Valle de Aburra")-_xlfn.COUNTIFS('2011'!A:A,"Valle de Aburra",'2011'!C:C,"")</f>
        <v>12</v>
      </c>
      <c r="W6" s="25">
        <f>(V6/$V$15)*100</f>
        <v>7.547169811320755</v>
      </c>
      <c r="X6" s="24">
        <f>_xlfn.COUNTIFS('2011'!A:A,"Valle de Aburra",'2011'!S:S,"Sin Riesgo")</f>
        <v>12</v>
      </c>
      <c r="Y6" s="25">
        <f>(X6/V6)*100</f>
        <v>100</v>
      </c>
      <c r="Z6" s="24">
        <f>_xlfn.COUNTIFS('2011'!A:A,"Valle de Aburra",'2011'!S:S,"Bajo")</f>
        <v>0</v>
      </c>
      <c r="AA6" s="25">
        <f>(Z6/V6)*100</f>
        <v>0</v>
      </c>
      <c r="AB6" s="24">
        <f>_xlfn.COUNTIFS('2011'!A:A,"Valle de Aburra",'2011'!S:S,"Medio")</f>
        <v>0</v>
      </c>
      <c r="AC6" s="25">
        <f>(AB6/V6)*100</f>
        <v>0</v>
      </c>
      <c r="AD6" s="24">
        <f>_xlfn.COUNTIFS('2011'!A:A,"Valle de Aburra",'2011'!S:S,"Alto")</f>
        <v>0</v>
      </c>
      <c r="AE6" s="25">
        <f>(AD6/V6)*100</f>
        <v>0</v>
      </c>
      <c r="AF6" s="24">
        <f>_xlfn.COUNTIFS('2011'!A:A,"Valle de Aburra",'2011'!S:S,"Inviable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1:35" ht="24.75" customHeight="1">
      <c r="A7" s="53"/>
      <c r="B7" s="51"/>
      <c r="C7" s="51"/>
      <c r="D7" s="52"/>
      <c r="E7" s="52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U7" s="27" t="s">
        <v>157</v>
      </c>
      <c r="V7" s="24">
        <f>COUNTIF('2011'!A:A,"Uraba")-_xlfn.COUNTIFS('2011'!A:A,"Uraba",'2011'!C:C,"")</f>
        <v>12</v>
      </c>
      <c r="W7" s="25">
        <f aca="true" t="shared" si="0" ref="W7:W15">(V7/$V$15)*100</f>
        <v>7.547169811320755</v>
      </c>
      <c r="X7" s="24">
        <f>_xlfn.COUNTIFS('2011'!A:A,"Uraba",'2011'!S:S,"Sin Riesgo")</f>
        <v>9</v>
      </c>
      <c r="Y7" s="25">
        <f aca="true" t="shared" si="1" ref="Y7:Y15">(X7/V7)*100</f>
        <v>75</v>
      </c>
      <c r="Z7" s="24">
        <f>_xlfn.COUNTIFS('2011'!A:A,"Uraba",'2011'!S:S,"Bajo")</f>
        <v>0</v>
      </c>
      <c r="AA7" s="25">
        <f aca="true" t="shared" si="2" ref="AA7:AA15">(Z7/V7)*100</f>
        <v>0</v>
      </c>
      <c r="AB7" s="24">
        <f>_xlfn.COUNTIFS('2011'!A:A,"Uraba",'2011'!S:S,"Medio")</f>
        <v>0</v>
      </c>
      <c r="AC7" s="25">
        <f aca="true" t="shared" si="3" ref="AC7:AC15">(AB7/V7)*100</f>
        <v>0</v>
      </c>
      <c r="AD7" s="24">
        <f>_xlfn.COUNTIFS('2011'!A:A,"Uraba",'2011'!S:S,"Alto")</f>
        <v>0</v>
      </c>
      <c r="AE7" s="25">
        <f aca="true" t="shared" si="4" ref="AE7:AE15">(AD7/V7)*100</f>
        <v>0</v>
      </c>
      <c r="AF7" s="24">
        <f>_xlfn.COUNTIFS('2011'!A:A,"Uraba",'2011'!S:S,"Inviable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3</v>
      </c>
      <c r="AI7" s="25">
        <f aca="true" t="shared" si="7" ref="AI7:AI15">(AH7/V7)*100</f>
        <v>25</v>
      </c>
    </row>
    <row r="8" spans="1:35" ht="24.75" customHeight="1">
      <c r="A8" s="54" t="s">
        <v>151</v>
      </c>
      <c r="B8" s="54" t="s">
        <v>0</v>
      </c>
      <c r="C8" s="61" t="s">
        <v>308</v>
      </c>
      <c r="D8" s="70" t="s">
        <v>27</v>
      </c>
      <c r="E8" s="63">
        <v>2011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75" t="s">
        <v>302</v>
      </c>
      <c r="R8" s="66" t="s">
        <v>12</v>
      </c>
      <c r="S8" s="62" t="s">
        <v>16</v>
      </c>
      <c r="T8" s="1"/>
      <c r="U8" s="28" t="s">
        <v>156</v>
      </c>
      <c r="V8" s="24">
        <f>COUNTIF('2011'!A:A,"Norte")-_xlfn.COUNTIFS('2011'!A:A,"Norte",'2011'!C:C,"")</f>
        <v>21</v>
      </c>
      <c r="W8" s="25">
        <f t="shared" si="0"/>
        <v>13.20754716981132</v>
      </c>
      <c r="X8" s="24">
        <f>_xlfn.COUNTIFS('2011'!A:A,"Norte",'2011'!S:S,"Sin Riesgo")</f>
        <v>12</v>
      </c>
      <c r="Y8" s="25">
        <f t="shared" si="1"/>
        <v>57.14285714285714</v>
      </c>
      <c r="Z8" s="24">
        <f>_xlfn.COUNTIFS('2011'!A:A,"Norte",'2011'!S:S,"Bajo")</f>
        <v>4</v>
      </c>
      <c r="AA8" s="25">
        <f t="shared" si="2"/>
        <v>19.047619047619047</v>
      </c>
      <c r="AB8" s="24">
        <f>_xlfn.COUNTIFS('2011'!A:A,"Norte",'2011'!S:S,"Medio")</f>
        <v>2</v>
      </c>
      <c r="AC8" s="25">
        <f t="shared" si="3"/>
        <v>9.523809523809524</v>
      </c>
      <c r="AD8" s="24">
        <f>_xlfn.COUNTIFS('2011'!A:A,"Norte",'2011'!S:S,"Alto")</f>
        <v>2</v>
      </c>
      <c r="AE8" s="25">
        <f t="shared" si="4"/>
        <v>9.523809523809524</v>
      </c>
      <c r="AF8" s="24">
        <f>_xlfn.COUNTIFS('2011'!A:A,"Norte",'2011'!S:S,"Inviable Sanitariamente")</f>
        <v>1</v>
      </c>
      <c r="AG8" s="25">
        <f t="shared" si="5"/>
        <v>4.761904761904762</v>
      </c>
      <c r="AH8" s="26">
        <f t="shared" si="6"/>
        <v>0</v>
      </c>
      <c r="AI8" s="25">
        <f t="shared" si="7"/>
        <v>0</v>
      </c>
    </row>
    <row r="9" spans="1:35" ht="24.75" customHeight="1">
      <c r="A9" s="55"/>
      <c r="B9" s="55"/>
      <c r="C9" s="61"/>
      <c r="D9" s="71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6"/>
      <c r="R9" s="67"/>
      <c r="S9" s="61"/>
      <c r="T9" s="1"/>
      <c r="U9" s="28" t="s">
        <v>153</v>
      </c>
      <c r="V9" s="24">
        <f>COUNTIF('2011'!A:A,"Occidente")-_xlfn.COUNTIFS('2011'!A:A,"Occidente",'2011'!C:C,"")</f>
        <v>22</v>
      </c>
      <c r="W9" s="25">
        <f t="shared" si="0"/>
        <v>13.836477987421384</v>
      </c>
      <c r="X9" s="24">
        <f>_xlfn.COUNTIFS('2011'!A:A,"Occidente",'2011'!S:S,"Sin Riesgo")</f>
        <v>16</v>
      </c>
      <c r="Y9" s="25">
        <f t="shared" si="1"/>
        <v>72.72727272727273</v>
      </c>
      <c r="Z9" s="24">
        <f>_xlfn.COUNTIFS('2011'!A:A,"Occidente",'2011'!S:S,"Bajo")</f>
        <v>5</v>
      </c>
      <c r="AA9" s="25">
        <f t="shared" si="2"/>
        <v>22.727272727272727</v>
      </c>
      <c r="AB9" s="24">
        <f>_xlfn.COUNTIFS('2011'!A:A,"Occidente",'2011'!S:S,"Medio")</f>
        <v>1</v>
      </c>
      <c r="AC9" s="25">
        <f t="shared" si="3"/>
        <v>4.545454545454546</v>
      </c>
      <c r="AD9" s="24">
        <f>_xlfn.COUNTIFS('2011'!A:A,"Occidente",'2011'!S:S,"Alto")</f>
        <v>0</v>
      </c>
      <c r="AE9" s="25">
        <f t="shared" si="4"/>
        <v>0</v>
      </c>
      <c r="AF9" s="24">
        <f>_xlfn.COUNTIFS('2011'!A:A,"Occidente",'2011'!S:S,"Inviable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5" t="s">
        <v>152</v>
      </c>
      <c r="B10" s="36" t="s">
        <v>31</v>
      </c>
      <c r="C10" s="37" t="s">
        <v>165</v>
      </c>
      <c r="D10" s="38">
        <v>56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 t="str">
        <f>IF(Q10&lt;=5,"SI","NO")</f>
        <v>SI</v>
      </c>
      <c r="S10" s="40" t="str">
        <f>IF(Q10&lt;=5,"Sin Riesgo",IF(Q10&lt;=14,"Bajo",IF(Q10&lt;=35,"Medio",IF(Q10&lt;=80,"Alto","Inviable Sanitariamente"))))</f>
        <v>Sin Riesgo</v>
      </c>
      <c r="T10" s="2"/>
      <c r="U10" s="28" t="s">
        <v>154</v>
      </c>
      <c r="V10" s="24">
        <f>COUNTIF('2011'!A:A,"Suroeste")-_xlfn.COUNTIFS('2011'!A:A,"Suroeste",'2011'!C:C,"")</f>
        <v>29</v>
      </c>
      <c r="W10" s="25">
        <f t="shared" si="0"/>
        <v>18.238993710691823</v>
      </c>
      <c r="X10" s="24">
        <f>_xlfn.COUNTIFS('2011'!A:A,"Suroeste",'2011'!S:S,"Sin Riesgo")</f>
        <v>23</v>
      </c>
      <c r="Y10" s="25">
        <f t="shared" si="1"/>
        <v>79.3103448275862</v>
      </c>
      <c r="Z10" s="24">
        <f>_xlfn.COUNTIFS('2011'!A:A,"Suroeste",'2011'!S:S,"Bajo")</f>
        <v>3</v>
      </c>
      <c r="AA10" s="25">
        <f t="shared" si="2"/>
        <v>10.344827586206897</v>
      </c>
      <c r="AB10" s="24">
        <f>_xlfn.COUNTIFS('2011'!A:A,"Suroeste",'2011'!S:S,"Medio")</f>
        <v>2</v>
      </c>
      <c r="AC10" s="25">
        <f t="shared" si="3"/>
        <v>6.896551724137931</v>
      </c>
      <c r="AD10" s="24">
        <f>_xlfn.COUNTIFS('2011'!A:A,"Suroeste",'2011'!S:S,"Alto")</f>
        <v>0</v>
      </c>
      <c r="AE10" s="25">
        <f t="shared" si="4"/>
        <v>0</v>
      </c>
      <c r="AF10" s="24">
        <f>_xlfn.COUNTIFS('2011'!A:A,"Suroeste",'2011'!S:S,"Inviable Sanitariamente")</f>
        <v>1</v>
      </c>
      <c r="AG10" s="25">
        <f t="shared" si="5"/>
        <v>3.4482758620689653</v>
      </c>
      <c r="AH10" s="26">
        <f t="shared" si="6"/>
        <v>0</v>
      </c>
      <c r="AI10" s="25">
        <f t="shared" si="7"/>
        <v>0</v>
      </c>
    </row>
    <row r="11" spans="1:35" ht="31.5" customHeight="1">
      <c r="A11" s="35" t="s">
        <v>152</v>
      </c>
      <c r="B11" s="36" t="s">
        <v>31</v>
      </c>
      <c r="C11" s="37" t="s">
        <v>166</v>
      </c>
      <c r="D11" s="38">
        <v>1832</v>
      </c>
      <c r="E11" s="39">
        <v>0</v>
      </c>
      <c r="F11" s="39">
        <v>0</v>
      </c>
      <c r="G11" s="39">
        <v>1.33</v>
      </c>
      <c r="H11" s="39">
        <v>2.41</v>
      </c>
      <c r="I11" s="39">
        <v>0.88</v>
      </c>
      <c r="J11" s="39">
        <v>0.88</v>
      </c>
      <c r="K11" s="39">
        <v>0</v>
      </c>
      <c r="L11" s="39">
        <v>0</v>
      </c>
      <c r="M11" s="39">
        <v>2.58</v>
      </c>
      <c r="N11" s="39">
        <v>0</v>
      </c>
      <c r="O11" s="39">
        <v>0.88</v>
      </c>
      <c r="P11" s="39">
        <v>0.88</v>
      </c>
      <c r="Q11" s="39">
        <v>0.86</v>
      </c>
      <c r="R11" s="40" t="str">
        <f aca="true" t="shared" si="8" ref="R11:R62">IF(Q11&lt;=5,"SI","NO")</f>
        <v>SI</v>
      </c>
      <c r="S11" s="40" t="str">
        <f aca="true" t="shared" si="9" ref="S11:S61">IF(Q11&lt;=5,"Sin Riesgo",IF(Q11&lt;=14,"Bajo",IF(Q11&lt;=35,"Medio",IF(Q11&lt;=80,"Alto","Inviable Sanitariamente"))))</f>
        <v>Sin Riesgo</v>
      </c>
      <c r="T11" s="2"/>
      <c r="U11" s="28" t="s">
        <v>158</v>
      </c>
      <c r="V11" s="24">
        <f>COUNTIF('2011'!A:A,"Bajo Cauca")-_xlfn.COUNTIFS('2011'!A:A,"Bajo Cauca",'2011'!C:C,"")</f>
        <v>14</v>
      </c>
      <c r="W11" s="25">
        <f t="shared" si="0"/>
        <v>8.80503144654088</v>
      </c>
      <c r="X11" s="24">
        <f>_xlfn.COUNTIFS('2011'!A:A,"Bajo Cauca",'2011'!S:S,"Sin Riesgo")</f>
        <v>2</v>
      </c>
      <c r="Y11" s="25">
        <f t="shared" si="1"/>
        <v>14.285714285714285</v>
      </c>
      <c r="Z11" s="24">
        <f>_xlfn.COUNTIFS('2011'!A:A,"Bajo Cauca",'2011'!S:S,"Bajo")</f>
        <v>8</v>
      </c>
      <c r="AA11" s="25">
        <f t="shared" si="2"/>
        <v>57.14285714285714</v>
      </c>
      <c r="AB11" s="24">
        <f>_xlfn.COUNTIFS('2011'!A:A,"Bajo Cauca",'2011'!S:S,"Medio")</f>
        <v>1</v>
      </c>
      <c r="AC11" s="25">
        <f t="shared" si="3"/>
        <v>7.142857142857142</v>
      </c>
      <c r="AD11" s="24">
        <f>_xlfn.COUNTIFS('2011'!A:A,"Bajo Cauca",'2011'!S:S,"Alto")</f>
        <v>3</v>
      </c>
      <c r="AE11" s="25">
        <f t="shared" si="4"/>
        <v>21.428571428571427</v>
      </c>
      <c r="AF11" s="24">
        <f>_xlfn.COUNTIFS('2011'!A:A,"Bajo Cauca",'2011'!S:S,"Inviable Sanitariamente")</f>
        <v>0</v>
      </c>
      <c r="AG11" s="25">
        <f t="shared" si="5"/>
        <v>0</v>
      </c>
      <c r="AH11" s="26">
        <f t="shared" si="6"/>
        <v>0</v>
      </c>
      <c r="AI11" s="25">
        <f t="shared" si="7"/>
        <v>0</v>
      </c>
    </row>
    <row r="12" spans="1:35" ht="32.25" customHeight="1">
      <c r="A12" s="35" t="s">
        <v>153</v>
      </c>
      <c r="B12" s="35" t="s">
        <v>32</v>
      </c>
      <c r="C12" s="37" t="s">
        <v>198</v>
      </c>
      <c r="D12" s="38">
        <v>272</v>
      </c>
      <c r="E12" s="39"/>
      <c r="F12" s="39"/>
      <c r="G12" s="39"/>
      <c r="H12" s="39">
        <v>0</v>
      </c>
      <c r="I12" s="39">
        <v>0</v>
      </c>
      <c r="J12" s="39">
        <v>0</v>
      </c>
      <c r="K12" s="39">
        <v>0</v>
      </c>
      <c r="L12" s="39">
        <v>8.85</v>
      </c>
      <c r="M12" s="39">
        <v>0</v>
      </c>
      <c r="N12" s="39">
        <v>0</v>
      </c>
      <c r="O12" s="39">
        <v>15.3</v>
      </c>
      <c r="P12" s="39">
        <v>0</v>
      </c>
      <c r="Q12" s="39">
        <v>2.9</v>
      </c>
      <c r="R12" s="40" t="str">
        <f t="shared" si="8"/>
        <v>SI</v>
      </c>
      <c r="S12" s="40" t="str">
        <f t="shared" si="9"/>
        <v>Sin Riesgo</v>
      </c>
      <c r="T12" s="2"/>
      <c r="U12" s="28" t="s">
        <v>159</v>
      </c>
      <c r="V12" s="24">
        <f>COUNTIF('2011'!A:A,"Magdalena Medio")-_xlfn.COUNTIFS('2011'!A:A,"Magdalena Medio",'2011'!C:C,"")</f>
        <v>6</v>
      </c>
      <c r="W12" s="25">
        <f t="shared" si="0"/>
        <v>3.7735849056603774</v>
      </c>
      <c r="X12" s="24">
        <f>_xlfn.COUNTIFS('2011'!A:A,"Magdalena Medio",'2011'!S:S,"Sin Riesgo")</f>
        <v>5</v>
      </c>
      <c r="Y12" s="25">
        <f t="shared" si="1"/>
        <v>83.33333333333334</v>
      </c>
      <c r="Z12" s="24">
        <f>_xlfn.COUNTIFS('2011'!A:A,"Magdalena Medio",'2011'!S:S,"Bajo")</f>
        <v>1</v>
      </c>
      <c r="AA12" s="25">
        <f t="shared" si="2"/>
        <v>16.666666666666664</v>
      </c>
      <c r="AB12" s="24">
        <f>_xlfn.COUNTIFS('2011'!A:A,"Magdalena Medio",'2011'!S:S,"Medio")</f>
        <v>0</v>
      </c>
      <c r="AC12" s="25">
        <f t="shared" si="3"/>
        <v>0</v>
      </c>
      <c r="AD12" s="24">
        <f>_xlfn.COUNTIFS('2011'!A:A,"Magdalena Medio",'2011'!S:S,"Alto")</f>
        <v>0</v>
      </c>
      <c r="AE12" s="25">
        <f t="shared" si="4"/>
        <v>0</v>
      </c>
      <c r="AF12" s="24">
        <f>_xlfn.COUNTIFS('2011'!A:A,"Magdalena Medio",'2011'!S:S,"Inviable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5.25" customHeight="1">
      <c r="A13" s="35" t="s">
        <v>152</v>
      </c>
      <c r="B13" s="36" t="s">
        <v>33</v>
      </c>
      <c r="C13" s="37" t="s">
        <v>167</v>
      </c>
      <c r="D13" s="38">
        <v>829</v>
      </c>
      <c r="E13" s="39">
        <v>2.58</v>
      </c>
      <c r="F13" s="39">
        <v>0</v>
      </c>
      <c r="G13" s="39">
        <v>0</v>
      </c>
      <c r="H13" s="39">
        <v>11.43</v>
      </c>
      <c r="I13" s="39">
        <v>0</v>
      </c>
      <c r="J13" s="39">
        <v>0</v>
      </c>
      <c r="K13" s="39">
        <v>8.85</v>
      </c>
      <c r="L13" s="39">
        <v>0</v>
      </c>
      <c r="M13" s="39">
        <v>0</v>
      </c>
      <c r="N13" s="39">
        <v>0</v>
      </c>
      <c r="O13" s="39">
        <v>23.65</v>
      </c>
      <c r="P13" s="39">
        <v>0</v>
      </c>
      <c r="Q13" s="39">
        <v>3.88</v>
      </c>
      <c r="R13" s="40" t="str">
        <f t="shared" si="8"/>
        <v>SI</v>
      </c>
      <c r="S13" s="40" t="str">
        <f t="shared" si="9"/>
        <v>Sin Riesgo</v>
      </c>
      <c r="T13" s="2"/>
      <c r="U13" s="28" t="s">
        <v>162</v>
      </c>
      <c r="V13" s="24">
        <f>COUNTIF('2011'!A:A,"Nordeste")-_xlfn.COUNTIFS('2011'!A:A,"Nordeste",'2011'!C:C,"")</f>
        <v>11</v>
      </c>
      <c r="W13" s="25">
        <f t="shared" si="0"/>
        <v>6.918238993710692</v>
      </c>
      <c r="X13" s="24">
        <f>_xlfn.COUNTIFS('2011'!A:A,"Nordeste",'2011'!S:S,"Sin Riesgo")</f>
        <v>10</v>
      </c>
      <c r="Y13" s="25">
        <f t="shared" si="1"/>
        <v>90.9090909090909</v>
      </c>
      <c r="Z13" s="24">
        <f>_xlfn.COUNTIFS('2011'!A:A,"Nordeste",'2011'!S:S,"Bajo")</f>
        <v>0</v>
      </c>
      <c r="AA13" s="25">
        <f t="shared" si="2"/>
        <v>0</v>
      </c>
      <c r="AB13" s="24">
        <f>_xlfn.COUNTIFS('2011'!A:A,"Nordeste",'2011'!S:S,"Medio")</f>
        <v>0</v>
      </c>
      <c r="AC13" s="25">
        <f t="shared" si="3"/>
        <v>0</v>
      </c>
      <c r="AD13" s="24">
        <f>_xlfn.COUNTIFS('2011'!A:A,"Nordeste",'2011'!S:S,"Alto")</f>
        <v>0</v>
      </c>
      <c r="AE13" s="25">
        <f t="shared" si="4"/>
        <v>0</v>
      </c>
      <c r="AF13" s="24">
        <f>_xlfn.COUNTIFS('2011'!A:A,"Nordeste",'2011'!S:S,"Inviable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33.75" customHeight="1">
      <c r="A14" s="35" t="s">
        <v>154</v>
      </c>
      <c r="B14" s="36" t="s">
        <v>34</v>
      </c>
      <c r="C14" s="37" t="s">
        <v>199</v>
      </c>
      <c r="D14" s="38">
        <v>3500</v>
      </c>
      <c r="E14" s="39"/>
      <c r="F14" s="39"/>
      <c r="G14" s="39"/>
      <c r="H14" s="39">
        <v>0</v>
      </c>
      <c r="I14" s="39">
        <v>0</v>
      </c>
      <c r="J14" s="39">
        <v>0</v>
      </c>
      <c r="K14" s="39">
        <v>6.45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0.72</v>
      </c>
      <c r="R14" s="40" t="str">
        <f t="shared" si="8"/>
        <v>SI</v>
      </c>
      <c r="S14" s="40" t="str">
        <f t="shared" si="9"/>
        <v>Sin Riesgo</v>
      </c>
      <c r="T14" s="2"/>
      <c r="U14" s="28" t="s">
        <v>152</v>
      </c>
      <c r="V14" s="24">
        <f>COUNTIF('2011'!A:A,"Oriente")-_xlfn.COUNTIFS('2011'!A:A,"Oriente",'2011'!C:C,"")</f>
        <v>32</v>
      </c>
      <c r="W14" s="25">
        <f t="shared" si="0"/>
        <v>20.125786163522015</v>
      </c>
      <c r="X14" s="24">
        <f>_xlfn.COUNTIFS('2011'!A:A,"Oriente",'2011'!S:S,"Sin Riesgo")</f>
        <v>26</v>
      </c>
      <c r="Y14" s="25">
        <f t="shared" si="1"/>
        <v>81.25</v>
      </c>
      <c r="Z14" s="24">
        <f>_xlfn.COUNTIFS('2011'!A:A,"Oriente",'2011'!S:S,"Bajo")</f>
        <v>2</v>
      </c>
      <c r="AA14" s="25">
        <f t="shared" si="2"/>
        <v>6.25</v>
      </c>
      <c r="AB14" s="24">
        <f>_xlfn.COUNTIFS('2011'!A:A,"Oriente",'2011'!S:S,"Medio")</f>
        <v>1</v>
      </c>
      <c r="AC14" s="25">
        <f t="shared" si="3"/>
        <v>3.125</v>
      </c>
      <c r="AD14" s="24">
        <f>_xlfn.COUNTIFS('2011'!A:A,"Oriente",'2011'!S:S,"Alto")</f>
        <v>0</v>
      </c>
      <c r="AE14" s="25">
        <f t="shared" si="4"/>
        <v>0</v>
      </c>
      <c r="AF14" s="24">
        <f>_xlfn.COUNTIFS('2011'!A:A,"Oriente",'2011'!S:S,"Inviable Sanitariamente")</f>
        <v>3</v>
      </c>
      <c r="AG14" s="25">
        <f t="shared" si="5"/>
        <v>9.375</v>
      </c>
      <c r="AH14" s="26">
        <f t="shared" si="6"/>
        <v>0</v>
      </c>
      <c r="AI14" s="25">
        <f t="shared" si="7"/>
        <v>0</v>
      </c>
    </row>
    <row r="15" spans="1:35" ht="33" customHeight="1">
      <c r="A15" s="35" t="s">
        <v>155</v>
      </c>
      <c r="B15" s="36" t="s">
        <v>35</v>
      </c>
      <c r="C15" s="41" t="s">
        <v>168</v>
      </c>
      <c r="D15" s="42">
        <v>1923</v>
      </c>
      <c r="E15" s="39"/>
      <c r="F15" s="39"/>
      <c r="G15" s="39"/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40" t="str">
        <f t="shared" si="8"/>
        <v>SI</v>
      </c>
      <c r="S15" s="40" t="str">
        <f t="shared" si="9"/>
        <v>Sin Riesgo</v>
      </c>
      <c r="T15" s="2"/>
      <c r="U15" s="29" t="s">
        <v>163</v>
      </c>
      <c r="V15" s="22">
        <f>SUM(V6:V14)</f>
        <v>159</v>
      </c>
      <c r="W15" s="30">
        <f t="shared" si="0"/>
        <v>100</v>
      </c>
      <c r="X15" s="22">
        <f>SUM(X6:X14)</f>
        <v>115</v>
      </c>
      <c r="Y15" s="30">
        <f t="shared" si="1"/>
        <v>72.32704402515722</v>
      </c>
      <c r="Z15" s="22">
        <f>SUM(Z6:Z14)</f>
        <v>23</v>
      </c>
      <c r="AA15" s="30">
        <f t="shared" si="2"/>
        <v>14.465408805031446</v>
      </c>
      <c r="AB15" s="22">
        <f>SUM(AB6:AB14)</f>
        <v>7</v>
      </c>
      <c r="AC15" s="30">
        <f t="shared" si="3"/>
        <v>4.40251572327044</v>
      </c>
      <c r="AD15" s="22">
        <f>SUM(AD6:AD14)</f>
        <v>5</v>
      </c>
      <c r="AE15" s="30">
        <f t="shared" si="4"/>
        <v>3.1446540880503147</v>
      </c>
      <c r="AF15" s="22">
        <f>SUM(AF6:AF14)</f>
        <v>6</v>
      </c>
      <c r="AG15" s="30">
        <f t="shared" si="5"/>
        <v>3.7735849056603774</v>
      </c>
      <c r="AH15" s="22">
        <f t="shared" si="6"/>
        <v>3</v>
      </c>
      <c r="AI15" s="30">
        <f t="shared" si="7"/>
        <v>1.8867924528301887</v>
      </c>
    </row>
    <row r="16" spans="1:26" ht="35.25" customHeight="1">
      <c r="A16" s="35" t="s">
        <v>155</v>
      </c>
      <c r="B16" s="36" t="s">
        <v>35</v>
      </c>
      <c r="C16" s="41" t="s">
        <v>169</v>
      </c>
      <c r="D16" s="42">
        <v>824</v>
      </c>
      <c r="E16" s="39"/>
      <c r="F16" s="39"/>
      <c r="G16" s="39"/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40" t="str">
        <f t="shared" si="8"/>
        <v>SI</v>
      </c>
      <c r="S16" s="40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5" t="s">
        <v>154</v>
      </c>
      <c r="B17" s="36" t="s">
        <v>36</v>
      </c>
      <c r="C17" s="37" t="s">
        <v>186</v>
      </c>
      <c r="D17" s="24">
        <v>4700</v>
      </c>
      <c r="E17" s="39"/>
      <c r="F17" s="39"/>
      <c r="G17" s="39"/>
      <c r="H17" s="39">
        <v>1.53</v>
      </c>
      <c r="I17" s="39">
        <v>0</v>
      </c>
      <c r="J17" s="39">
        <v>0</v>
      </c>
      <c r="K17" s="39">
        <v>0</v>
      </c>
      <c r="L17" s="39">
        <v>1.17</v>
      </c>
      <c r="M17" s="39">
        <v>0</v>
      </c>
      <c r="N17" s="39">
        <v>0</v>
      </c>
      <c r="O17" s="39">
        <v>0</v>
      </c>
      <c r="P17" s="39">
        <v>0</v>
      </c>
      <c r="Q17" s="39">
        <v>0.3</v>
      </c>
      <c r="R17" s="40" t="str">
        <f t="shared" si="8"/>
        <v>SI</v>
      </c>
      <c r="S17" s="40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24.75" customHeight="1">
      <c r="A18" s="35" t="s">
        <v>154</v>
      </c>
      <c r="B18" s="36" t="s">
        <v>10</v>
      </c>
      <c r="C18" s="37" t="s">
        <v>200</v>
      </c>
      <c r="D18" s="38">
        <v>800</v>
      </c>
      <c r="E18" s="39"/>
      <c r="F18" s="39"/>
      <c r="G18" s="39"/>
      <c r="H18" s="39">
        <v>0</v>
      </c>
      <c r="I18" s="39">
        <v>6.45</v>
      </c>
      <c r="J18" s="39">
        <v>8.85</v>
      </c>
      <c r="K18" s="39">
        <v>0</v>
      </c>
      <c r="L18" s="39">
        <v>0</v>
      </c>
      <c r="M18" s="39">
        <v>6.21</v>
      </c>
      <c r="N18" s="39">
        <v>23.6</v>
      </c>
      <c r="O18" s="39">
        <v>9.03</v>
      </c>
      <c r="P18" s="39">
        <v>0</v>
      </c>
      <c r="Q18" s="39">
        <v>6.25</v>
      </c>
      <c r="R18" s="40" t="str">
        <f t="shared" si="8"/>
        <v>NO</v>
      </c>
      <c r="S18" s="40" t="str">
        <f t="shared" si="9"/>
        <v>Bajo</v>
      </c>
      <c r="T18" s="4"/>
      <c r="U18" s="4"/>
      <c r="V18" s="4"/>
      <c r="W18" s="4"/>
      <c r="X18" s="3"/>
      <c r="Y18" s="3"/>
      <c r="Z18" s="3"/>
    </row>
    <row r="19" spans="1:26" ht="27" customHeight="1">
      <c r="A19" s="35" t="s">
        <v>156</v>
      </c>
      <c r="B19" s="36" t="s">
        <v>37</v>
      </c>
      <c r="C19" s="37" t="s">
        <v>201</v>
      </c>
      <c r="D19" s="38">
        <v>703</v>
      </c>
      <c r="E19" s="39"/>
      <c r="F19" s="39"/>
      <c r="G19" s="39"/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40" t="str">
        <f t="shared" si="8"/>
        <v>SI</v>
      </c>
      <c r="S19" s="40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5" t="s">
        <v>155</v>
      </c>
      <c r="B20" s="36" t="s">
        <v>38</v>
      </c>
      <c r="C20" s="41" t="s">
        <v>170</v>
      </c>
      <c r="D20" s="42">
        <v>1089</v>
      </c>
      <c r="E20" s="39"/>
      <c r="F20" s="39"/>
      <c r="G20" s="39"/>
      <c r="H20" s="39">
        <v>8</v>
      </c>
      <c r="I20" s="39">
        <v>8.85</v>
      </c>
      <c r="J20" s="39">
        <v>0</v>
      </c>
      <c r="K20" s="39">
        <v>13.27</v>
      </c>
      <c r="L20" s="39">
        <v>0</v>
      </c>
      <c r="M20" s="39">
        <v>0</v>
      </c>
      <c r="N20" s="39">
        <v>0</v>
      </c>
      <c r="O20" s="39">
        <v>0</v>
      </c>
      <c r="P20" s="39">
        <v>0.88</v>
      </c>
      <c r="Q20" s="39">
        <v>3.32</v>
      </c>
      <c r="R20" s="40" t="str">
        <f t="shared" si="8"/>
        <v>SI</v>
      </c>
      <c r="S20" s="40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5" t="s">
        <v>153</v>
      </c>
      <c r="B21" s="36" t="s">
        <v>39</v>
      </c>
      <c r="C21" s="37" t="s">
        <v>194</v>
      </c>
      <c r="D21" s="38">
        <v>413</v>
      </c>
      <c r="E21" s="39"/>
      <c r="F21" s="39"/>
      <c r="G21" s="39"/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0" t="str">
        <f t="shared" si="8"/>
        <v>SI</v>
      </c>
      <c r="S21" s="40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5" t="s">
        <v>157</v>
      </c>
      <c r="B22" s="36" t="s">
        <v>40</v>
      </c>
      <c r="C22" s="37" t="s">
        <v>202</v>
      </c>
      <c r="D22" s="38">
        <v>20161</v>
      </c>
      <c r="E22" s="39">
        <v>0</v>
      </c>
      <c r="F22" s="39">
        <v>0</v>
      </c>
      <c r="G22" s="39">
        <v>0</v>
      </c>
      <c r="H22" s="39">
        <v>3.87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0.32</v>
      </c>
      <c r="R22" s="40" t="str">
        <f t="shared" si="8"/>
        <v>SI</v>
      </c>
      <c r="S22" s="40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5" t="s">
        <v>157</v>
      </c>
      <c r="B23" s="36" t="s">
        <v>41</v>
      </c>
      <c r="C23" s="41" t="s">
        <v>171</v>
      </c>
      <c r="D23" s="42">
        <v>2143</v>
      </c>
      <c r="E23" s="39">
        <v>0</v>
      </c>
      <c r="F23" s="39">
        <v>0</v>
      </c>
      <c r="G23" s="39">
        <v>9.68</v>
      </c>
      <c r="H23" s="39">
        <v>6.45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0.88</v>
      </c>
      <c r="Q23" s="39">
        <v>1.15</v>
      </c>
      <c r="R23" s="40" t="str">
        <f t="shared" si="8"/>
        <v>SI</v>
      </c>
      <c r="S23" s="40" t="str">
        <f t="shared" si="9"/>
        <v>Sin Riesgo</v>
      </c>
      <c r="T23" s="4"/>
      <c r="U23" s="4"/>
      <c r="V23" s="4"/>
      <c r="W23" s="4"/>
    </row>
    <row r="24" spans="1:23" ht="24.75" customHeight="1">
      <c r="A24" s="35" t="s">
        <v>152</v>
      </c>
      <c r="B24" s="43" t="s">
        <v>42</v>
      </c>
      <c r="C24" s="37" t="s">
        <v>203</v>
      </c>
      <c r="D24" s="38">
        <v>904</v>
      </c>
      <c r="E24" s="39"/>
      <c r="F24" s="39"/>
      <c r="G24" s="39"/>
      <c r="H24" s="39">
        <v>19.2</v>
      </c>
      <c r="I24" s="39">
        <v>33.33</v>
      </c>
      <c r="J24" s="39">
        <v>45.86</v>
      </c>
      <c r="K24" s="39">
        <v>8</v>
      </c>
      <c r="L24" s="39">
        <v>0</v>
      </c>
      <c r="M24" s="39">
        <v>12.5</v>
      </c>
      <c r="N24" s="39">
        <v>8.85</v>
      </c>
      <c r="O24" s="39">
        <v>32.44</v>
      </c>
      <c r="P24" s="39">
        <v>6.45</v>
      </c>
      <c r="Q24" s="39">
        <v>18.51</v>
      </c>
      <c r="R24" s="40" t="str">
        <f t="shared" si="8"/>
        <v>NO</v>
      </c>
      <c r="S24" s="40" t="str">
        <f t="shared" si="9"/>
        <v>Medio</v>
      </c>
      <c r="T24" s="4"/>
      <c r="U24" s="4"/>
      <c r="V24" s="4"/>
      <c r="W24" s="4"/>
    </row>
    <row r="25" spans="1:23" ht="24.75" customHeight="1">
      <c r="A25" s="35" t="s">
        <v>153</v>
      </c>
      <c r="B25" s="36" t="s">
        <v>43</v>
      </c>
      <c r="C25" s="41" t="s">
        <v>170</v>
      </c>
      <c r="D25" s="42">
        <v>563</v>
      </c>
      <c r="E25" s="39"/>
      <c r="F25" s="39"/>
      <c r="G25" s="39"/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8.85</v>
      </c>
      <c r="N25" s="39">
        <v>0</v>
      </c>
      <c r="O25" s="39">
        <v>0</v>
      </c>
      <c r="P25" s="39">
        <v>6.45</v>
      </c>
      <c r="Q25" s="39">
        <v>1.7</v>
      </c>
      <c r="R25" s="40" t="str">
        <f t="shared" si="8"/>
        <v>SI</v>
      </c>
      <c r="S25" s="40" t="str">
        <f t="shared" si="9"/>
        <v>Sin Riesgo</v>
      </c>
      <c r="T25" s="4"/>
      <c r="U25" s="4"/>
      <c r="V25" s="4"/>
      <c r="W25" s="4"/>
    </row>
    <row r="26" spans="1:23" ht="24.75" customHeight="1">
      <c r="A26" s="35" t="s">
        <v>149</v>
      </c>
      <c r="B26" s="36" t="s">
        <v>44</v>
      </c>
      <c r="C26" s="37" t="s">
        <v>172</v>
      </c>
      <c r="D26" s="38">
        <v>4546</v>
      </c>
      <c r="E26" s="39"/>
      <c r="F26" s="39"/>
      <c r="G26" s="39"/>
      <c r="H26" s="39"/>
      <c r="I26" s="39"/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9.09</v>
      </c>
      <c r="P26" s="39">
        <v>0</v>
      </c>
      <c r="Q26" s="39">
        <v>1.36</v>
      </c>
      <c r="R26" s="40" t="str">
        <f t="shared" si="8"/>
        <v>SI</v>
      </c>
      <c r="S26" s="40" t="str">
        <f t="shared" si="9"/>
        <v>Sin Riesgo</v>
      </c>
      <c r="T26" s="4"/>
      <c r="U26" s="4"/>
      <c r="V26" s="4"/>
      <c r="W26" s="4"/>
    </row>
    <row r="27" spans="1:23" ht="24.75" customHeight="1">
      <c r="A27" s="35" t="s">
        <v>149</v>
      </c>
      <c r="B27" s="36" t="s">
        <v>45</v>
      </c>
      <c r="C27" s="37" t="s">
        <v>172</v>
      </c>
      <c r="D27" s="38">
        <v>104060</v>
      </c>
      <c r="E27" s="39"/>
      <c r="F27" s="39"/>
      <c r="G27" s="39">
        <v>2.95</v>
      </c>
      <c r="H27" s="39">
        <v>16.67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1.65</v>
      </c>
      <c r="R27" s="40" t="str">
        <f t="shared" si="8"/>
        <v>SI</v>
      </c>
      <c r="S27" s="40" t="str">
        <f t="shared" si="9"/>
        <v>Sin Riesgo</v>
      </c>
      <c r="T27" s="4"/>
      <c r="U27" s="4"/>
      <c r="V27" s="4"/>
      <c r="W27" s="4"/>
    </row>
    <row r="28" spans="1:23" ht="24.75" customHeight="1">
      <c r="A28" s="35" t="s">
        <v>156</v>
      </c>
      <c r="B28" s="36" t="s">
        <v>46</v>
      </c>
      <c r="C28" s="37" t="s">
        <v>173</v>
      </c>
      <c r="D28" s="38">
        <v>429</v>
      </c>
      <c r="E28" s="39"/>
      <c r="F28" s="39"/>
      <c r="G28" s="39"/>
      <c r="H28" s="39">
        <v>17.69</v>
      </c>
      <c r="I28" s="39">
        <v>56</v>
      </c>
      <c r="J28" s="39">
        <v>0</v>
      </c>
      <c r="K28" s="39">
        <v>0</v>
      </c>
      <c r="L28" s="39">
        <v>17.88</v>
      </c>
      <c r="M28" s="39">
        <v>17.08</v>
      </c>
      <c r="N28" s="39">
        <v>8.85</v>
      </c>
      <c r="O28" s="39">
        <v>0</v>
      </c>
      <c r="P28" s="39">
        <v>0</v>
      </c>
      <c r="Q28" s="39">
        <v>13.1</v>
      </c>
      <c r="R28" s="40" t="str">
        <f t="shared" si="8"/>
        <v>NO</v>
      </c>
      <c r="S28" s="40" t="str">
        <f t="shared" si="9"/>
        <v>Bajo</v>
      </c>
      <c r="T28" s="4"/>
      <c r="U28" s="4"/>
      <c r="V28" s="4"/>
      <c r="W28" s="4"/>
    </row>
    <row r="29" spans="1:23" ht="24.75" customHeight="1">
      <c r="A29" s="35" t="s">
        <v>154</v>
      </c>
      <c r="B29" s="36" t="s">
        <v>47</v>
      </c>
      <c r="C29" s="37" t="s">
        <v>204</v>
      </c>
      <c r="D29" s="38">
        <v>1070</v>
      </c>
      <c r="E29" s="39"/>
      <c r="F29" s="39"/>
      <c r="G29" s="39"/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3.73</v>
      </c>
      <c r="N29" s="39">
        <v>0</v>
      </c>
      <c r="O29" s="39">
        <v>0</v>
      </c>
      <c r="P29" s="39">
        <v>0</v>
      </c>
      <c r="Q29" s="39">
        <v>0.41</v>
      </c>
      <c r="R29" s="40" t="str">
        <f t="shared" si="8"/>
        <v>SI</v>
      </c>
      <c r="S29" s="40" t="str">
        <f t="shared" si="9"/>
        <v>Sin Riesgo</v>
      </c>
      <c r="T29" s="4"/>
      <c r="U29" s="4"/>
      <c r="V29" s="4"/>
      <c r="W29" s="4"/>
    </row>
    <row r="30" spans="1:23" ht="24.75" customHeight="1">
      <c r="A30" s="35" t="s">
        <v>154</v>
      </c>
      <c r="B30" s="36" t="s">
        <v>48</v>
      </c>
      <c r="C30" s="37" t="s">
        <v>174</v>
      </c>
      <c r="D30" s="38">
        <v>1314</v>
      </c>
      <c r="E30" s="39"/>
      <c r="F30" s="39"/>
      <c r="G30" s="39"/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40" t="str">
        <f t="shared" si="8"/>
        <v>SI</v>
      </c>
      <c r="S30" s="40" t="str">
        <f t="shared" si="9"/>
        <v>Sin Riesgo</v>
      </c>
      <c r="T30" s="4"/>
      <c r="U30" s="4"/>
      <c r="V30" s="4"/>
      <c r="W30" s="4"/>
    </row>
    <row r="31" spans="1:23" ht="24.75" customHeight="1">
      <c r="A31" s="35" t="s">
        <v>156</v>
      </c>
      <c r="B31" s="36" t="s">
        <v>49</v>
      </c>
      <c r="C31" s="37" t="s">
        <v>205</v>
      </c>
      <c r="D31" s="38">
        <v>559</v>
      </c>
      <c r="E31" s="39"/>
      <c r="F31" s="39"/>
      <c r="G31" s="39"/>
      <c r="H31" s="39">
        <v>8.85</v>
      </c>
      <c r="I31" s="39">
        <v>40.04</v>
      </c>
      <c r="J31" s="39">
        <v>38.18</v>
      </c>
      <c r="K31" s="39">
        <v>0</v>
      </c>
      <c r="L31" s="39">
        <v>41.27</v>
      </c>
      <c r="M31" s="39">
        <v>6.45</v>
      </c>
      <c r="N31" s="39">
        <v>15.3</v>
      </c>
      <c r="O31" s="39">
        <v>5.88</v>
      </c>
      <c r="P31" s="39">
        <v>0</v>
      </c>
      <c r="Q31" s="39">
        <v>17.33</v>
      </c>
      <c r="R31" s="40" t="str">
        <f t="shared" si="8"/>
        <v>NO</v>
      </c>
      <c r="S31" s="40" t="str">
        <f t="shared" si="9"/>
        <v>Medio</v>
      </c>
      <c r="T31" s="4"/>
      <c r="U31" s="4"/>
      <c r="V31" s="4"/>
      <c r="W31" s="4"/>
    </row>
    <row r="32" spans="1:23" ht="31.5" customHeight="1">
      <c r="A32" s="35" t="s">
        <v>153</v>
      </c>
      <c r="B32" s="36" t="s">
        <v>50</v>
      </c>
      <c r="C32" s="37" t="s">
        <v>206</v>
      </c>
      <c r="D32" s="38">
        <v>318</v>
      </c>
      <c r="E32" s="39"/>
      <c r="F32" s="39"/>
      <c r="G32" s="39"/>
      <c r="H32" s="39">
        <v>0</v>
      </c>
      <c r="I32" s="39">
        <v>0</v>
      </c>
      <c r="J32" s="39">
        <v>0</v>
      </c>
      <c r="K32" s="39">
        <v>8.85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1.02</v>
      </c>
      <c r="R32" s="40" t="str">
        <f t="shared" si="8"/>
        <v>SI</v>
      </c>
      <c r="S32" s="40" t="str">
        <f t="shared" si="9"/>
        <v>Sin Riesgo</v>
      </c>
      <c r="T32" s="4"/>
      <c r="U32" s="4"/>
      <c r="V32" s="4"/>
      <c r="W32" s="4"/>
    </row>
    <row r="33" spans="1:23" ht="24.75" customHeight="1">
      <c r="A33" s="35" t="s">
        <v>158</v>
      </c>
      <c r="B33" s="36" t="s">
        <v>51</v>
      </c>
      <c r="C33" s="37" t="s">
        <v>13</v>
      </c>
      <c r="D33" s="38">
        <v>54</v>
      </c>
      <c r="E33" s="39"/>
      <c r="F33" s="39"/>
      <c r="G33" s="39"/>
      <c r="H33" s="39">
        <v>45.35</v>
      </c>
      <c r="I33" s="39">
        <v>59.05</v>
      </c>
      <c r="J33" s="39">
        <v>97.34</v>
      </c>
      <c r="K33" s="39">
        <v>60.67</v>
      </c>
      <c r="L33" s="39">
        <v>96.38</v>
      </c>
      <c r="M33" s="39">
        <v>0</v>
      </c>
      <c r="N33" s="39">
        <v>35.48</v>
      </c>
      <c r="O33" s="39">
        <v>0</v>
      </c>
      <c r="P33" s="39">
        <v>0</v>
      </c>
      <c r="Q33" s="39">
        <v>41.92</v>
      </c>
      <c r="R33" s="40" t="str">
        <f t="shared" si="8"/>
        <v>NO</v>
      </c>
      <c r="S33" s="40" t="str">
        <f t="shared" si="9"/>
        <v>Alto</v>
      </c>
      <c r="T33" s="4"/>
      <c r="U33" s="4"/>
      <c r="V33" s="4"/>
      <c r="W33" s="4"/>
    </row>
    <row r="34" spans="1:23" ht="24.75" customHeight="1">
      <c r="A34" s="35" t="s">
        <v>158</v>
      </c>
      <c r="B34" s="36" t="s">
        <v>51</v>
      </c>
      <c r="C34" s="37" t="s">
        <v>175</v>
      </c>
      <c r="D34" s="38">
        <v>1304</v>
      </c>
      <c r="E34" s="39"/>
      <c r="F34" s="39"/>
      <c r="G34" s="39"/>
      <c r="H34" s="39">
        <v>0</v>
      </c>
      <c r="I34" s="39">
        <v>18.58</v>
      </c>
      <c r="J34" s="39">
        <v>8.85</v>
      </c>
      <c r="K34" s="39">
        <v>6.45</v>
      </c>
      <c r="L34" s="39">
        <v>0</v>
      </c>
      <c r="M34" s="39">
        <v>0</v>
      </c>
      <c r="N34" s="39">
        <v>0</v>
      </c>
      <c r="O34" s="39">
        <v>0.88</v>
      </c>
      <c r="P34" s="39">
        <v>0.88</v>
      </c>
      <c r="Q34" s="39">
        <v>3.96</v>
      </c>
      <c r="R34" s="40" t="str">
        <f t="shared" si="8"/>
        <v>SI</v>
      </c>
      <c r="S34" s="40" t="str">
        <f t="shared" si="9"/>
        <v>Sin Riesgo</v>
      </c>
      <c r="T34" s="4"/>
      <c r="U34" s="4"/>
      <c r="V34" s="4"/>
      <c r="W34" s="4"/>
    </row>
    <row r="35" spans="1:23" ht="35.25" customHeight="1">
      <c r="A35" s="35" t="s">
        <v>153</v>
      </c>
      <c r="B35" s="36" t="s">
        <v>52</v>
      </c>
      <c r="C35" s="37" t="s">
        <v>176</v>
      </c>
      <c r="D35" s="38">
        <v>509</v>
      </c>
      <c r="E35" s="39"/>
      <c r="F35" s="39"/>
      <c r="G35" s="39"/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6.45</v>
      </c>
      <c r="Q35" s="39">
        <v>0.77</v>
      </c>
      <c r="R35" s="40" t="str">
        <f t="shared" si="8"/>
        <v>SI</v>
      </c>
      <c r="S35" s="40" t="str">
        <f t="shared" si="9"/>
        <v>Sin Riesgo</v>
      </c>
      <c r="T35" s="4"/>
      <c r="U35" s="4"/>
      <c r="V35" s="4"/>
      <c r="W35" s="4"/>
    </row>
    <row r="36" spans="1:23" ht="24.75" customHeight="1">
      <c r="A36" s="35" t="s">
        <v>149</v>
      </c>
      <c r="B36" s="36" t="s">
        <v>53</v>
      </c>
      <c r="C36" s="37" t="s">
        <v>172</v>
      </c>
      <c r="D36" s="38">
        <v>11711</v>
      </c>
      <c r="E36" s="39"/>
      <c r="F36" s="39"/>
      <c r="G36" s="39"/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40" t="str">
        <f t="shared" si="8"/>
        <v>SI</v>
      </c>
      <c r="S36" s="40" t="str">
        <f t="shared" si="9"/>
        <v>Sin Riesgo</v>
      </c>
      <c r="T36" s="4"/>
      <c r="U36" s="4"/>
      <c r="V36" s="4"/>
      <c r="W36" s="4"/>
    </row>
    <row r="37" spans="1:23" ht="37.5" customHeight="1">
      <c r="A37" s="35" t="s">
        <v>149</v>
      </c>
      <c r="B37" s="36" t="s">
        <v>53</v>
      </c>
      <c r="C37" s="37" t="s">
        <v>207</v>
      </c>
      <c r="D37" s="38">
        <v>202</v>
      </c>
      <c r="E37" s="39"/>
      <c r="F37" s="39"/>
      <c r="G37" s="39"/>
      <c r="H37" s="39"/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1.01</v>
      </c>
      <c r="R37" s="40" t="str">
        <f>IF(Q37&lt;=5,"SI","NO")</f>
        <v>SI</v>
      </c>
      <c r="S37" s="40" t="str">
        <f>IF(Q37&lt;=5,"Sin Riesgo",IF(Q37&lt;=14,"Bajo",IF(Q37&lt;=35,"Medio",IF(Q37&lt;=80,"Alto","Inviable Sanitariamente"))))</f>
        <v>Sin Riesgo</v>
      </c>
      <c r="T37" s="4"/>
      <c r="U37" s="4"/>
      <c r="V37" s="4"/>
      <c r="W37" s="4"/>
    </row>
    <row r="38" spans="1:23" ht="37.5" customHeight="1">
      <c r="A38" s="35" t="s">
        <v>149</v>
      </c>
      <c r="B38" s="36" t="s">
        <v>53</v>
      </c>
      <c r="C38" s="37" t="s">
        <v>177</v>
      </c>
      <c r="D38" s="38">
        <v>952</v>
      </c>
      <c r="E38" s="39"/>
      <c r="F38" s="39"/>
      <c r="G38" s="39"/>
      <c r="H38" s="39">
        <v>0</v>
      </c>
      <c r="I38" s="39">
        <v>24.77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2.75</v>
      </c>
      <c r="R38" s="40" t="str">
        <f t="shared" si="8"/>
        <v>SI</v>
      </c>
      <c r="S38" s="40" t="str">
        <f t="shared" si="9"/>
        <v>Sin Riesgo</v>
      </c>
      <c r="T38" s="4"/>
      <c r="U38" s="4"/>
      <c r="V38" s="4"/>
      <c r="W38" s="4"/>
    </row>
    <row r="39" spans="1:23" ht="33.75" customHeight="1">
      <c r="A39" s="35" t="s">
        <v>156</v>
      </c>
      <c r="B39" s="36" t="s">
        <v>54</v>
      </c>
      <c r="C39" s="44" t="s">
        <v>289</v>
      </c>
      <c r="D39" s="45">
        <v>686</v>
      </c>
      <c r="E39" s="39"/>
      <c r="F39" s="39"/>
      <c r="G39" s="39"/>
      <c r="H39" s="39">
        <v>0</v>
      </c>
      <c r="I39" s="39">
        <v>2.65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0.21</v>
      </c>
      <c r="R39" s="40" t="str">
        <f t="shared" si="8"/>
        <v>SI</v>
      </c>
      <c r="S39" s="40" t="str">
        <f t="shared" si="9"/>
        <v>Sin Riesgo</v>
      </c>
      <c r="T39" s="4"/>
      <c r="U39" s="4"/>
      <c r="V39" s="4"/>
      <c r="W39" s="4"/>
    </row>
    <row r="40" spans="1:23" ht="24.75" customHeight="1">
      <c r="A40" s="35" t="s">
        <v>153</v>
      </c>
      <c r="B40" s="36" t="s">
        <v>55</v>
      </c>
      <c r="C40" s="37" t="s">
        <v>188</v>
      </c>
      <c r="D40" s="38">
        <v>1101</v>
      </c>
      <c r="E40" s="39"/>
      <c r="F40" s="39"/>
      <c r="G40" s="39"/>
      <c r="H40" s="39">
        <v>0</v>
      </c>
      <c r="I40" s="39">
        <v>0</v>
      </c>
      <c r="J40" s="39">
        <v>8.85</v>
      </c>
      <c r="K40" s="39">
        <v>0</v>
      </c>
      <c r="L40" s="39">
        <v>12.5</v>
      </c>
      <c r="M40" s="39">
        <v>6.21</v>
      </c>
      <c r="N40" s="39">
        <v>0</v>
      </c>
      <c r="O40" s="39">
        <v>30.05</v>
      </c>
      <c r="P40" s="39">
        <v>0</v>
      </c>
      <c r="Q40" s="39">
        <v>6.4</v>
      </c>
      <c r="R40" s="40">
        <v>0</v>
      </c>
      <c r="S40" s="40" t="str">
        <f t="shared" si="9"/>
        <v>Bajo</v>
      </c>
      <c r="T40" s="4"/>
      <c r="U40" s="4"/>
      <c r="V40" s="4"/>
      <c r="W40" s="4"/>
    </row>
    <row r="41" spans="1:23" ht="32.25" customHeight="1">
      <c r="A41" s="35" t="s">
        <v>159</v>
      </c>
      <c r="B41" s="36" t="s">
        <v>56</v>
      </c>
      <c r="C41" s="37" t="s">
        <v>178</v>
      </c>
      <c r="D41" s="38">
        <v>937</v>
      </c>
      <c r="E41" s="39"/>
      <c r="F41" s="39"/>
      <c r="G41" s="39"/>
      <c r="H41" s="39">
        <v>0</v>
      </c>
      <c r="I41" s="39">
        <v>0.88</v>
      </c>
      <c r="J41" s="39">
        <v>0</v>
      </c>
      <c r="K41" s="39">
        <v>0</v>
      </c>
      <c r="L41" s="39">
        <v>0</v>
      </c>
      <c r="M41" s="39">
        <v>8.85</v>
      </c>
      <c r="N41" s="39">
        <v>8.85</v>
      </c>
      <c r="O41" s="39">
        <v>0</v>
      </c>
      <c r="P41" s="39">
        <v>0</v>
      </c>
      <c r="Q41" s="39">
        <v>2.14</v>
      </c>
      <c r="R41" s="40" t="str">
        <f t="shared" si="8"/>
        <v>SI</v>
      </c>
      <c r="S41" s="40" t="str">
        <f t="shared" si="9"/>
        <v>Sin Riesgo</v>
      </c>
      <c r="T41" s="13"/>
      <c r="U41" s="4"/>
      <c r="V41" s="4"/>
      <c r="W41" s="4"/>
    </row>
    <row r="42" spans="1:23" ht="26.25" customHeight="1">
      <c r="A42" s="35" t="s">
        <v>154</v>
      </c>
      <c r="B42" s="36" t="s">
        <v>57</v>
      </c>
      <c r="C42" s="37" t="s">
        <v>195</v>
      </c>
      <c r="D42" s="38">
        <v>850</v>
      </c>
      <c r="E42" s="39"/>
      <c r="F42" s="39"/>
      <c r="G42" s="39"/>
      <c r="H42" s="39">
        <v>6.45</v>
      </c>
      <c r="I42" s="39">
        <v>0</v>
      </c>
      <c r="J42" s="39"/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0.84</v>
      </c>
      <c r="R42" s="40" t="str">
        <f t="shared" si="8"/>
        <v>SI</v>
      </c>
      <c r="S42" s="40" t="str">
        <f t="shared" si="9"/>
        <v>Sin Riesgo</v>
      </c>
      <c r="T42" s="4"/>
      <c r="U42" s="4"/>
      <c r="V42" s="4"/>
      <c r="W42" s="4"/>
    </row>
    <row r="43" spans="1:23" ht="24.75" customHeight="1">
      <c r="A43" s="35" t="s">
        <v>157</v>
      </c>
      <c r="B43" s="36" t="s">
        <v>58</v>
      </c>
      <c r="C43" s="37" t="s">
        <v>189</v>
      </c>
      <c r="D43" s="38">
        <v>6153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40" t="str">
        <f t="shared" si="8"/>
        <v>SI</v>
      </c>
      <c r="S43" s="40" t="str">
        <f t="shared" si="9"/>
        <v>Sin Riesgo</v>
      </c>
      <c r="T43" s="4"/>
      <c r="U43" s="4"/>
      <c r="V43" s="4"/>
      <c r="W43" s="4"/>
    </row>
    <row r="44" spans="1:23" ht="35.25" customHeight="1">
      <c r="A44" s="35" t="s">
        <v>156</v>
      </c>
      <c r="B44" s="36" t="s">
        <v>160</v>
      </c>
      <c r="C44" s="37" t="s">
        <v>179</v>
      </c>
      <c r="D44" s="38">
        <v>828</v>
      </c>
      <c r="E44" s="39"/>
      <c r="F44" s="39"/>
      <c r="G44" s="39"/>
      <c r="H44" s="39">
        <v>0</v>
      </c>
      <c r="I44" s="39">
        <v>0</v>
      </c>
      <c r="J44" s="39">
        <v>8.85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0.98</v>
      </c>
      <c r="R44" s="40" t="str">
        <f t="shared" si="8"/>
        <v>SI</v>
      </c>
      <c r="S44" s="40" t="str">
        <f t="shared" si="9"/>
        <v>Sin Riesgo</v>
      </c>
      <c r="T44" s="4"/>
      <c r="U44" s="4"/>
      <c r="V44" s="4"/>
      <c r="W44" s="4"/>
    </row>
    <row r="45" spans="1:23" ht="24.75" customHeight="1">
      <c r="A45" s="35" t="s">
        <v>158</v>
      </c>
      <c r="B45" s="36" t="s">
        <v>59</v>
      </c>
      <c r="C45" s="37" t="s">
        <v>180</v>
      </c>
      <c r="D45" s="38">
        <v>10523</v>
      </c>
      <c r="E45" s="39"/>
      <c r="F45" s="39"/>
      <c r="G45" s="39"/>
      <c r="H45" s="39">
        <v>3.87</v>
      </c>
      <c r="I45" s="39">
        <v>9.57</v>
      </c>
      <c r="J45" s="39">
        <v>34.16</v>
      </c>
      <c r="K45" s="39">
        <v>12.8</v>
      </c>
      <c r="L45" s="39">
        <v>0</v>
      </c>
      <c r="M45" s="39">
        <v>0</v>
      </c>
      <c r="N45" s="39">
        <v>0</v>
      </c>
      <c r="O45" s="39">
        <v>5.31</v>
      </c>
      <c r="P45" s="39">
        <v>4.26</v>
      </c>
      <c r="Q45" s="39">
        <v>7.95</v>
      </c>
      <c r="R45" s="40" t="str">
        <f t="shared" si="8"/>
        <v>NO</v>
      </c>
      <c r="S45" s="40" t="str">
        <f t="shared" si="9"/>
        <v>Bajo</v>
      </c>
      <c r="T45" s="4"/>
      <c r="U45" s="4"/>
      <c r="V45" s="4"/>
      <c r="W45" s="4"/>
    </row>
    <row r="46" spans="1:23" ht="24.75" customHeight="1">
      <c r="A46" s="35" t="s">
        <v>158</v>
      </c>
      <c r="B46" s="36" t="s">
        <v>59</v>
      </c>
      <c r="C46" s="37" t="s">
        <v>181</v>
      </c>
      <c r="D46" s="38">
        <v>846</v>
      </c>
      <c r="E46" s="39"/>
      <c r="F46" s="39"/>
      <c r="G46" s="39"/>
      <c r="H46" s="39">
        <v>17.69</v>
      </c>
      <c r="I46" s="39">
        <v>23.6</v>
      </c>
      <c r="J46" s="39">
        <v>0</v>
      </c>
      <c r="K46" s="39">
        <v>6.45</v>
      </c>
      <c r="L46" s="39">
        <v>0</v>
      </c>
      <c r="M46" s="39">
        <v>0</v>
      </c>
      <c r="N46" s="39">
        <v>6.45</v>
      </c>
      <c r="O46" s="39">
        <v>0</v>
      </c>
      <c r="P46" s="39">
        <v>8.85</v>
      </c>
      <c r="Q46" s="39">
        <v>7</v>
      </c>
      <c r="R46" s="40" t="str">
        <f t="shared" si="8"/>
        <v>NO</v>
      </c>
      <c r="S46" s="40" t="str">
        <f t="shared" si="9"/>
        <v>Bajo</v>
      </c>
      <c r="T46" s="4"/>
      <c r="U46" s="4"/>
      <c r="V46" s="4"/>
      <c r="W46" s="4"/>
    </row>
    <row r="47" spans="1:23" ht="24.75" customHeight="1">
      <c r="A47" s="35" t="s">
        <v>158</v>
      </c>
      <c r="B47" s="36" t="s">
        <v>59</v>
      </c>
      <c r="C47" s="37" t="s">
        <v>190</v>
      </c>
      <c r="D47" s="38">
        <v>749</v>
      </c>
      <c r="E47" s="39"/>
      <c r="F47" s="39"/>
      <c r="G47" s="39"/>
      <c r="H47" s="39">
        <v>15.3</v>
      </c>
      <c r="I47" s="39">
        <v>32.44</v>
      </c>
      <c r="J47" s="39">
        <v>17.2</v>
      </c>
      <c r="K47" s="39">
        <v>6.45</v>
      </c>
      <c r="L47" s="39">
        <v>0</v>
      </c>
      <c r="M47" s="39">
        <v>0</v>
      </c>
      <c r="N47" s="39">
        <v>0</v>
      </c>
      <c r="O47" s="39"/>
      <c r="P47" s="39"/>
      <c r="Q47" s="39">
        <v>11.27</v>
      </c>
      <c r="R47" s="40" t="str">
        <f t="shared" si="8"/>
        <v>NO</v>
      </c>
      <c r="S47" s="40" t="str">
        <f t="shared" si="9"/>
        <v>Bajo</v>
      </c>
      <c r="T47" s="4"/>
      <c r="U47" s="4"/>
      <c r="V47" s="4"/>
      <c r="W47" s="4"/>
    </row>
    <row r="48" spans="1:23" ht="24.75" customHeight="1">
      <c r="A48" s="35" t="s">
        <v>158</v>
      </c>
      <c r="B48" s="36" t="s">
        <v>59</v>
      </c>
      <c r="C48" s="37" t="s">
        <v>182</v>
      </c>
      <c r="D48" s="38">
        <v>804</v>
      </c>
      <c r="E48" s="39"/>
      <c r="F48" s="39"/>
      <c r="G48" s="39"/>
      <c r="H48" s="39">
        <v>32.44</v>
      </c>
      <c r="I48" s="39">
        <v>0</v>
      </c>
      <c r="J48" s="39">
        <v>0</v>
      </c>
      <c r="K48" s="39">
        <v>21.33</v>
      </c>
      <c r="L48" s="39">
        <v>0</v>
      </c>
      <c r="M48" s="39">
        <v>0.62</v>
      </c>
      <c r="N48" s="39">
        <v>0.64</v>
      </c>
      <c r="O48" s="39">
        <v>18.34</v>
      </c>
      <c r="P48" s="39">
        <v>13.27</v>
      </c>
      <c r="Q48" s="39">
        <v>9.45</v>
      </c>
      <c r="R48" s="40" t="str">
        <f>IF(Q48&lt;=5,"SI","NO")</f>
        <v>NO</v>
      </c>
      <c r="S48" s="40" t="str">
        <f>IF(Q48&lt;=5,"Sin Riesgo",IF(Q48&lt;=14,"Bajo",IF(Q48&lt;=35,"Medio",IF(Q48&lt;=80,"Alto","Inviable Sanitariamente"))))</f>
        <v>Bajo</v>
      </c>
      <c r="T48" s="4"/>
      <c r="U48" s="4"/>
      <c r="V48" s="4"/>
      <c r="W48" s="4"/>
    </row>
    <row r="49" spans="1:23" ht="24.75" customHeight="1">
      <c r="A49" s="35" t="s">
        <v>158</v>
      </c>
      <c r="B49" s="36" t="s">
        <v>59</v>
      </c>
      <c r="C49" s="37" t="s">
        <v>208</v>
      </c>
      <c r="D49" s="38">
        <v>1319</v>
      </c>
      <c r="E49" s="39"/>
      <c r="F49" s="39"/>
      <c r="G49" s="39"/>
      <c r="H49" s="39"/>
      <c r="I49" s="39"/>
      <c r="J49" s="39"/>
      <c r="K49" s="39">
        <v>0</v>
      </c>
      <c r="L49" s="39">
        <v>0</v>
      </c>
      <c r="M49" s="39">
        <v>0</v>
      </c>
      <c r="N49" s="39">
        <v>0</v>
      </c>
      <c r="O49" s="39">
        <v>8.85</v>
      </c>
      <c r="P49" s="39">
        <v>0</v>
      </c>
      <c r="Q49" s="39">
        <v>1.77</v>
      </c>
      <c r="R49" s="40" t="str">
        <f t="shared" si="8"/>
        <v>SI</v>
      </c>
      <c r="S49" s="40" t="str">
        <f t="shared" si="9"/>
        <v>Sin Riesgo</v>
      </c>
      <c r="T49" s="4"/>
      <c r="U49" s="4"/>
      <c r="V49" s="4"/>
      <c r="W49" s="4"/>
    </row>
    <row r="50" spans="1:23" ht="24.75" customHeight="1">
      <c r="A50" s="35" t="s">
        <v>158</v>
      </c>
      <c r="B50" s="36" t="s">
        <v>59</v>
      </c>
      <c r="C50" s="37" t="s">
        <v>183</v>
      </c>
      <c r="D50" s="38">
        <v>942</v>
      </c>
      <c r="E50" s="39"/>
      <c r="F50" s="39"/>
      <c r="G50" s="39"/>
      <c r="H50" s="39">
        <v>8.85</v>
      </c>
      <c r="I50" s="39">
        <v>0</v>
      </c>
      <c r="J50" s="39">
        <v>17.2</v>
      </c>
      <c r="K50" s="39">
        <v>0</v>
      </c>
      <c r="L50" s="39">
        <v>0</v>
      </c>
      <c r="M50" s="39">
        <v>8.85</v>
      </c>
      <c r="N50" s="39">
        <v>0</v>
      </c>
      <c r="O50" s="39">
        <v>0</v>
      </c>
      <c r="P50" s="39">
        <v>15.3</v>
      </c>
      <c r="Q50" s="39">
        <v>5.58</v>
      </c>
      <c r="R50" s="40" t="str">
        <f t="shared" si="8"/>
        <v>NO</v>
      </c>
      <c r="S50" s="40" t="str">
        <f t="shared" si="9"/>
        <v>Bajo</v>
      </c>
      <c r="T50" s="4"/>
      <c r="U50" s="4"/>
      <c r="V50" s="4"/>
      <c r="W50" s="4"/>
    </row>
    <row r="51" spans="1:23" ht="24.75" customHeight="1">
      <c r="A51" s="35" t="s">
        <v>157</v>
      </c>
      <c r="B51" s="36" t="s">
        <v>60</v>
      </c>
      <c r="C51" s="37" t="s">
        <v>191</v>
      </c>
      <c r="D51" s="38">
        <v>7259</v>
      </c>
      <c r="E51" s="39">
        <v>0</v>
      </c>
      <c r="F51" s="39">
        <v>0</v>
      </c>
      <c r="G51" s="39">
        <v>0</v>
      </c>
      <c r="H51" s="39">
        <v>3.87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3.87</v>
      </c>
      <c r="P51" s="39">
        <v>0</v>
      </c>
      <c r="Q51" s="39">
        <v>0.65</v>
      </c>
      <c r="R51" s="40" t="str">
        <f t="shared" si="8"/>
        <v>SI</v>
      </c>
      <c r="S51" s="40" t="str">
        <f t="shared" si="9"/>
        <v>Sin Riesgo</v>
      </c>
      <c r="T51" s="4"/>
      <c r="U51" s="4"/>
      <c r="V51" s="4"/>
      <c r="W51" s="4"/>
    </row>
    <row r="52" spans="1:23" ht="36" customHeight="1">
      <c r="A52" s="35" t="s">
        <v>155</v>
      </c>
      <c r="B52" s="35" t="s">
        <v>61</v>
      </c>
      <c r="C52" s="37" t="s">
        <v>192</v>
      </c>
      <c r="D52" s="38">
        <v>2322</v>
      </c>
      <c r="E52" s="39"/>
      <c r="F52" s="39"/>
      <c r="G52" s="39"/>
      <c r="H52" s="39">
        <v>98.06</v>
      </c>
      <c r="I52" s="39">
        <v>97.11</v>
      </c>
      <c r="J52" s="39">
        <v>98.31</v>
      </c>
      <c r="K52" s="39">
        <v>97.43</v>
      </c>
      <c r="L52" s="39">
        <v>97.58</v>
      </c>
      <c r="M52" s="39">
        <v>96.36</v>
      </c>
      <c r="N52" s="39">
        <v>77.79</v>
      </c>
      <c r="O52" s="39">
        <v>88.55</v>
      </c>
      <c r="P52" s="39">
        <v>97.58</v>
      </c>
      <c r="Q52" s="39">
        <v>94.01</v>
      </c>
      <c r="R52" s="40" t="str">
        <f t="shared" si="8"/>
        <v>NO</v>
      </c>
      <c r="S52" s="40" t="str">
        <f t="shared" si="9"/>
        <v>Inviable Sanitariamente</v>
      </c>
      <c r="T52" s="13"/>
      <c r="U52" s="4"/>
      <c r="V52" s="4"/>
      <c r="W52" s="4"/>
    </row>
    <row r="53" spans="1:23" ht="24.75" customHeight="1">
      <c r="A53" s="35" t="s">
        <v>154</v>
      </c>
      <c r="B53" s="35" t="s">
        <v>62</v>
      </c>
      <c r="C53" s="37" t="s">
        <v>14</v>
      </c>
      <c r="D53" s="38">
        <v>95</v>
      </c>
      <c r="E53" s="39"/>
      <c r="F53" s="39"/>
      <c r="G53" s="39"/>
      <c r="H53" s="39">
        <v>6.45</v>
      </c>
      <c r="I53" s="39">
        <v>15.3</v>
      </c>
      <c r="J53" s="39">
        <v>6.45</v>
      </c>
      <c r="K53" s="39">
        <v>8.85</v>
      </c>
      <c r="L53" s="39">
        <v>22.77</v>
      </c>
      <c r="M53" s="39">
        <v>0</v>
      </c>
      <c r="N53" s="39">
        <v>65.78</v>
      </c>
      <c r="O53" s="39">
        <v>8.85</v>
      </c>
      <c r="P53" s="39">
        <v>2.58</v>
      </c>
      <c r="Q53" s="39">
        <v>15.22</v>
      </c>
      <c r="R53" s="40" t="str">
        <f t="shared" si="8"/>
        <v>NO</v>
      </c>
      <c r="S53" s="40" t="str">
        <f t="shared" si="9"/>
        <v>Medio</v>
      </c>
      <c r="T53" s="4"/>
      <c r="U53" s="4"/>
      <c r="V53" s="4"/>
      <c r="W53" s="4"/>
    </row>
    <row r="54" spans="1:23" ht="24.75" customHeight="1">
      <c r="A54" s="35" t="s">
        <v>154</v>
      </c>
      <c r="B54" s="35" t="s">
        <v>62</v>
      </c>
      <c r="C54" s="37" t="s">
        <v>28</v>
      </c>
      <c r="D54" s="38">
        <v>4411</v>
      </c>
      <c r="E54" s="39"/>
      <c r="F54" s="39"/>
      <c r="G54" s="39"/>
      <c r="H54" s="39">
        <v>0</v>
      </c>
      <c r="I54" s="39">
        <v>0</v>
      </c>
      <c r="J54" s="39">
        <v>0</v>
      </c>
      <c r="K54" s="39">
        <v>0</v>
      </c>
      <c r="L54" s="39">
        <v>0.64</v>
      </c>
      <c r="M54" s="39">
        <v>0</v>
      </c>
      <c r="N54" s="39">
        <v>0</v>
      </c>
      <c r="O54" s="39">
        <v>0</v>
      </c>
      <c r="P54" s="39">
        <v>0</v>
      </c>
      <c r="Q54" s="39">
        <v>0.07</v>
      </c>
      <c r="R54" s="40" t="str">
        <f t="shared" si="8"/>
        <v>SI</v>
      </c>
      <c r="S54" s="40" t="str">
        <f t="shared" si="9"/>
        <v>Sin Riesgo</v>
      </c>
      <c r="T54" s="4"/>
      <c r="U54" s="4"/>
      <c r="V54" s="4"/>
      <c r="W54" s="4"/>
    </row>
    <row r="55" spans="1:23" ht="31.5" customHeight="1">
      <c r="A55" s="35" t="s">
        <v>154</v>
      </c>
      <c r="B55" s="35" t="s">
        <v>62</v>
      </c>
      <c r="C55" s="37" t="s">
        <v>184</v>
      </c>
      <c r="D55" s="38">
        <v>209</v>
      </c>
      <c r="E55" s="39"/>
      <c r="F55" s="39"/>
      <c r="G55" s="39"/>
      <c r="H55" s="39">
        <v>23.65</v>
      </c>
      <c r="I55" s="39">
        <v>8.85</v>
      </c>
      <c r="J55" s="39">
        <v>32.45</v>
      </c>
      <c r="K55" s="39">
        <v>0</v>
      </c>
      <c r="L55" s="39">
        <v>0</v>
      </c>
      <c r="M55" s="39">
        <v>0</v>
      </c>
      <c r="N55" s="39">
        <v>9.73</v>
      </c>
      <c r="O55" s="39">
        <v>8.85</v>
      </c>
      <c r="P55" s="39">
        <v>0</v>
      </c>
      <c r="Q55" s="39">
        <v>9.28</v>
      </c>
      <c r="R55" s="40" t="str">
        <f t="shared" si="8"/>
        <v>NO</v>
      </c>
      <c r="S55" s="40" t="str">
        <f t="shared" si="9"/>
        <v>Bajo</v>
      </c>
      <c r="T55" s="4"/>
      <c r="U55" s="4"/>
      <c r="V55" s="4"/>
      <c r="W55" s="4"/>
    </row>
    <row r="56" spans="1:23" ht="24.75" customHeight="1">
      <c r="A56" s="35" t="s">
        <v>152</v>
      </c>
      <c r="B56" s="36" t="s">
        <v>63</v>
      </c>
      <c r="C56" s="37" t="s">
        <v>185</v>
      </c>
      <c r="D56" s="38">
        <v>1458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13.55</v>
      </c>
      <c r="L56" s="39">
        <v>0.59</v>
      </c>
      <c r="M56" s="39">
        <v>0</v>
      </c>
      <c r="N56" s="39">
        <v>0</v>
      </c>
      <c r="O56" s="39">
        <v>0</v>
      </c>
      <c r="P56" s="39">
        <v>0</v>
      </c>
      <c r="Q56" s="39">
        <v>0.87</v>
      </c>
      <c r="R56" s="40" t="str">
        <f t="shared" si="8"/>
        <v>SI</v>
      </c>
      <c r="S56" s="40" t="str">
        <f t="shared" si="9"/>
        <v>Sin Riesgo</v>
      </c>
      <c r="T56" s="4"/>
      <c r="U56" s="4"/>
      <c r="V56" s="4"/>
      <c r="W56" s="4"/>
    </row>
    <row r="57" spans="1:23" ht="24.75" customHeight="1">
      <c r="A57" s="35" t="s">
        <v>152</v>
      </c>
      <c r="B57" s="36" t="s">
        <v>64</v>
      </c>
      <c r="C57" s="37" t="s">
        <v>209</v>
      </c>
      <c r="D57" s="38">
        <v>614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0.59</v>
      </c>
      <c r="P57" s="39">
        <v>0.64</v>
      </c>
      <c r="Q57" s="39">
        <v>0.1</v>
      </c>
      <c r="R57" s="40" t="str">
        <f t="shared" si="8"/>
        <v>SI</v>
      </c>
      <c r="S57" s="40" t="str">
        <f t="shared" si="9"/>
        <v>Sin Riesgo</v>
      </c>
      <c r="T57" s="4"/>
      <c r="U57" s="4"/>
      <c r="V57" s="4"/>
      <c r="W57" s="4"/>
    </row>
    <row r="58" spans="1:23" ht="24.75" customHeight="1">
      <c r="A58" s="35" t="s">
        <v>154</v>
      </c>
      <c r="B58" s="36" t="s">
        <v>65</v>
      </c>
      <c r="C58" s="37" t="s">
        <v>210</v>
      </c>
      <c r="D58" s="38">
        <v>2186</v>
      </c>
      <c r="E58" s="39"/>
      <c r="F58" s="39"/>
      <c r="G58" s="39"/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9.03</v>
      </c>
      <c r="Q58" s="39">
        <v>1</v>
      </c>
      <c r="R58" s="40" t="str">
        <f t="shared" si="8"/>
        <v>SI</v>
      </c>
      <c r="S58" s="40" t="str">
        <f t="shared" si="9"/>
        <v>Sin Riesgo</v>
      </c>
      <c r="T58" s="4"/>
      <c r="U58" s="4"/>
      <c r="V58" s="4"/>
      <c r="W58" s="4"/>
    </row>
    <row r="59" spans="1:23" ht="24.75" customHeight="1">
      <c r="A59" s="35" t="s">
        <v>149</v>
      </c>
      <c r="B59" s="36" t="s">
        <v>66</v>
      </c>
      <c r="C59" s="37" t="s">
        <v>9</v>
      </c>
      <c r="D59" s="38">
        <v>14140</v>
      </c>
      <c r="E59" s="39"/>
      <c r="F59" s="39"/>
      <c r="G59" s="39"/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40" t="str">
        <f t="shared" si="8"/>
        <v>SI</v>
      </c>
      <c r="S59" s="40" t="str">
        <f t="shared" si="9"/>
        <v>Sin Riesgo</v>
      </c>
      <c r="T59" s="4"/>
      <c r="U59" s="4"/>
      <c r="V59" s="4"/>
      <c r="W59" s="4"/>
    </row>
    <row r="60" spans="1:23" ht="37.5" customHeight="1">
      <c r="A60" s="35" t="s">
        <v>153</v>
      </c>
      <c r="B60" s="36" t="s">
        <v>67</v>
      </c>
      <c r="C60" s="37" t="s">
        <v>211</v>
      </c>
      <c r="D60" s="38">
        <v>1999</v>
      </c>
      <c r="E60" s="39">
        <v>0</v>
      </c>
      <c r="F60" s="39">
        <v>0</v>
      </c>
      <c r="G60" s="39">
        <v>0</v>
      </c>
      <c r="H60" s="39">
        <v>6.45</v>
      </c>
      <c r="I60" s="39">
        <v>0</v>
      </c>
      <c r="J60" s="39">
        <v>4.84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1.11</v>
      </c>
      <c r="R60" s="40" t="str">
        <f t="shared" si="8"/>
        <v>SI</v>
      </c>
      <c r="S60" s="40" t="str">
        <f t="shared" si="9"/>
        <v>Sin Riesgo</v>
      </c>
      <c r="T60" s="4"/>
      <c r="U60" s="4"/>
      <c r="V60" s="4"/>
      <c r="W60" s="4"/>
    </row>
    <row r="61" spans="1:23" ht="38.25" customHeight="1">
      <c r="A61" s="35" t="s">
        <v>153</v>
      </c>
      <c r="B61" s="36" t="s">
        <v>67</v>
      </c>
      <c r="C61" s="37" t="s">
        <v>212</v>
      </c>
      <c r="D61" s="38">
        <v>116</v>
      </c>
      <c r="E61" s="39">
        <v>4.84</v>
      </c>
      <c r="F61" s="39">
        <v>9.68</v>
      </c>
      <c r="G61" s="39">
        <v>0</v>
      </c>
      <c r="H61" s="39">
        <v>0</v>
      </c>
      <c r="I61" s="39">
        <v>0</v>
      </c>
      <c r="J61" s="39">
        <v>4.84</v>
      </c>
      <c r="K61" s="39">
        <v>25.81</v>
      </c>
      <c r="L61" s="39">
        <v>0</v>
      </c>
      <c r="M61" s="39">
        <v>0</v>
      </c>
      <c r="N61" s="39">
        <v>0</v>
      </c>
      <c r="O61" s="39">
        <v>0</v>
      </c>
      <c r="P61" s="39">
        <v>8.85</v>
      </c>
      <c r="Q61" s="39">
        <v>3.78</v>
      </c>
      <c r="R61" s="40" t="str">
        <f t="shared" si="8"/>
        <v>SI</v>
      </c>
      <c r="S61" s="40" t="str">
        <f t="shared" si="9"/>
        <v>Sin Riesgo</v>
      </c>
      <c r="T61" s="4"/>
      <c r="U61" s="4"/>
      <c r="V61" s="4"/>
      <c r="W61" s="4"/>
    </row>
    <row r="62" spans="1:23" ht="24.75" customHeight="1">
      <c r="A62" s="35" t="s">
        <v>156</v>
      </c>
      <c r="B62" s="36" t="s">
        <v>68</v>
      </c>
      <c r="C62" s="37" t="s">
        <v>213</v>
      </c>
      <c r="D62" s="38">
        <v>2985</v>
      </c>
      <c r="E62" s="39"/>
      <c r="F62" s="39"/>
      <c r="G62" s="39"/>
      <c r="H62" s="39">
        <v>0</v>
      </c>
      <c r="I62" s="39">
        <v>0.59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0.59</v>
      </c>
      <c r="P62" s="39">
        <v>0.64</v>
      </c>
      <c r="Q62" s="39">
        <v>0.21</v>
      </c>
      <c r="R62" s="40" t="str">
        <f t="shared" si="8"/>
        <v>SI</v>
      </c>
      <c r="S62" s="40" t="str">
        <f aca="true" t="shared" si="10" ref="S62:S115">IF(Q62&lt;=5,"Sin Riesgo",IF(Q62&lt;=14,"Bajo",IF(Q62&lt;=35,"Medio",IF(Q62&lt;=80,"Alto","Inviable Sanitariamente"))))</f>
        <v>Sin Riesgo</v>
      </c>
      <c r="T62" s="4"/>
      <c r="U62" s="4"/>
      <c r="V62" s="4"/>
      <c r="W62" s="4"/>
    </row>
    <row r="63" spans="1:23" ht="24.75" customHeight="1">
      <c r="A63" s="35" t="s">
        <v>153</v>
      </c>
      <c r="B63" s="36" t="s">
        <v>69</v>
      </c>
      <c r="C63" s="37" t="s">
        <v>214</v>
      </c>
      <c r="D63" s="38">
        <v>632</v>
      </c>
      <c r="E63" s="39"/>
      <c r="F63" s="39"/>
      <c r="G63" s="39"/>
      <c r="H63" s="39">
        <v>0</v>
      </c>
      <c r="I63" s="39">
        <v>0</v>
      </c>
      <c r="J63" s="39">
        <v>6.45</v>
      </c>
      <c r="K63" s="39">
        <v>0</v>
      </c>
      <c r="L63" s="39">
        <v>0</v>
      </c>
      <c r="M63" s="39">
        <v>0</v>
      </c>
      <c r="N63" s="39">
        <v>0</v>
      </c>
      <c r="O63" s="39">
        <v>6.45</v>
      </c>
      <c r="P63" s="39">
        <v>0</v>
      </c>
      <c r="Q63" s="39">
        <v>1.43</v>
      </c>
      <c r="R63" s="40" t="str">
        <f aca="true" t="shared" si="11" ref="R63:R126">IF(Q63&lt;=5,"SI","NO")</f>
        <v>SI</v>
      </c>
      <c r="S63" s="40" t="str">
        <f t="shared" si="10"/>
        <v>Sin Riesgo</v>
      </c>
      <c r="T63" s="4"/>
      <c r="U63" s="4"/>
      <c r="V63" s="4"/>
      <c r="W63" s="4"/>
    </row>
    <row r="64" spans="1:23" ht="32.25" customHeight="1">
      <c r="A64" s="35" t="s">
        <v>158</v>
      </c>
      <c r="B64" s="36" t="s">
        <v>291</v>
      </c>
      <c r="C64" s="37" t="s">
        <v>215</v>
      </c>
      <c r="D64" s="38">
        <v>4993</v>
      </c>
      <c r="E64" s="39"/>
      <c r="F64" s="39"/>
      <c r="G64" s="39"/>
      <c r="H64" s="39">
        <v>99.22</v>
      </c>
      <c r="I64" s="39">
        <v>91.6</v>
      </c>
      <c r="J64" s="39">
        <v>42.03</v>
      </c>
      <c r="K64" s="39">
        <v>78.73</v>
      </c>
      <c r="L64" s="39">
        <v>88.55</v>
      </c>
      <c r="M64" s="39">
        <v>95.8</v>
      </c>
      <c r="N64" s="39">
        <v>92.21</v>
      </c>
      <c r="O64" s="39">
        <v>34.49</v>
      </c>
      <c r="P64" s="39">
        <v>50.63</v>
      </c>
      <c r="Q64" s="39">
        <v>78.89</v>
      </c>
      <c r="R64" s="40" t="str">
        <f t="shared" si="11"/>
        <v>NO</v>
      </c>
      <c r="S64" s="40" t="str">
        <f t="shared" si="10"/>
        <v>Alto</v>
      </c>
      <c r="T64" s="4"/>
      <c r="U64" s="4"/>
      <c r="V64" s="4"/>
      <c r="W64" s="4"/>
    </row>
    <row r="65" spans="1:23" ht="24.75" customHeight="1">
      <c r="A65" s="35" t="s">
        <v>158</v>
      </c>
      <c r="B65" s="36" t="s">
        <v>292</v>
      </c>
      <c r="C65" s="37" t="s">
        <v>216</v>
      </c>
      <c r="D65" s="38">
        <v>348</v>
      </c>
      <c r="E65" s="39"/>
      <c r="F65" s="39"/>
      <c r="G65" s="39"/>
      <c r="H65" s="39">
        <v>17.69</v>
      </c>
      <c r="I65" s="39">
        <v>0</v>
      </c>
      <c r="J65" s="39">
        <v>79</v>
      </c>
      <c r="K65" s="39">
        <v>6.45</v>
      </c>
      <c r="L65" s="39">
        <v>17.74</v>
      </c>
      <c r="M65" s="39">
        <v>0.88</v>
      </c>
      <c r="N65" s="39">
        <v>0</v>
      </c>
      <c r="O65" s="39">
        <v>0</v>
      </c>
      <c r="P65" s="39">
        <v>0</v>
      </c>
      <c r="Q65" s="39">
        <v>10.83</v>
      </c>
      <c r="R65" s="40" t="str">
        <f t="shared" si="11"/>
        <v>NO</v>
      </c>
      <c r="S65" s="40" t="str">
        <f t="shared" si="10"/>
        <v>Bajo</v>
      </c>
      <c r="T65" s="4"/>
      <c r="U65" s="4"/>
      <c r="V65" s="4"/>
      <c r="W65" s="4"/>
    </row>
    <row r="66" spans="1:23" ht="24.75" customHeight="1">
      <c r="A66" s="35" t="s">
        <v>152</v>
      </c>
      <c r="B66" s="36" t="s">
        <v>161</v>
      </c>
      <c r="C66" s="37" t="s">
        <v>217</v>
      </c>
      <c r="D66" s="38">
        <v>5813</v>
      </c>
      <c r="E66" s="39">
        <v>0</v>
      </c>
      <c r="F66" s="39">
        <v>0</v>
      </c>
      <c r="G66" s="39">
        <v>0</v>
      </c>
      <c r="H66" s="39">
        <v>0.53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0.05</v>
      </c>
      <c r="R66" s="40" t="str">
        <f t="shared" si="11"/>
        <v>SI</v>
      </c>
      <c r="S66" s="40" t="str">
        <f t="shared" si="10"/>
        <v>Sin Riesgo</v>
      </c>
      <c r="T66" s="4"/>
      <c r="U66" s="4"/>
      <c r="V66" s="4"/>
      <c r="W66" s="4"/>
    </row>
    <row r="67" spans="1:23" ht="24.75" customHeight="1">
      <c r="A67" s="35" t="s">
        <v>152</v>
      </c>
      <c r="B67" s="36" t="s">
        <v>293</v>
      </c>
      <c r="C67" s="37" t="s">
        <v>218</v>
      </c>
      <c r="D67" s="38">
        <v>5128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40" t="str">
        <f t="shared" si="11"/>
        <v>SI</v>
      </c>
      <c r="S67" s="40" t="str">
        <f t="shared" si="10"/>
        <v>Sin Riesgo</v>
      </c>
      <c r="T67" s="4"/>
      <c r="U67" s="4"/>
      <c r="V67" s="4"/>
      <c r="W67" s="4"/>
    </row>
    <row r="68" spans="1:23" ht="28.5" customHeight="1">
      <c r="A68" s="35" t="s">
        <v>156</v>
      </c>
      <c r="B68" s="36" t="s">
        <v>70</v>
      </c>
      <c r="C68" s="37" t="s">
        <v>219</v>
      </c>
      <c r="D68" s="38">
        <v>1083</v>
      </c>
      <c r="E68" s="39"/>
      <c r="F68" s="39"/>
      <c r="G68" s="39"/>
      <c r="H68" s="39">
        <v>0</v>
      </c>
      <c r="I68" s="39">
        <v>0.59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0.59</v>
      </c>
      <c r="P68" s="39">
        <v>2.58</v>
      </c>
      <c r="Q68" s="39">
        <v>0.42</v>
      </c>
      <c r="R68" s="40" t="str">
        <f t="shared" si="11"/>
        <v>SI</v>
      </c>
      <c r="S68" s="40" t="str">
        <f t="shared" si="10"/>
        <v>Sin Riesgo</v>
      </c>
      <c r="T68" s="4"/>
      <c r="U68" s="4"/>
      <c r="V68" s="4"/>
      <c r="W68" s="4"/>
    </row>
    <row r="69" spans="1:23" ht="24.75" customHeight="1">
      <c r="A69" s="35" t="s">
        <v>149</v>
      </c>
      <c r="B69" s="36" t="s">
        <v>71</v>
      </c>
      <c r="C69" s="37" t="s">
        <v>9</v>
      </c>
      <c r="D69" s="38">
        <v>53161</v>
      </c>
      <c r="E69" s="39"/>
      <c r="F69" s="39"/>
      <c r="G69" s="39"/>
      <c r="H69" s="39">
        <v>0</v>
      </c>
      <c r="I69" s="39">
        <v>0</v>
      </c>
      <c r="J69" s="39">
        <v>0</v>
      </c>
      <c r="K69" s="39">
        <v>2.65</v>
      </c>
      <c r="L69" s="39">
        <v>0</v>
      </c>
      <c r="M69" s="39">
        <v>0</v>
      </c>
      <c r="N69" s="39">
        <v>0.27</v>
      </c>
      <c r="O69" s="39">
        <v>0.18</v>
      </c>
      <c r="P69" s="39">
        <v>0</v>
      </c>
      <c r="Q69" s="39">
        <v>0.33</v>
      </c>
      <c r="R69" s="40" t="str">
        <f t="shared" si="11"/>
        <v>SI</v>
      </c>
      <c r="S69" s="40" t="str">
        <f t="shared" si="10"/>
        <v>Sin Riesgo</v>
      </c>
      <c r="T69" s="4"/>
      <c r="U69" s="4"/>
      <c r="V69" s="4"/>
      <c r="W69" s="4"/>
    </row>
    <row r="70" spans="1:23" ht="24.75" customHeight="1">
      <c r="A70" s="35" t="s">
        <v>154</v>
      </c>
      <c r="B70" s="36" t="s">
        <v>72</v>
      </c>
      <c r="C70" s="37" t="s">
        <v>220</v>
      </c>
      <c r="D70" s="38">
        <v>2421</v>
      </c>
      <c r="E70" s="39"/>
      <c r="F70" s="39"/>
      <c r="G70" s="39"/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40" t="str">
        <f t="shared" si="11"/>
        <v>SI</v>
      </c>
      <c r="S70" s="40" t="str">
        <f t="shared" si="10"/>
        <v>Sin Riesgo</v>
      </c>
      <c r="T70" s="4"/>
      <c r="U70" s="4"/>
      <c r="V70" s="4"/>
      <c r="W70" s="4"/>
    </row>
    <row r="71" spans="1:23" ht="32.25" customHeight="1">
      <c r="A71" s="35" t="s">
        <v>153</v>
      </c>
      <c r="B71" s="46" t="s">
        <v>73</v>
      </c>
      <c r="C71" s="37" t="s">
        <v>221</v>
      </c>
      <c r="D71" s="38">
        <v>1095</v>
      </c>
      <c r="E71" s="39"/>
      <c r="F71" s="39"/>
      <c r="G71" s="39"/>
      <c r="H71" s="39">
        <v>0</v>
      </c>
      <c r="I71" s="39">
        <v>0</v>
      </c>
      <c r="J71" s="39">
        <v>0</v>
      </c>
      <c r="K71" s="39">
        <v>6.45</v>
      </c>
      <c r="L71" s="39">
        <v>6.21</v>
      </c>
      <c r="M71" s="39">
        <v>0</v>
      </c>
      <c r="N71" s="39">
        <v>0</v>
      </c>
      <c r="O71" s="39">
        <v>0</v>
      </c>
      <c r="P71" s="39">
        <v>0</v>
      </c>
      <c r="Q71" s="39">
        <v>1.46</v>
      </c>
      <c r="R71" s="40" t="str">
        <f t="shared" si="11"/>
        <v>SI</v>
      </c>
      <c r="S71" s="40" t="str">
        <f t="shared" si="10"/>
        <v>Sin Riesgo</v>
      </c>
      <c r="T71" s="4"/>
      <c r="U71" s="4"/>
      <c r="V71" s="4"/>
      <c r="W71" s="4"/>
    </row>
    <row r="72" spans="1:23" ht="30.75" customHeight="1">
      <c r="A72" s="35" t="s">
        <v>153</v>
      </c>
      <c r="B72" s="46" t="s">
        <v>73</v>
      </c>
      <c r="C72" s="37" t="s">
        <v>222</v>
      </c>
      <c r="D72" s="38">
        <v>1043</v>
      </c>
      <c r="E72" s="39"/>
      <c r="F72" s="39"/>
      <c r="G72" s="39"/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40" t="str">
        <f t="shared" si="11"/>
        <v>SI</v>
      </c>
      <c r="S72" s="40" t="str">
        <f t="shared" si="10"/>
        <v>Sin Riesgo</v>
      </c>
      <c r="T72" s="4"/>
      <c r="U72" s="4"/>
      <c r="V72" s="4"/>
      <c r="W72" s="4"/>
    </row>
    <row r="73" spans="1:23" ht="33" customHeight="1">
      <c r="A73" s="35" t="s">
        <v>153</v>
      </c>
      <c r="B73" s="36" t="s">
        <v>74</v>
      </c>
      <c r="C73" s="37" t="s">
        <v>223</v>
      </c>
      <c r="D73" s="38">
        <v>340</v>
      </c>
      <c r="E73" s="39"/>
      <c r="F73" s="39"/>
      <c r="G73" s="39"/>
      <c r="H73" s="39">
        <v>0</v>
      </c>
      <c r="I73" s="39">
        <v>0</v>
      </c>
      <c r="J73" s="39">
        <v>47.74</v>
      </c>
      <c r="K73" s="39">
        <v>0</v>
      </c>
      <c r="L73" s="39">
        <v>8.85</v>
      </c>
      <c r="M73" s="39">
        <v>17.7</v>
      </c>
      <c r="N73" s="39">
        <v>12.5</v>
      </c>
      <c r="O73" s="39">
        <v>0</v>
      </c>
      <c r="P73" s="39">
        <v>0</v>
      </c>
      <c r="Q73" s="39">
        <v>10.01</v>
      </c>
      <c r="R73" s="40" t="str">
        <f t="shared" si="11"/>
        <v>NO</v>
      </c>
      <c r="S73" s="40" t="str">
        <f t="shared" si="10"/>
        <v>Bajo</v>
      </c>
      <c r="T73" s="4"/>
      <c r="U73" s="4"/>
      <c r="V73" s="4"/>
      <c r="W73" s="4"/>
    </row>
    <row r="74" spans="1:23" ht="24.75" customHeight="1">
      <c r="A74" s="35" t="s">
        <v>149</v>
      </c>
      <c r="B74" s="36" t="s">
        <v>75</v>
      </c>
      <c r="C74" s="37" t="s">
        <v>9</v>
      </c>
      <c r="D74" s="38">
        <v>7198</v>
      </c>
      <c r="E74" s="39">
        <v>16.8</v>
      </c>
      <c r="F74" s="39"/>
      <c r="G74" s="39"/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5.31</v>
      </c>
      <c r="O74" s="39">
        <v>0</v>
      </c>
      <c r="P74" s="39">
        <v>0</v>
      </c>
      <c r="Q74" s="39">
        <v>1.31</v>
      </c>
      <c r="R74" s="40" t="str">
        <f t="shared" si="11"/>
        <v>SI</v>
      </c>
      <c r="S74" s="40" t="str">
        <f t="shared" si="10"/>
        <v>Sin Riesgo</v>
      </c>
      <c r="T74" s="4"/>
      <c r="U74" s="4"/>
      <c r="V74" s="4"/>
      <c r="W74" s="4"/>
    </row>
    <row r="75" spans="1:23" ht="24.75" customHeight="1">
      <c r="A75" s="35" t="s">
        <v>156</v>
      </c>
      <c r="B75" s="36" t="s">
        <v>76</v>
      </c>
      <c r="C75" s="37" t="s">
        <v>187</v>
      </c>
      <c r="D75" s="38">
        <v>1514</v>
      </c>
      <c r="E75" s="39"/>
      <c r="F75" s="39"/>
      <c r="G75" s="39"/>
      <c r="H75" s="39">
        <v>0</v>
      </c>
      <c r="I75" s="39">
        <v>0</v>
      </c>
      <c r="J75" s="39">
        <v>0</v>
      </c>
      <c r="K75" s="39">
        <v>17.7</v>
      </c>
      <c r="L75" s="39">
        <v>21.57</v>
      </c>
      <c r="M75" s="39">
        <v>0</v>
      </c>
      <c r="N75" s="39">
        <v>8.85</v>
      </c>
      <c r="O75" s="39">
        <v>0</v>
      </c>
      <c r="P75" s="39">
        <v>0</v>
      </c>
      <c r="Q75" s="39">
        <v>5.35</v>
      </c>
      <c r="R75" s="40" t="str">
        <f t="shared" si="11"/>
        <v>NO</v>
      </c>
      <c r="S75" s="40" t="str">
        <f t="shared" si="10"/>
        <v>Bajo</v>
      </c>
      <c r="T75" s="4"/>
      <c r="U75" s="4"/>
      <c r="V75" s="4"/>
      <c r="W75" s="4"/>
    </row>
    <row r="76" spans="1:23" ht="24.75" customHeight="1">
      <c r="A76" s="35" t="s">
        <v>152</v>
      </c>
      <c r="B76" s="36" t="s">
        <v>77</v>
      </c>
      <c r="C76" s="37" t="s">
        <v>224</v>
      </c>
      <c r="D76" s="38">
        <v>2266</v>
      </c>
      <c r="E76" s="39">
        <v>6.45</v>
      </c>
      <c r="F76" s="39">
        <v>0</v>
      </c>
      <c r="G76" s="39">
        <v>0</v>
      </c>
      <c r="H76" s="39">
        <v>0.64</v>
      </c>
      <c r="I76" s="39">
        <v>2.94</v>
      </c>
      <c r="J76" s="39">
        <v>0.64</v>
      </c>
      <c r="K76" s="39">
        <v>0</v>
      </c>
      <c r="L76" s="39">
        <v>10.61</v>
      </c>
      <c r="M76" s="39">
        <v>0</v>
      </c>
      <c r="N76" s="39">
        <v>0</v>
      </c>
      <c r="O76" s="39">
        <v>2.35</v>
      </c>
      <c r="P76" s="39">
        <v>0.88</v>
      </c>
      <c r="Q76" s="39">
        <v>2.16</v>
      </c>
      <c r="R76" s="40" t="str">
        <f t="shared" si="11"/>
        <v>SI</v>
      </c>
      <c r="S76" s="40" t="str">
        <f t="shared" si="10"/>
        <v>Sin Riesgo</v>
      </c>
      <c r="T76" s="4"/>
      <c r="U76" s="4"/>
      <c r="V76" s="4"/>
      <c r="W76" s="4"/>
    </row>
    <row r="77" spans="1:23" ht="24.75" customHeight="1">
      <c r="A77" s="35" t="s">
        <v>156</v>
      </c>
      <c r="B77" s="36" t="s">
        <v>78</v>
      </c>
      <c r="C77" s="37" t="s">
        <v>225</v>
      </c>
      <c r="D77" s="38">
        <v>550</v>
      </c>
      <c r="E77" s="39"/>
      <c r="F77" s="39"/>
      <c r="G77" s="39"/>
      <c r="H77" s="39">
        <v>35.4</v>
      </c>
      <c r="I77" s="39">
        <v>1.17</v>
      </c>
      <c r="J77" s="39">
        <v>0</v>
      </c>
      <c r="K77" s="39">
        <v>13.27</v>
      </c>
      <c r="L77" s="39">
        <v>9.68</v>
      </c>
      <c r="M77" s="39">
        <v>0</v>
      </c>
      <c r="N77" s="39">
        <v>0</v>
      </c>
      <c r="O77" s="39">
        <v>1.17</v>
      </c>
      <c r="P77" s="39"/>
      <c r="Q77" s="39">
        <v>6.87</v>
      </c>
      <c r="R77" s="40" t="str">
        <f t="shared" si="11"/>
        <v>NO</v>
      </c>
      <c r="S77" s="40" t="str">
        <f t="shared" si="10"/>
        <v>Bajo</v>
      </c>
      <c r="T77" s="4"/>
      <c r="U77" s="4"/>
      <c r="V77" s="4"/>
      <c r="W77" s="4"/>
    </row>
    <row r="78" spans="1:23" ht="24.75" customHeight="1">
      <c r="A78" s="35" t="s">
        <v>152</v>
      </c>
      <c r="B78" s="36" t="s">
        <v>79</v>
      </c>
      <c r="C78" s="37" t="s">
        <v>226</v>
      </c>
      <c r="D78" s="38">
        <v>3703</v>
      </c>
      <c r="E78" s="39">
        <v>2.58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39">
        <v>0.64</v>
      </c>
      <c r="Q78" s="39">
        <v>0.28</v>
      </c>
      <c r="R78" s="40" t="str">
        <f t="shared" si="11"/>
        <v>SI</v>
      </c>
      <c r="S78" s="40" t="str">
        <f t="shared" si="10"/>
        <v>Sin Riesgo</v>
      </c>
      <c r="T78" s="4"/>
      <c r="U78" s="4"/>
      <c r="V78" s="4"/>
      <c r="W78" s="4"/>
    </row>
    <row r="79" spans="1:23" ht="24.75" customHeight="1">
      <c r="A79" s="35" t="s">
        <v>152</v>
      </c>
      <c r="B79" s="36" t="s">
        <v>80</v>
      </c>
      <c r="C79" s="37" t="s">
        <v>227</v>
      </c>
      <c r="D79" s="38">
        <v>1373</v>
      </c>
      <c r="E79" s="39">
        <v>0</v>
      </c>
      <c r="F79" s="39">
        <v>0</v>
      </c>
      <c r="G79" s="39">
        <v>0</v>
      </c>
      <c r="H79" s="39">
        <v>0.88</v>
      </c>
      <c r="I79" s="39">
        <v>0</v>
      </c>
      <c r="J79" s="39">
        <v>0</v>
      </c>
      <c r="K79" s="39">
        <v>2.58</v>
      </c>
      <c r="L79" s="39">
        <v>0.64</v>
      </c>
      <c r="M79" s="39">
        <v>0</v>
      </c>
      <c r="N79" s="39">
        <v>0</v>
      </c>
      <c r="O79" s="39">
        <v>0</v>
      </c>
      <c r="P79" s="39">
        <v>0</v>
      </c>
      <c r="Q79" s="39">
        <v>0.34</v>
      </c>
      <c r="R79" s="40" t="str">
        <f t="shared" si="11"/>
        <v>SI</v>
      </c>
      <c r="S79" s="40" t="str">
        <f t="shared" si="10"/>
        <v>Sin Riesgo</v>
      </c>
      <c r="T79" s="4"/>
      <c r="U79" s="4"/>
      <c r="V79" s="4"/>
      <c r="W79" s="4"/>
    </row>
    <row r="80" spans="1:23" ht="24.75" customHeight="1">
      <c r="A80" s="35" t="s">
        <v>153</v>
      </c>
      <c r="B80" s="36" t="s">
        <v>81</v>
      </c>
      <c r="C80" s="37" t="s">
        <v>18</v>
      </c>
      <c r="D80" s="38">
        <v>749</v>
      </c>
      <c r="E80" s="39"/>
      <c r="F80" s="39"/>
      <c r="G80" s="39"/>
      <c r="H80" s="39">
        <v>0</v>
      </c>
      <c r="I80" s="39">
        <v>0</v>
      </c>
      <c r="J80" s="39">
        <v>0</v>
      </c>
      <c r="K80" s="39">
        <v>0</v>
      </c>
      <c r="L80" s="39">
        <v>8.85</v>
      </c>
      <c r="M80" s="39">
        <v>0</v>
      </c>
      <c r="N80" s="39">
        <v>0</v>
      </c>
      <c r="O80" s="39">
        <v>0</v>
      </c>
      <c r="P80" s="39">
        <v>0</v>
      </c>
      <c r="Q80" s="39">
        <v>0.98</v>
      </c>
      <c r="R80" s="40" t="str">
        <f t="shared" si="11"/>
        <v>SI</v>
      </c>
      <c r="S80" s="40" t="str">
        <f t="shared" si="10"/>
        <v>Sin Riesgo</v>
      </c>
      <c r="T80" s="4"/>
      <c r="U80" s="4"/>
      <c r="V80" s="4"/>
      <c r="W80" s="4"/>
    </row>
    <row r="81" spans="1:23" ht="24.75" customHeight="1">
      <c r="A81" s="35" t="s">
        <v>154</v>
      </c>
      <c r="B81" s="36" t="s">
        <v>82</v>
      </c>
      <c r="C81" s="37" t="s">
        <v>19</v>
      </c>
      <c r="D81" s="38">
        <v>899</v>
      </c>
      <c r="E81" s="39"/>
      <c r="F81" s="39"/>
      <c r="G81" s="39"/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40" t="str">
        <f t="shared" si="11"/>
        <v>SI</v>
      </c>
      <c r="S81" s="40" t="str">
        <f t="shared" si="10"/>
        <v>Sin Riesgo</v>
      </c>
      <c r="T81" s="4"/>
      <c r="U81" s="4"/>
      <c r="V81" s="4"/>
      <c r="W81" s="4"/>
    </row>
    <row r="82" spans="1:23" ht="24.75" customHeight="1">
      <c r="A82" s="35" t="s">
        <v>149</v>
      </c>
      <c r="B82" s="47" t="s">
        <v>83</v>
      </c>
      <c r="C82" s="37" t="s">
        <v>9</v>
      </c>
      <c r="D82" s="38">
        <v>62032</v>
      </c>
      <c r="E82" s="39"/>
      <c r="F82" s="39"/>
      <c r="G82" s="39"/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2.73</v>
      </c>
      <c r="O82" s="39">
        <v>0</v>
      </c>
      <c r="P82" s="39">
        <v>0</v>
      </c>
      <c r="Q82" s="39">
        <v>0.29</v>
      </c>
      <c r="R82" s="40" t="str">
        <f t="shared" si="11"/>
        <v>SI</v>
      </c>
      <c r="S82" s="40" t="str">
        <f t="shared" si="10"/>
        <v>Sin Riesgo</v>
      </c>
      <c r="T82" s="4"/>
      <c r="U82" s="4"/>
      <c r="V82" s="4"/>
      <c r="W82" s="4"/>
    </row>
    <row r="83" spans="1:23" ht="33" customHeight="1">
      <c r="A83" s="35" t="s">
        <v>156</v>
      </c>
      <c r="B83" s="36" t="s">
        <v>84</v>
      </c>
      <c r="C83" s="41" t="s">
        <v>228</v>
      </c>
      <c r="D83" s="42">
        <v>1608</v>
      </c>
      <c r="E83" s="39"/>
      <c r="F83" s="39"/>
      <c r="G83" s="39"/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40" t="str">
        <f t="shared" si="11"/>
        <v>SI</v>
      </c>
      <c r="S83" s="40" t="str">
        <f t="shared" si="10"/>
        <v>Sin Riesgo</v>
      </c>
      <c r="T83" s="4"/>
      <c r="U83" s="4"/>
      <c r="V83" s="4"/>
      <c r="W83" s="4"/>
    </row>
    <row r="84" spans="1:23" ht="24.75" customHeight="1">
      <c r="A84" s="35" t="s">
        <v>154</v>
      </c>
      <c r="B84" s="36" t="s">
        <v>85</v>
      </c>
      <c r="C84" s="37" t="s">
        <v>229</v>
      </c>
      <c r="D84" s="38">
        <v>2191</v>
      </c>
      <c r="E84" s="39"/>
      <c r="F84" s="39"/>
      <c r="G84" s="39"/>
      <c r="H84" s="39">
        <v>0.64</v>
      </c>
      <c r="I84" s="39">
        <v>0</v>
      </c>
      <c r="J84" s="39">
        <v>0</v>
      </c>
      <c r="K84" s="39">
        <v>8.85</v>
      </c>
      <c r="L84" s="39">
        <v>0</v>
      </c>
      <c r="M84" s="39">
        <v>0</v>
      </c>
      <c r="N84" s="39">
        <v>0</v>
      </c>
      <c r="O84" s="39">
        <v>9.03</v>
      </c>
      <c r="P84" s="39">
        <v>0.88</v>
      </c>
      <c r="Q84" s="39">
        <v>2.16</v>
      </c>
      <c r="R84" s="40" t="str">
        <f t="shared" si="11"/>
        <v>SI</v>
      </c>
      <c r="S84" s="40" t="str">
        <f t="shared" si="10"/>
        <v>Sin Riesgo</v>
      </c>
      <c r="T84" s="4"/>
      <c r="U84" s="4"/>
      <c r="V84" s="4"/>
      <c r="W84" s="4"/>
    </row>
    <row r="85" spans="1:23" ht="24.75" customHeight="1">
      <c r="A85" s="35" t="s">
        <v>154</v>
      </c>
      <c r="B85" s="36" t="s">
        <v>294</v>
      </c>
      <c r="C85" s="37" t="s">
        <v>230</v>
      </c>
      <c r="D85" s="38">
        <v>2241</v>
      </c>
      <c r="E85" s="39"/>
      <c r="F85" s="39"/>
      <c r="G85" s="39"/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8.85</v>
      </c>
      <c r="O85" s="39">
        <v>0</v>
      </c>
      <c r="P85" s="39">
        <v>0</v>
      </c>
      <c r="Q85" s="39">
        <v>0.98</v>
      </c>
      <c r="R85" s="40" t="str">
        <f t="shared" si="11"/>
        <v>SI</v>
      </c>
      <c r="S85" s="40" t="str">
        <f t="shared" si="10"/>
        <v>Sin Riesgo</v>
      </c>
      <c r="T85" s="4"/>
      <c r="U85" s="4"/>
      <c r="V85" s="4"/>
      <c r="W85" s="4"/>
    </row>
    <row r="86" spans="1:23" ht="24.75" customHeight="1">
      <c r="A86" s="35" t="s">
        <v>152</v>
      </c>
      <c r="B86" s="36" t="s">
        <v>86</v>
      </c>
      <c r="C86" s="37" t="s">
        <v>231</v>
      </c>
      <c r="D86" s="38">
        <v>7158</v>
      </c>
      <c r="E86" s="39">
        <v>0</v>
      </c>
      <c r="F86" s="39">
        <v>0</v>
      </c>
      <c r="G86" s="39">
        <v>5.31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39">
        <v>0.46</v>
      </c>
      <c r="R86" s="40" t="str">
        <f t="shared" si="11"/>
        <v>SI</v>
      </c>
      <c r="S86" s="40" t="str">
        <f t="shared" si="10"/>
        <v>Sin Riesgo</v>
      </c>
      <c r="T86" s="4"/>
      <c r="U86" s="4"/>
      <c r="V86" s="4"/>
      <c r="W86" s="4"/>
    </row>
    <row r="87" spans="1:23" ht="24.75" customHeight="1">
      <c r="A87" s="35" t="s">
        <v>152</v>
      </c>
      <c r="B87" s="36" t="s">
        <v>86</v>
      </c>
      <c r="C87" s="37" t="s">
        <v>232</v>
      </c>
      <c r="D87" s="38">
        <v>1375</v>
      </c>
      <c r="E87" s="39">
        <v>0</v>
      </c>
      <c r="F87" s="39">
        <v>13.27</v>
      </c>
      <c r="G87" s="39">
        <v>8.85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2.58</v>
      </c>
      <c r="N87" s="39">
        <v>0</v>
      </c>
      <c r="O87" s="39">
        <v>0</v>
      </c>
      <c r="P87" s="39">
        <v>0</v>
      </c>
      <c r="Q87" s="39">
        <v>1.69</v>
      </c>
      <c r="R87" s="40" t="str">
        <f t="shared" si="11"/>
        <v>SI</v>
      </c>
      <c r="S87" s="40" t="str">
        <f t="shared" si="10"/>
        <v>Sin Riesgo</v>
      </c>
      <c r="T87" s="4"/>
      <c r="U87" s="4"/>
      <c r="V87" s="4"/>
      <c r="W87" s="4"/>
    </row>
    <row r="88" spans="1:23" ht="35.25" customHeight="1">
      <c r="A88" s="35" t="s">
        <v>152</v>
      </c>
      <c r="B88" s="36" t="s">
        <v>86</v>
      </c>
      <c r="C88" s="37" t="s">
        <v>233</v>
      </c>
      <c r="D88" s="38">
        <v>975</v>
      </c>
      <c r="E88" s="39">
        <v>0</v>
      </c>
      <c r="F88" s="39">
        <v>0</v>
      </c>
      <c r="G88" s="39">
        <v>8.85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2.58</v>
      </c>
      <c r="N88" s="39">
        <v>0</v>
      </c>
      <c r="O88" s="39">
        <v>0</v>
      </c>
      <c r="P88" s="39">
        <v>0</v>
      </c>
      <c r="Q88" s="39">
        <v>0.95</v>
      </c>
      <c r="R88" s="40" t="str">
        <f t="shared" si="11"/>
        <v>SI</v>
      </c>
      <c r="S88" s="40" t="str">
        <f t="shared" si="10"/>
        <v>Sin Riesgo</v>
      </c>
      <c r="T88" s="4"/>
      <c r="U88" s="4"/>
      <c r="V88" s="4"/>
      <c r="W88" s="4"/>
    </row>
    <row r="89" spans="1:23" ht="27" customHeight="1">
      <c r="A89" s="35" t="s">
        <v>149</v>
      </c>
      <c r="B89" s="36" t="s">
        <v>87</v>
      </c>
      <c r="C89" s="37" t="s">
        <v>9</v>
      </c>
      <c r="D89" s="38">
        <v>7243</v>
      </c>
      <c r="E89" s="39"/>
      <c r="F89" s="39"/>
      <c r="G89" s="39"/>
      <c r="H89" s="39"/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40" t="str">
        <f t="shared" si="11"/>
        <v>SI</v>
      </c>
      <c r="S89" s="40" t="str">
        <f t="shared" si="10"/>
        <v>Sin Riesgo</v>
      </c>
      <c r="T89" s="4"/>
      <c r="U89" s="4"/>
      <c r="V89" s="4"/>
      <c r="W89" s="4"/>
    </row>
    <row r="90" spans="1:23" ht="24.75" customHeight="1">
      <c r="A90" s="35" t="s">
        <v>154</v>
      </c>
      <c r="B90" s="36" t="s">
        <v>88</v>
      </c>
      <c r="C90" s="37" t="s">
        <v>234</v>
      </c>
      <c r="D90" s="38">
        <v>400</v>
      </c>
      <c r="E90" s="39"/>
      <c r="F90" s="39"/>
      <c r="G90" s="39"/>
      <c r="H90" s="39">
        <v>33.18</v>
      </c>
      <c r="I90" s="39">
        <v>24.85</v>
      </c>
      <c r="J90" s="39">
        <v>39.82</v>
      </c>
      <c r="K90" s="39">
        <v>13.27</v>
      </c>
      <c r="L90" s="39">
        <v>56.04</v>
      </c>
      <c r="M90" s="39">
        <v>9.73</v>
      </c>
      <c r="N90" s="39">
        <v>15.3</v>
      </c>
      <c r="O90" s="39">
        <v>47.74</v>
      </c>
      <c r="P90" s="39">
        <v>56.78</v>
      </c>
      <c r="Q90" s="39">
        <v>33.48</v>
      </c>
      <c r="R90" s="40" t="str">
        <f t="shared" si="11"/>
        <v>NO</v>
      </c>
      <c r="S90" s="40" t="str">
        <f t="shared" si="10"/>
        <v>Medio</v>
      </c>
      <c r="T90" s="4"/>
      <c r="U90" s="4"/>
      <c r="V90" s="4"/>
      <c r="W90" s="4"/>
    </row>
    <row r="91" spans="1:23" ht="24.75" customHeight="1">
      <c r="A91" s="35" t="s">
        <v>154</v>
      </c>
      <c r="B91" s="36" t="s">
        <v>88</v>
      </c>
      <c r="C91" s="37" t="s">
        <v>235</v>
      </c>
      <c r="D91" s="38">
        <v>1182</v>
      </c>
      <c r="E91" s="39"/>
      <c r="F91" s="39"/>
      <c r="G91" s="39"/>
      <c r="H91" s="39">
        <v>96.94</v>
      </c>
      <c r="I91" s="39">
        <v>96.79</v>
      </c>
      <c r="J91" s="39">
        <v>96.38</v>
      </c>
      <c r="K91" s="39">
        <v>80.19</v>
      </c>
      <c r="L91" s="39">
        <v>95.29</v>
      </c>
      <c r="M91" s="39">
        <v>96.79</v>
      </c>
      <c r="N91" s="39">
        <v>85.59</v>
      </c>
      <c r="O91" s="39">
        <v>97.11</v>
      </c>
      <c r="P91" s="39">
        <v>96.79</v>
      </c>
      <c r="Q91" s="39">
        <v>93.96</v>
      </c>
      <c r="R91" s="40" t="str">
        <f t="shared" si="11"/>
        <v>NO</v>
      </c>
      <c r="S91" s="40" t="str">
        <f t="shared" si="10"/>
        <v>Inviable Sanitariamente</v>
      </c>
      <c r="T91" s="4"/>
      <c r="U91" s="4"/>
      <c r="V91" s="4"/>
      <c r="W91" s="4"/>
    </row>
    <row r="92" spans="1:23" ht="24.75" customHeight="1">
      <c r="A92" s="35" t="s">
        <v>152</v>
      </c>
      <c r="B92" s="36" t="s">
        <v>89</v>
      </c>
      <c r="C92" s="37" t="s">
        <v>236</v>
      </c>
      <c r="D92" s="38">
        <v>2401</v>
      </c>
      <c r="E92" s="39">
        <v>0</v>
      </c>
      <c r="F92" s="39">
        <v>0</v>
      </c>
      <c r="G92" s="39">
        <v>0</v>
      </c>
      <c r="H92" s="39">
        <v>0</v>
      </c>
      <c r="I92" s="39">
        <v>0.64</v>
      </c>
      <c r="J92" s="39">
        <v>8.85</v>
      </c>
      <c r="K92" s="39">
        <v>0</v>
      </c>
      <c r="L92" s="39">
        <v>0</v>
      </c>
      <c r="M92" s="39">
        <v>11.43</v>
      </c>
      <c r="N92" s="39">
        <v>0</v>
      </c>
      <c r="O92" s="39">
        <v>0.64</v>
      </c>
      <c r="P92" s="39">
        <v>0</v>
      </c>
      <c r="Q92" s="39">
        <v>1.8</v>
      </c>
      <c r="R92" s="40" t="str">
        <f t="shared" si="11"/>
        <v>SI</v>
      </c>
      <c r="S92" s="40" t="str">
        <f t="shared" si="10"/>
        <v>Sin Riesgo</v>
      </c>
      <c r="T92" s="4"/>
      <c r="U92" s="4"/>
      <c r="V92" s="4"/>
      <c r="W92" s="4"/>
    </row>
    <row r="93" spans="1:23" ht="33" customHeight="1">
      <c r="A93" s="35" t="s">
        <v>153</v>
      </c>
      <c r="B93" s="36" t="s">
        <v>90</v>
      </c>
      <c r="C93" s="37" t="s">
        <v>237</v>
      </c>
      <c r="D93" s="38">
        <v>639</v>
      </c>
      <c r="E93" s="39"/>
      <c r="F93" s="39"/>
      <c r="G93" s="39"/>
      <c r="H93" s="39">
        <v>8.85</v>
      </c>
      <c r="I93" s="39">
        <v>0</v>
      </c>
      <c r="J93" s="39">
        <v>0</v>
      </c>
      <c r="K93" s="39">
        <v>8.85</v>
      </c>
      <c r="L93" s="39">
        <v>0</v>
      </c>
      <c r="M93" s="39">
        <v>8.85</v>
      </c>
      <c r="N93" s="39">
        <v>0</v>
      </c>
      <c r="O93" s="39">
        <v>0</v>
      </c>
      <c r="P93" s="39">
        <v>0</v>
      </c>
      <c r="Q93" s="39">
        <v>3.06</v>
      </c>
      <c r="R93" s="40" t="str">
        <f t="shared" si="11"/>
        <v>SI</v>
      </c>
      <c r="S93" s="40" t="str">
        <f t="shared" si="10"/>
        <v>Sin Riesgo</v>
      </c>
      <c r="T93" s="4"/>
      <c r="U93" s="4"/>
      <c r="V93" s="4"/>
      <c r="W93" s="4"/>
    </row>
    <row r="94" spans="1:23" ht="24.75" customHeight="1">
      <c r="A94" s="35" t="s">
        <v>159</v>
      </c>
      <c r="B94" s="36" t="s">
        <v>91</v>
      </c>
      <c r="C94" s="37" t="s">
        <v>238</v>
      </c>
      <c r="D94" s="38">
        <v>818</v>
      </c>
      <c r="E94" s="39"/>
      <c r="F94" s="39"/>
      <c r="G94" s="39"/>
      <c r="H94" s="39">
        <v>6.45</v>
      </c>
      <c r="I94" s="39">
        <v>2.58</v>
      </c>
      <c r="J94" s="39">
        <v>0</v>
      </c>
      <c r="K94" s="39">
        <v>26.23</v>
      </c>
      <c r="L94" s="39">
        <v>8.85</v>
      </c>
      <c r="M94" s="39">
        <v>0</v>
      </c>
      <c r="N94" s="39">
        <v>0</v>
      </c>
      <c r="O94" s="39">
        <v>0.64</v>
      </c>
      <c r="P94" s="39">
        <v>0</v>
      </c>
      <c r="Q94" s="39">
        <v>5.37</v>
      </c>
      <c r="R94" s="40" t="str">
        <f t="shared" si="11"/>
        <v>NO</v>
      </c>
      <c r="S94" s="40" t="str">
        <f t="shared" si="10"/>
        <v>Bajo</v>
      </c>
      <c r="T94" s="4"/>
      <c r="U94" s="4"/>
      <c r="V94" s="4"/>
      <c r="W94" s="4"/>
    </row>
    <row r="95" spans="1:23" ht="30" customHeight="1">
      <c r="A95" s="35" t="s">
        <v>152</v>
      </c>
      <c r="B95" s="36" t="s">
        <v>92</v>
      </c>
      <c r="C95" s="37" t="s">
        <v>239</v>
      </c>
      <c r="D95" s="38">
        <v>8656</v>
      </c>
      <c r="E95" s="39">
        <v>0</v>
      </c>
      <c r="F95" s="39">
        <v>0</v>
      </c>
      <c r="G95" s="39">
        <v>0</v>
      </c>
      <c r="H95" s="39">
        <v>5.42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0.53</v>
      </c>
      <c r="Q95" s="39">
        <v>0.52</v>
      </c>
      <c r="R95" s="40" t="str">
        <f t="shared" si="11"/>
        <v>SI</v>
      </c>
      <c r="S95" s="40" t="str">
        <f t="shared" si="10"/>
        <v>Sin Riesgo</v>
      </c>
      <c r="T95" s="4"/>
      <c r="U95" s="4"/>
      <c r="V95" s="4"/>
      <c r="W95" s="4"/>
    </row>
    <row r="96" spans="1:23" ht="24.75" customHeight="1">
      <c r="A96" s="35" t="s">
        <v>152</v>
      </c>
      <c r="B96" s="36" t="s">
        <v>92</v>
      </c>
      <c r="C96" s="37" t="s">
        <v>240</v>
      </c>
      <c r="D96" s="38">
        <v>854</v>
      </c>
      <c r="E96" s="39">
        <v>0</v>
      </c>
      <c r="F96" s="39">
        <v>0</v>
      </c>
      <c r="G96" s="39">
        <v>0.88</v>
      </c>
      <c r="H96" s="39">
        <v>9.91</v>
      </c>
      <c r="I96" s="39">
        <v>2.58</v>
      </c>
      <c r="J96" s="39">
        <v>9.49</v>
      </c>
      <c r="K96" s="39">
        <v>0.88</v>
      </c>
      <c r="L96" s="39">
        <v>0.88</v>
      </c>
      <c r="M96" s="39">
        <v>3.22</v>
      </c>
      <c r="N96" s="39">
        <v>6.45</v>
      </c>
      <c r="O96" s="39">
        <v>1.53</v>
      </c>
      <c r="P96" s="39">
        <v>0.64</v>
      </c>
      <c r="Q96" s="39">
        <v>3.04</v>
      </c>
      <c r="R96" s="40" t="str">
        <f t="shared" si="11"/>
        <v>SI</v>
      </c>
      <c r="S96" s="40" t="str">
        <f t="shared" si="10"/>
        <v>Sin Riesgo</v>
      </c>
      <c r="T96" s="4"/>
      <c r="U96" s="4"/>
      <c r="V96" s="4"/>
      <c r="W96" s="4"/>
    </row>
    <row r="97" spans="1:23" ht="24.75" customHeight="1">
      <c r="A97" s="35" t="s">
        <v>149</v>
      </c>
      <c r="B97" s="36" t="s">
        <v>93</v>
      </c>
      <c r="C97" s="37" t="s">
        <v>9</v>
      </c>
      <c r="D97" s="38">
        <v>827165</v>
      </c>
      <c r="E97" s="39">
        <v>0.18</v>
      </c>
      <c r="F97" s="39">
        <v>0.13</v>
      </c>
      <c r="G97" s="39">
        <v>0.09</v>
      </c>
      <c r="H97" s="39">
        <v>0.31</v>
      </c>
      <c r="I97" s="39">
        <v>0.79</v>
      </c>
      <c r="J97" s="39">
        <v>1.15</v>
      </c>
      <c r="K97" s="39">
        <v>0.14</v>
      </c>
      <c r="L97" s="39">
        <v>0.7</v>
      </c>
      <c r="M97" s="39">
        <v>1.23</v>
      </c>
      <c r="N97" s="39">
        <v>0</v>
      </c>
      <c r="O97" s="39">
        <v>0.34</v>
      </c>
      <c r="P97" s="39">
        <v>1.38</v>
      </c>
      <c r="Q97" s="39">
        <v>0.53</v>
      </c>
      <c r="R97" s="40" t="str">
        <f t="shared" si="11"/>
        <v>SI</v>
      </c>
      <c r="S97" s="40" t="str">
        <f t="shared" si="10"/>
        <v>Sin Riesgo</v>
      </c>
      <c r="T97" s="4"/>
      <c r="U97" s="4"/>
      <c r="V97" s="4"/>
      <c r="W97" s="4"/>
    </row>
    <row r="98" spans="1:23" ht="24.75" customHeight="1">
      <c r="A98" s="35" t="s">
        <v>154</v>
      </c>
      <c r="B98" s="36" t="s">
        <v>94</v>
      </c>
      <c r="C98" s="37" t="s">
        <v>20</v>
      </c>
      <c r="D98" s="38">
        <v>535</v>
      </c>
      <c r="E98" s="39"/>
      <c r="F98" s="39"/>
      <c r="G98" s="39"/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39">
        <v>0</v>
      </c>
      <c r="R98" s="40" t="str">
        <f t="shared" si="11"/>
        <v>SI</v>
      </c>
      <c r="S98" s="40" t="str">
        <f t="shared" si="10"/>
        <v>Sin Riesgo</v>
      </c>
      <c r="T98" s="4"/>
      <c r="U98" s="4"/>
      <c r="V98" s="4"/>
      <c r="W98" s="4"/>
    </row>
    <row r="99" spans="1:23" ht="24.75" customHeight="1">
      <c r="A99" s="35" t="s">
        <v>157</v>
      </c>
      <c r="B99" s="36" t="s">
        <v>295</v>
      </c>
      <c r="C99" s="37" t="s">
        <v>187</v>
      </c>
      <c r="D99" s="38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 t="s">
        <v>290</v>
      </c>
      <c r="R99" s="40" t="s">
        <v>290</v>
      </c>
      <c r="S99" s="40" t="s">
        <v>290</v>
      </c>
      <c r="T99" s="4"/>
      <c r="U99" s="4"/>
      <c r="V99" s="4"/>
      <c r="W99" s="4"/>
    </row>
    <row r="100" spans="1:23" ht="24.75" customHeight="1">
      <c r="A100" s="35" t="s">
        <v>157</v>
      </c>
      <c r="B100" s="36" t="s">
        <v>95</v>
      </c>
      <c r="C100" s="37" t="s">
        <v>241</v>
      </c>
      <c r="D100" s="38">
        <v>889</v>
      </c>
      <c r="E100" s="39">
        <v>0</v>
      </c>
      <c r="F100" s="39">
        <v>5.88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39">
        <v>0</v>
      </c>
      <c r="Q100" s="39">
        <v>0.49</v>
      </c>
      <c r="R100" s="40" t="str">
        <f>IF(Q100&lt;=5,"SI","NO")</f>
        <v>SI</v>
      </c>
      <c r="S100" s="40" t="str">
        <f>IF(Q100&lt;=5,"Sin Riesgo",IF(Q100&lt;=14,"Bajo",IF(Q100&lt;=35,"Medio",IF(Q100&lt;=80,"Alto","Inviable Sanitariamente"))))</f>
        <v>Sin Riesgo</v>
      </c>
      <c r="T100" s="4"/>
      <c r="U100" s="4"/>
      <c r="V100" s="4"/>
      <c r="W100" s="4"/>
    </row>
    <row r="101" spans="1:23" ht="24.75" customHeight="1">
      <c r="A101" s="35" t="s">
        <v>157</v>
      </c>
      <c r="B101" s="36" t="s">
        <v>95</v>
      </c>
      <c r="C101" s="37" t="s">
        <v>242</v>
      </c>
      <c r="D101" s="38">
        <v>610</v>
      </c>
      <c r="E101" s="39">
        <v>0</v>
      </c>
      <c r="F101" s="39">
        <v>0</v>
      </c>
      <c r="G101" s="39">
        <v>6.45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39">
        <v>0</v>
      </c>
      <c r="Q101" s="39">
        <v>0.54</v>
      </c>
      <c r="R101" s="40" t="str">
        <f t="shared" si="11"/>
        <v>SI</v>
      </c>
      <c r="S101" s="40" t="str">
        <f t="shared" si="10"/>
        <v>Sin Riesgo</v>
      </c>
      <c r="T101" s="4"/>
      <c r="U101" s="4"/>
      <c r="V101" s="4"/>
      <c r="W101" s="4"/>
    </row>
    <row r="102" spans="1:23" ht="30" customHeight="1">
      <c r="A102" s="35" t="s">
        <v>152</v>
      </c>
      <c r="B102" s="41" t="s">
        <v>96</v>
      </c>
      <c r="C102" s="37" t="s">
        <v>243</v>
      </c>
      <c r="D102" s="38">
        <v>667</v>
      </c>
      <c r="E102" s="39"/>
      <c r="F102" s="39"/>
      <c r="G102" s="39"/>
      <c r="H102" s="39">
        <v>89.43</v>
      </c>
      <c r="I102" s="39">
        <v>85.59</v>
      </c>
      <c r="J102" s="39">
        <v>88.55</v>
      </c>
      <c r="K102" s="39">
        <v>86.23</v>
      </c>
      <c r="L102" s="39">
        <v>84.61</v>
      </c>
      <c r="M102" s="39">
        <v>88.23</v>
      </c>
      <c r="N102" s="39">
        <v>88.55</v>
      </c>
      <c r="O102" s="39">
        <v>82.83</v>
      </c>
      <c r="P102" s="39">
        <v>41.48</v>
      </c>
      <c r="Q102" s="39">
        <v>81.72</v>
      </c>
      <c r="R102" s="40" t="str">
        <f>IF(Q102&lt;=5,"SI","NO")</f>
        <v>NO</v>
      </c>
      <c r="S102" s="40" t="str">
        <f>IF(Q102&lt;=5,"Sin Riesgo",IF(Q102&lt;=14,"Bajo",IF(Q102&lt;=35,"Medio",IF(Q102&lt;=80,"Alto","Inviable Sanitariamente"))))</f>
        <v>Inviable Sanitariamente</v>
      </c>
      <c r="T102" s="4"/>
      <c r="U102" s="4"/>
      <c r="V102" s="4"/>
      <c r="W102" s="4"/>
    </row>
    <row r="103" spans="1:23" ht="29.25" customHeight="1">
      <c r="A103" s="35" t="s">
        <v>152</v>
      </c>
      <c r="B103" s="41" t="s">
        <v>96</v>
      </c>
      <c r="C103" s="37" t="s">
        <v>244</v>
      </c>
      <c r="D103" s="38">
        <v>45</v>
      </c>
      <c r="E103" s="39"/>
      <c r="F103" s="39"/>
      <c r="G103" s="39"/>
      <c r="H103" s="39">
        <v>79.57</v>
      </c>
      <c r="I103" s="39">
        <v>85.59</v>
      </c>
      <c r="J103" s="39">
        <v>88.55</v>
      </c>
      <c r="K103" s="39">
        <v>86.23</v>
      </c>
      <c r="L103" s="39">
        <v>84.61</v>
      </c>
      <c r="M103" s="39">
        <v>89.43</v>
      </c>
      <c r="N103" s="39">
        <v>88.55</v>
      </c>
      <c r="O103" s="39">
        <v>91.13</v>
      </c>
      <c r="P103" s="39">
        <v>38.9</v>
      </c>
      <c r="Q103" s="39">
        <v>81.39</v>
      </c>
      <c r="R103" s="40" t="str">
        <f>IF(Q103&lt;=5,"SI","NO")</f>
        <v>NO</v>
      </c>
      <c r="S103" s="40" t="str">
        <f>IF(Q103&lt;=5,"Sin Riesgo",IF(Q103&lt;=14,"Bajo",IF(Q103&lt;=35,"Medio",IF(Q103&lt;=80,"Alto","Inviable Sanitariamente"))))</f>
        <v>Inviable Sanitariamente</v>
      </c>
      <c r="T103" s="4"/>
      <c r="U103" s="4"/>
      <c r="V103" s="4"/>
      <c r="W103" s="4"/>
    </row>
    <row r="104" spans="1:23" ht="30" customHeight="1">
      <c r="A104" s="35" t="s">
        <v>152</v>
      </c>
      <c r="B104" s="41" t="s">
        <v>96</v>
      </c>
      <c r="C104" s="37" t="s">
        <v>245</v>
      </c>
      <c r="D104" s="38">
        <v>45</v>
      </c>
      <c r="E104" s="39"/>
      <c r="F104" s="39"/>
      <c r="G104" s="39"/>
      <c r="H104" s="39">
        <v>88.55</v>
      </c>
      <c r="I104" s="39">
        <v>88</v>
      </c>
      <c r="J104" s="39">
        <v>89.43</v>
      </c>
      <c r="K104" s="39">
        <v>87.11</v>
      </c>
      <c r="L104" s="39">
        <v>84.61</v>
      </c>
      <c r="M104" s="39">
        <v>88.23</v>
      </c>
      <c r="N104" s="39">
        <v>88.55</v>
      </c>
      <c r="O104" s="39">
        <v>97.58</v>
      </c>
      <c r="P104" s="39">
        <v>40.99</v>
      </c>
      <c r="Q104" s="39">
        <v>83.67</v>
      </c>
      <c r="R104" s="40" t="str">
        <f>IF(Q104&lt;=5,"SI","NO")</f>
        <v>NO</v>
      </c>
      <c r="S104" s="40" t="str">
        <f>IF(Q104&lt;=5,"Sin Riesgo",IF(Q104&lt;=14,"Bajo",IF(Q104&lt;=35,"Medio",IF(Q104&lt;=80,"Alto","Inviable Sanitariamente"))))</f>
        <v>Inviable Sanitariamente</v>
      </c>
      <c r="T104" s="4"/>
      <c r="U104" s="4"/>
      <c r="V104" s="4"/>
      <c r="W104" s="4"/>
    </row>
    <row r="105" spans="1:23" ht="29.25" customHeight="1">
      <c r="A105" s="35" t="s">
        <v>152</v>
      </c>
      <c r="B105" s="41" t="s">
        <v>96</v>
      </c>
      <c r="C105" s="37" t="s">
        <v>246</v>
      </c>
      <c r="D105" s="38">
        <v>134</v>
      </c>
      <c r="E105" s="39"/>
      <c r="F105" s="39"/>
      <c r="G105" s="39"/>
      <c r="H105" s="39">
        <v>13.27</v>
      </c>
      <c r="I105" s="39">
        <v>16.18</v>
      </c>
      <c r="J105" s="39">
        <v>0</v>
      </c>
      <c r="K105" s="39">
        <v>0</v>
      </c>
      <c r="L105" s="39">
        <v>6.21</v>
      </c>
      <c r="M105" s="39">
        <v>8.85</v>
      </c>
      <c r="N105" s="39">
        <v>6.45</v>
      </c>
      <c r="O105" s="39">
        <v>6.45</v>
      </c>
      <c r="P105" s="39">
        <v>0</v>
      </c>
      <c r="Q105" s="39">
        <v>7.61</v>
      </c>
      <c r="R105" s="40" t="str">
        <f t="shared" si="11"/>
        <v>NO</v>
      </c>
      <c r="S105" s="40" t="str">
        <f t="shared" si="10"/>
        <v>Bajo</v>
      </c>
      <c r="T105" s="4"/>
      <c r="U105" s="4"/>
      <c r="V105" s="4"/>
      <c r="W105" s="4"/>
    </row>
    <row r="106" spans="1:23" ht="24.75" customHeight="1">
      <c r="A106" s="35" t="s">
        <v>158</v>
      </c>
      <c r="B106" s="36" t="s">
        <v>97</v>
      </c>
      <c r="C106" s="37" t="s">
        <v>247</v>
      </c>
      <c r="D106" s="38">
        <v>1793</v>
      </c>
      <c r="E106" s="39"/>
      <c r="F106" s="39"/>
      <c r="G106" s="39"/>
      <c r="H106" s="39">
        <v>25.81</v>
      </c>
      <c r="I106" s="39">
        <v>70.88</v>
      </c>
      <c r="J106" s="39">
        <v>0</v>
      </c>
      <c r="K106" s="39">
        <v>13.27</v>
      </c>
      <c r="L106" s="39">
        <v>48.67</v>
      </c>
      <c r="M106" s="39">
        <v>0</v>
      </c>
      <c r="N106" s="39">
        <v>0</v>
      </c>
      <c r="O106" s="39">
        <v>13.27</v>
      </c>
      <c r="P106" s="39">
        <v>9.68</v>
      </c>
      <c r="Q106" s="39">
        <v>22.7</v>
      </c>
      <c r="R106" s="40" t="str">
        <f t="shared" si="11"/>
        <v>NO</v>
      </c>
      <c r="S106" s="40" t="str">
        <f t="shared" si="10"/>
        <v>Medio</v>
      </c>
      <c r="T106" s="4"/>
      <c r="U106" s="4"/>
      <c r="V106" s="4"/>
      <c r="W106" s="4"/>
    </row>
    <row r="107" spans="1:23" ht="24.75" customHeight="1">
      <c r="A107" s="35" t="s">
        <v>157</v>
      </c>
      <c r="B107" s="36" t="s">
        <v>98</v>
      </c>
      <c r="C107" s="37" t="s">
        <v>193</v>
      </c>
      <c r="D107" s="38">
        <v>2241</v>
      </c>
      <c r="E107" s="39">
        <v>5.16</v>
      </c>
      <c r="F107" s="39">
        <v>7.06</v>
      </c>
      <c r="G107" s="39">
        <v>7.98</v>
      </c>
      <c r="H107" s="39">
        <v>7.33</v>
      </c>
      <c r="I107" s="39">
        <v>0</v>
      </c>
      <c r="J107" s="39">
        <v>0</v>
      </c>
      <c r="K107" s="39">
        <v>0.64</v>
      </c>
      <c r="L107" s="39">
        <v>0.64</v>
      </c>
      <c r="M107" s="39">
        <v>0.88</v>
      </c>
      <c r="N107" s="39">
        <v>0</v>
      </c>
      <c r="O107" s="39">
        <v>0</v>
      </c>
      <c r="P107" s="39">
        <v>0</v>
      </c>
      <c r="Q107" s="39">
        <v>2.47</v>
      </c>
      <c r="R107" s="40" t="str">
        <f t="shared" si="11"/>
        <v>SI</v>
      </c>
      <c r="S107" s="40" t="str">
        <f t="shared" si="10"/>
        <v>Sin Riesgo</v>
      </c>
      <c r="T107" s="4"/>
      <c r="U107" s="4"/>
      <c r="V107" s="4"/>
      <c r="W107" s="4"/>
    </row>
    <row r="108" spans="1:23" ht="24.75" customHeight="1">
      <c r="A108" s="35" t="s">
        <v>153</v>
      </c>
      <c r="B108" s="36" t="s">
        <v>99</v>
      </c>
      <c r="C108" s="37" t="s">
        <v>248</v>
      </c>
      <c r="D108" s="38">
        <v>62</v>
      </c>
      <c r="E108" s="39"/>
      <c r="F108" s="39"/>
      <c r="G108" s="39"/>
      <c r="H108" s="39">
        <v>6.45</v>
      </c>
      <c r="I108" s="39">
        <v>17.69</v>
      </c>
      <c r="J108" s="39">
        <v>8.85</v>
      </c>
      <c r="K108" s="39">
        <v>32.45</v>
      </c>
      <c r="L108" s="39">
        <v>0</v>
      </c>
      <c r="M108" s="39">
        <v>32.5</v>
      </c>
      <c r="N108" s="39">
        <v>0</v>
      </c>
      <c r="O108" s="39">
        <v>0</v>
      </c>
      <c r="P108" s="39">
        <v>21.75</v>
      </c>
      <c r="Q108" s="39">
        <v>13.3</v>
      </c>
      <c r="R108" s="40" t="str">
        <f t="shared" si="11"/>
        <v>NO</v>
      </c>
      <c r="S108" s="40" t="str">
        <f t="shared" si="10"/>
        <v>Bajo</v>
      </c>
      <c r="T108" s="4"/>
      <c r="U108" s="4"/>
      <c r="V108" s="4"/>
      <c r="W108" s="4"/>
    </row>
    <row r="109" spans="1:23" ht="24.75" customHeight="1">
      <c r="A109" s="35" t="s">
        <v>152</v>
      </c>
      <c r="B109" s="36" t="s">
        <v>100</v>
      </c>
      <c r="C109" s="37" t="s">
        <v>21</v>
      </c>
      <c r="D109" s="38">
        <v>2921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6.45</v>
      </c>
      <c r="L109" s="39">
        <v>0</v>
      </c>
      <c r="M109" s="39">
        <v>0</v>
      </c>
      <c r="N109" s="39">
        <v>2.58</v>
      </c>
      <c r="O109" s="39">
        <v>0</v>
      </c>
      <c r="P109" s="39">
        <v>0</v>
      </c>
      <c r="Q109" s="39">
        <v>0.75</v>
      </c>
      <c r="R109" s="40" t="str">
        <f t="shared" si="11"/>
        <v>SI</v>
      </c>
      <c r="S109" s="40" t="str">
        <f t="shared" si="10"/>
        <v>Sin Riesgo</v>
      </c>
      <c r="T109" s="4"/>
      <c r="U109" s="4"/>
      <c r="V109" s="4"/>
      <c r="W109" s="4"/>
    </row>
    <row r="110" spans="1:23" ht="24.75" customHeight="1">
      <c r="A110" s="35" t="s">
        <v>153</v>
      </c>
      <c r="B110" s="36" t="s">
        <v>101</v>
      </c>
      <c r="C110" s="37" t="s">
        <v>249</v>
      </c>
      <c r="D110" s="38">
        <v>408</v>
      </c>
      <c r="E110" s="39"/>
      <c r="F110" s="39"/>
      <c r="G110" s="39"/>
      <c r="H110" s="39">
        <v>15.3</v>
      </c>
      <c r="I110" s="39">
        <v>17.69</v>
      </c>
      <c r="J110" s="39">
        <v>32.5</v>
      </c>
      <c r="K110" s="39">
        <v>19.35</v>
      </c>
      <c r="L110" s="39">
        <v>8.85</v>
      </c>
      <c r="M110" s="39">
        <v>6.45</v>
      </c>
      <c r="N110" s="39">
        <v>32.63</v>
      </c>
      <c r="O110" s="39">
        <v>0</v>
      </c>
      <c r="P110" s="39">
        <v>38.9</v>
      </c>
      <c r="Q110" s="39">
        <v>19.05</v>
      </c>
      <c r="R110" s="40" t="str">
        <f t="shared" si="11"/>
        <v>NO</v>
      </c>
      <c r="S110" s="40" t="str">
        <f t="shared" si="10"/>
        <v>Medio</v>
      </c>
      <c r="T110" s="4"/>
      <c r="U110" s="4"/>
      <c r="V110" s="4"/>
      <c r="W110" s="4"/>
    </row>
    <row r="111" spans="1:23" ht="30.75" customHeight="1">
      <c r="A111" s="35" t="s">
        <v>154</v>
      </c>
      <c r="B111" s="36" t="s">
        <v>296</v>
      </c>
      <c r="C111" s="37" t="s">
        <v>250</v>
      </c>
      <c r="D111" s="38">
        <v>1278</v>
      </c>
      <c r="E111" s="39"/>
      <c r="F111" s="39"/>
      <c r="G111" s="39"/>
      <c r="H111" s="39">
        <v>0.88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9.03</v>
      </c>
      <c r="Q111" s="39">
        <v>1.14</v>
      </c>
      <c r="R111" s="40" t="str">
        <f t="shared" si="11"/>
        <v>SI</v>
      </c>
      <c r="S111" s="40" t="str">
        <f t="shared" si="10"/>
        <v>Sin Riesgo</v>
      </c>
      <c r="T111" s="4"/>
      <c r="U111" s="4"/>
      <c r="V111" s="4"/>
      <c r="W111" s="4"/>
    </row>
    <row r="112" spans="1:23" ht="24.75" customHeight="1">
      <c r="A112" s="35" t="s">
        <v>159</v>
      </c>
      <c r="B112" s="36" t="s">
        <v>102</v>
      </c>
      <c r="C112" s="37" t="s">
        <v>251</v>
      </c>
      <c r="D112" s="38">
        <v>9227</v>
      </c>
      <c r="E112" s="39"/>
      <c r="F112" s="39"/>
      <c r="G112" s="39"/>
      <c r="H112" s="39">
        <v>15.63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3.87</v>
      </c>
      <c r="O112" s="39">
        <v>0</v>
      </c>
      <c r="P112" s="39">
        <v>3.8</v>
      </c>
      <c r="Q112" s="39">
        <v>2.59</v>
      </c>
      <c r="R112" s="40" t="str">
        <f t="shared" si="11"/>
        <v>SI</v>
      </c>
      <c r="S112" s="40" t="str">
        <f t="shared" si="10"/>
        <v>Sin Riesgo</v>
      </c>
      <c r="T112" s="4"/>
      <c r="U112" s="4"/>
      <c r="V112" s="4"/>
      <c r="W112" s="4"/>
    </row>
    <row r="113" spans="1:23" ht="24.75" customHeight="1">
      <c r="A113" s="35" t="s">
        <v>159</v>
      </c>
      <c r="B113" s="36" t="s">
        <v>103</v>
      </c>
      <c r="C113" s="37" t="s">
        <v>252</v>
      </c>
      <c r="D113" s="38">
        <v>1726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39">
        <v>0</v>
      </c>
      <c r="L113" s="39">
        <v>0</v>
      </c>
      <c r="M113" s="39">
        <v>0</v>
      </c>
      <c r="N113" s="39">
        <v>3.85</v>
      </c>
      <c r="O113" s="39">
        <v>8.85</v>
      </c>
      <c r="P113" s="39">
        <v>0</v>
      </c>
      <c r="Q113" s="39">
        <v>1.52</v>
      </c>
      <c r="R113" s="40" t="str">
        <f t="shared" si="11"/>
        <v>SI</v>
      </c>
      <c r="S113" s="40" t="str">
        <f t="shared" si="10"/>
        <v>Sin Riesgo</v>
      </c>
      <c r="T113" s="4"/>
      <c r="U113" s="4"/>
      <c r="V113" s="4"/>
      <c r="W113" s="4"/>
    </row>
    <row r="114" spans="1:23" ht="24.75" customHeight="1">
      <c r="A114" s="35" t="s">
        <v>159</v>
      </c>
      <c r="B114" s="36" t="s">
        <v>104</v>
      </c>
      <c r="C114" s="41" t="s">
        <v>228</v>
      </c>
      <c r="D114" s="42">
        <v>979</v>
      </c>
      <c r="E114" s="39">
        <v>15.54</v>
      </c>
      <c r="F114" s="39">
        <v>6.45</v>
      </c>
      <c r="G114" s="39">
        <v>0</v>
      </c>
      <c r="H114" s="39">
        <v>13.27</v>
      </c>
      <c r="I114" s="39">
        <v>0</v>
      </c>
      <c r="J114" s="39">
        <v>0</v>
      </c>
      <c r="K114" s="39">
        <v>0.64</v>
      </c>
      <c r="L114" s="39">
        <v>0</v>
      </c>
      <c r="M114" s="39">
        <v>0</v>
      </c>
      <c r="N114" s="39">
        <v>0</v>
      </c>
      <c r="O114" s="39">
        <v>8.85</v>
      </c>
      <c r="P114" s="39">
        <v>0</v>
      </c>
      <c r="Q114" s="39">
        <v>3.18</v>
      </c>
      <c r="R114" s="40" t="str">
        <f t="shared" si="11"/>
        <v>SI</v>
      </c>
      <c r="S114" s="40" t="str">
        <f t="shared" si="10"/>
        <v>Sin Riesgo</v>
      </c>
      <c r="T114" s="4"/>
      <c r="U114" s="4"/>
      <c r="V114" s="4"/>
      <c r="W114" s="4"/>
    </row>
    <row r="115" spans="1:23" ht="24.75" customHeight="1">
      <c r="A115" s="35" t="s">
        <v>155</v>
      </c>
      <c r="B115" s="36" t="s">
        <v>105</v>
      </c>
      <c r="C115" s="37" t="s">
        <v>253</v>
      </c>
      <c r="D115" s="38">
        <v>2219</v>
      </c>
      <c r="E115" s="39"/>
      <c r="F115" s="39"/>
      <c r="G115" s="39"/>
      <c r="H115" s="39">
        <v>0</v>
      </c>
      <c r="I115" s="39">
        <v>0.88</v>
      </c>
      <c r="J115" s="39">
        <v>0</v>
      </c>
      <c r="K115" s="39">
        <v>9.03</v>
      </c>
      <c r="L115" s="39">
        <v>9.09</v>
      </c>
      <c r="M115" s="39">
        <v>9.86</v>
      </c>
      <c r="N115" s="39">
        <v>0</v>
      </c>
      <c r="O115" s="39">
        <v>0</v>
      </c>
      <c r="P115" s="39">
        <v>0.64</v>
      </c>
      <c r="Q115" s="39">
        <v>3.52</v>
      </c>
      <c r="R115" s="40" t="str">
        <f t="shared" si="11"/>
        <v>SI</v>
      </c>
      <c r="S115" s="40" t="str">
        <f t="shared" si="10"/>
        <v>Sin Riesgo</v>
      </c>
      <c r="T115" s="4"/>
      <c r="U115" s="4"/>
      <c r="V115" s="4"/>
      <c r="W115" s="4"/>
    </row>
    <row r="116" spans="1:23" ht="24.75" customHeight="1">
      <c r="A116" s="35" t="s">
        <v>152</v>
      </c>
      <c r="B116" s="36" t="s">
        <v>297</v>
      </c>
      <c r="C116" s="37" t="s">
        <v>22</v>
      </c>
      <c r="D116" s="38">
        <v>2030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0.59</v>
      </c>
      <c r="P116" s="39">
        <v>0</v>
      </c>
      <c r="Q116" s="39">
        <v>0.05</v>
      </c>
      <c r="R116" s="40" t="str">
        <f t="shared" si="11"/>
        <v>SI</v>
      </c>
      <c r="S116" s="40" t="str">
        <f aca="true" t="shared" si="12" ref="S116:S167">IF(Q116&lt;=5,"Sin Riesgo",IF(Q116&lt;=14,"Bajo",IF(Q116&lt;=35,"Medio",IF(Q116&lt;=80,"Alto","Inviable Sanitariamente"))))</f>
        <v>Sin Riesgo</v>
      </c>
      <c r="T116" s="4"/>
      <c r="U116" s="4"/>
      <c r="V116" s="4"/>
      <c r="W116" s="4"/>
    </row>
    <row r="117" spans="1:23" ht="24.75" customHeight="1">
      <c r="A117" s="35" t="s">
        <v>152</v>
      </c>
      <c r="B117" s="36" t="s">
        <v>297</v>
      </c>
      <c r="C117" s="37" t="s">
        <v>254</v>
      </c>
      <c r="D117" s="38">
        <v>295</v>
      </c>
      <c r="E117" s="39">
        <v>0</v>
      </c>
      <c r="F117" s="39">
        <v>0</v>
      </c>
      <c r="G117" s="39">
        <v>13.27</v>
      </c>
      <c r="H117" s="39"/>
      <c r="I117" s="39">
        <v>0</v>
      </c>
      <c r="J117" s="39">
        <v>0</v>
      </c>
      <c r="K117" s="39">
        <v>0</v>
      </c>
      <c r="L117" s="39">
        <v>1.17</v>
      </c>
      <c r="M117" s="39">
        <v>0</v>
      </c>
      <c r="N117" s="39">
        <v>0</v>
      </c>
      <c r="O117" s="39">
        <v>0</v>
      </c>
      <c r="P117" s="39">
        <v>0</v>
      </c>
      <c r="Q117" s="39">
        <v>1.07</v>
      </c>
      <c r="R117" s="40" t="str">
        <f t="shared" si="11"/>
        <v>SI</v>
      </c>
      <c r="S117" s="40" t="str">
        <f t="shared" si="12"/>
        <v>Sin Riesgo</v>
      </c>
      <c r="T117" s="4"/>
      <c r="U117" s="4"/>
      <c r="V117" s="4"/>
      <c r="W117" s="4"/>
    </row>
    <row r="118" spans="1:23" ht="24.75" customHeight="1">
      <c r="A118" s="35" t="s">
        <v>152</v>
      </c>
      <c r="B118" s="36" t="s">
        <v>106</v>
      </c>
      <c r="C118" s="37" t="s">
        <v>255</v>
      </c>
      <c r="D118" s="38">
        <v>22450</v>
      </c>
      <c r="E118" s="39">
        <v>0</v>
      </c>
      <c r="F118" s="39">
        <v>0</v>
      </c>
      <c r="G118" s="39">
        <v>0</v>
      </c>
      <c r="H118" s="39">
        <v>1.55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1.55</v>
      </c>
      <c r="O118" s="39">
        <v>9.29</v>
      </c>
      <c r="P118" s="39">
        <v>0</v>
      </c>
      <c r="Q118" s="39">
        <v>1.11</v>
      </c>
      <c r="R118" s="40" t="str">
        <f t="shared" si="11"/>
        <v>SI</v>
      </c>
      <c r="S118" s="40" t="str">
        <f t="shared" si="12"/>
        <v>Sin Riesgo</v>
      </c>
      <c r="T118" s="4"/>
      <c r="U118" s="4"/>
      <c r="V118" s="4"/>
      <c r="W118" s="4"/>
    </row>
    <row r="119" spans="1:23" ht="33.75" customHeight="1">
      <c r="A119" s="35" t="s">
        <v>153</v>
      </c>
      <c r="B119" s="36" t="s">
        <v>107</v>
      </c>
      <c r="C119" s="37" t="s">
        <v>256</v>
      </c>
      <c r="D119" s="38">
        <v>705</v>
      </c>
      <c r="E119" s="39"/>
      <c r="F119" s="39"/>
      <c r="G119" s="39"/>
      <c r="H119" s="39">
        <v>0</v>
      </c>
      <c r="I119" s="39">
        <v>0</v>
      </c>
      <c r="J119" s="39"/>
      <c r="K119" s="39">
        <v>0</v>
      </c>
      <c r="L119" s="39">
        <v>15.3</v>
      </c>
      <c r="M119" s="39">
        <v>15.3</v>
      </c>
      <c r="N119" s="39">
        <v>8.85</v>
      </c>
      <c r="O119" s="39">
        <v>0</v>
      </c>
      <c r="P119" s="39">
        <v>0</v>
      </c>
      <c r="Q119" s="39">
        <v>5.14</v>
      </c>
      <c r="R119" s="40" t="str">
        <f t="shared" si="11"/>
        <v>NO</v>
      </c>
      <c r="S119" s="40" t="str">
        <f t="shared" si="12"/>
        <v>Bajo</v>
      </c>
      <c r="T119" s="4"/>
      <c r="U119" s="4"/>
      <c r="V119" s="4"/>
      <c r="W119" s="4"/>
    </row>
    <row r="120" spans="1:23" ht="24.75" customHeight="1">
      <c r="A120" s="35" t="s">
        <v>149</v>
      </c>
      <c r="B120" s="36" t="s">
        <v>108</v>
      </c>
      <c r="C120" s="37" t="s">
        <v>9</v>
      </c>
      <c r="D120" s="38">
        <v>11003</v>
      </c>
      <c r="E120" s="39"/>
      <c r="F120" s="39"/>
      <c r="G120" s="39"/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40" t="str">
        <f t="shared" si="11"/>
        <v>SI</v>
      </c>
      <c r="S120" s="40" t="str">
        <f t="shared" si="12"/>
        <v>Sin Riesgo</v>
      </c>
      <c r="T120" s="4"/>
      <c r="U120" s="4"/>
      <c r="V120" s="4"/>
      <c r="W120" s="4"/>
    </row>
    <row r="121" spans="1:23" ht="24.75" customHeight="1">
      <c r="A121" s="35" t="s">
        <v>154</v>
      </c>
      <c r="B121" s="46" t="s">
        <v>109</v>
      </c>
      <c r="C121" s="37" t="s">
        <v>257</v>
      </c>
      <c r="D121" s="38">
        <v>1814</v>
      </c>
      <c r="E121" s="39"/>
      <c r="F121" s="39"/>
      <c r="G121" s="39"/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8.85</v>
      </c>
      <c r="P121" s="39">
        <v>0</v>
      </c>
      <c r="Q121" s="39">
        <v>0.98</v>
      </c>
      <c r="R121" s="40" t="str">
        <f>IF(Q121&lt;=5,"SI","NO")</f>
        <v>SI</v>
      </c>
      <c r="S121" s="40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5" t="s">
        <v>154</v>
      </c>
      <c r="B122" s="46" t="s">
        <v>109</v>
      </c>
      <c r="C122" s="37" t="s">
        <v>258</v>
      </c>
      <c r="D122" s="38">
        <v>145</v>
      </c>
      <c r="E122" s="39"/>
      <c r="F122" s="39"/>
      <c r="G122" s="39"/>
      <c r="H122" s="39">
        <v>8.85</v>
      </c>
      <c r="I122" s="39">
        <v>8.85</v>
      </c>
      <c r="J122" s="39">
        <v>8.85</v>
      </c>
      <c r="K122" s="39">
        <v>0</v>
      </c>
      <c r="L122" s="39">
        <v>12.5</v>
      </c>
      <c r="M122" s="39">
        <v>15.3</v>
      </c>
      <c r="N122" s="39">
        <v>8.85</v>
      </c>
      <c r="O122" s="39">
        <v>17.2</v>
      </c>
      <c r="P122" s="39">
        <v>15.48</v>
      </c>
      <c r="Q122" s="39">
        <v>10.65</v>
      </c>
      <c r="R122" s="40" t="str">
        <f t="shared" si="11"/>
        <v>NO</v>
      </c>
      <c r="S122" s="40" t="str">
        <f t="shared" si="12"/>
        <v>Bajo</v>
      </c>
      <c r="T122" s="4"/>
      <c r="U122" s="4"/>
      <c r="V122" s="4"/>
      <c r="W122" s="4"/>
    </row>
    <row r="123" spans="1:23" ht="39.75" customHeight="1">
      <c r="A123" s="35" t="s">
        <v>156</v>
      </c>
      <c r="B123" s="36" t="s">
        <v>110</v>
      </c>
      <c r="C123" s="37" t="s">
        <v>259</v>
      </c>
      <c r="D123" s="38">
        <v>672</v>
      </c>
      <c r="E123" s="39"/>
      <c r="F123" s="39"/>
      <c r="G123" s="39"/>
      <c r="H123" s="39">
        <v>32.69</v>
      </c>
      <c r="I123" s="39">
        <v>92.83</v>
      </c>
      <c r="J123" s="39">
        <v>77.15</v>
      </c>
      <c r="K123" s="39">
        <v>8.85</v>
      </c>
      <c r="L123" s="39">
        <v>12.9</v>
      </c>
      <c r="M123" s="39">
        <v>0</v>
      </c>
      <c r="N123" s="39">
        <v>35.08</v>
      </c>
      <c r="O123" s="39">
        <v>38.9</v>
      </c>
      <c r="P123" s="39">
        <v>30.05</v>
      </c>
      <c r="Q123" s="39">
        <v>34.33</v>
      </c>
      <c r="R123" s="40" t="str">
        <f t="shared" si="11"/>
        <v>NO</v>
      </c>
      <c r="S123" s="40" t="str">
        <f t="shared" si="12"/>
        <v>Medio</v>
      </c>
      <c r="T123" s="4"/>
      <c r="U123" s="4"/>
      <c r="V123" s="4"/>
      <c r="W123" s="4"/>
    </row>
    <row r="124" spans="1:23" ht="24.75" customHeight="1">
      <c r="A124" s="35" t="s">
        <v>152</v>
      </c>
      <c r="B124" s="36" t="s">
        <v>111</v>
      </c>
      <c r="C124" s="37" t="s">
        <v>260</v>
      </c>
      <c r="D124" s="38">
        <v>2365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0</v>
      </c>
      <c r="K124" s="39">
        <v>0</v>
      </c>
      <c r="L124" s="39">
        <v>0</v>
      </c>
      <c r="M124" s="39">
        <v>0</v>
      </c>
      <c r="N124" s="39">
        <v>0.64</v>
      </c>
      <c r="O124" s="39">
        <v>6.45</v>
      </c>
      <c r="P124" s="39">
        <v>0</v>
      </c>
      <c r="Q124" s="39">
        <v>0.63</v>
      </c>
      <c r="R124" s="40" t="str">
        <f t="shared" si="11"/>
        <v>SI</v>
      </c>
      <c r="S124" s="40" t="str">
        <f t="shared" si="12"/>
        <v>Sin Riesgo</v>
      </c>
      <c r="T124" s="4"/>
      <c r="U124" s="4"/>
      <c r="V124" s="4"/>
      <c r="W124" s="4"/>
    </row>
    <row r="125" spans="1:23" ht="24.75" customHeight="1">
      <c r="A125" s="35" t="s">
        <v>152</v>
      </c>
      <c r="B125" s="36" t="s">
        <v>112</v>
      </c>
      <c r="C125" s="37" t="s">
        <v>219</v>
      </c>
      <c r="D125" s="38">
        <v>598</v>
      </c>
      <c r="E125" s="39">
        <v>9.09</v>
      </c>
      <c r="F125" s="39">
        <v>13.64</v>
      </c>
      <c r="G125" s="39">
        <v>8.85</v>
      </c>
      <c r="H125" s="39">
        <v>12.9</v>
      </c>
      <c r="I125" s="39">
        <v>19.47</v>
      </c>
      <c r="J125" s="39">
        <v>26.54</v>
      </c>
      <c r="K125" s="39">
        <v>10.65</v>
      </c>
      <c r="L125" s="39">
        <v>8.85</v>
      </c>
      <c r="M125" s="39">
        <v>8.85</v>
      </c>
      <c r="N125" s="39">
        <v>0</v>
      </c>
      <c r="O125" s="39">
        <v>8.85</v>
      </c>
      <c r="P125" s="39">
        <v>8.85</v>
      </c>
      <c r="Q125" s="39">
        <v>10.92</v>
      </c>
      <c r="R125" s="40" t="str">
        <f t="shared" si="11"/>
        <v>NO</v>
      </c>
      <c r="S125" s="40" t="str">
        <f t="shared" si="12"/>
        <v>Bajo</v>
      </c>
      <c r="T125" s="4"/>
      <c r="U125" s="4"/>
      <c r="V125" s="4"/>
      <c r="W125" s="4"/>
    </row>
    <row r="126" spans="1:23" ht="24.75" customHeight="1">
      <c r="A126" s="35" t="s">
        <v>153</v>
      </c>
      <c r="B126" s="36" t="s">
        <v>113</v>
      </c>
      <c r="C126" s="37" t="s">
        <v>248</v>
      </c>
      <c r="D126" s="38">
        <v>1186</v>
      </c>
      <c r="E126" s="39"/>
      <c r="F126" s="39"/>
      <c r="G126" s="39"/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  <c r="O126" s="39">
        <v>0</v>
      </c>
      <c r="P126" s="39">
        <v>0</v>
      </c>
      <c r="Q126" s="39">
        <v>0</v>
      </c>
      <c r="R126" s="40" t="str">
        <f t="shared" si="11"/>
        <v>SI</v>
      </c>
      <c r="S126" s="40" t="str">
        <f t="shared" si="12"/>
        <v>Sin Riesgo</v>
      </c>
      <c r="T126" s="4"/>
      <c r="U126" s="4"/>
      <c r="V126" s="4"/>
      <c r="W126" s="4"/>
    </row>
    <row r="127" spans="1:23" ht="24.75" customHeight="1">
      <c r="A127" s="35" t="s">
        <v>156</v>
      </c>
      <c r="B127" s="36" t="s">
        <v>114</v>
      </c>
      <c r="C127" s="41" t="s">
        <v>228</v>
      </c>
      <c r="D127" s="42">
        <v>540</v>
      </c>
      <c r="E127" s="39"/>
      <c r="F127" s="39"/>
      <c r="G127" s="39"/>
      <c r="H127" s="39">
        <v>0</v>
      </c>
      <c r="I127" s="39">
        <v>0.88</v>
      </c>
      <c r="J127" s="39">
        <v>0</v>
      </c>
      <c r="K127" s="39">
        <v>0</v>
      </c>
      <c r="L127" s="39">
        <v>0</v>
      </c>
      <c r="M127" s="39">
        <v>2.58</v>
      </c>
      <c r="N127" s="39">
        <v>0</v>
      </c>
      <c r="O127" s="39">
        <v>0</v>
      </c>
      <c r="P127" s="39">
        <v>0</v>
      </c>
      <c r="Q127" s="39">
        <v>0.4</v>
      </c>
      <c r="R127" s="40" t="str">
        <f>IF(Q127&lt;=5,"SI","NO")</f>
        <v>SI</v>
      </c>
      <c r="S127" s="40" t="str">
        <f>IF(Q127&lt;=5,"Sin Riesgo",IF(Q127&lt;=14,"Bajo",IF(Q127&lt;=35,"Medio",IF(Q127&lt;=80,"Alto","Inviable Sanitariamente"))))</f>
        <v>Sin Riesgo</v>
      </c>
      <c r="T127" s="4"/>
      <c r="U127" s="4"/>
      <c r="V127" s="4"/>
      <c r="W127" s="4"/>
    </row>
    <row r="128" spans="1:23" ht="24.75" customHeight="1">
      <c r="A128" s="35" t="s">
        <v>157</v>
      </c>
      <c r="B128" s="36" t="s">
        <v>115</v>
      </c>
      <c r="C128" s="37" t="s">
        <v>261</v>
      </c>
      <c r="D128" s="38">
        <v>1094</v>
      </c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 t="s">
        <v>290</v>
      </c>
      <c r="R128" s="40" t="s">
        <v>290</v>
      </c>
      <c r="S128" s="40" t="s">
        <v>290</v>
      </c>
      <c r="T128" s="4"/>
      <c r="U128" s="4"/>
      <c r="V128" s="4"/>
      <c r="W128" s="4"/>
    </row>
    <row r="129" spans="1:23" ht="36" customHeight="1">
      <c r="A129" s="35" t="s">
        <v>152</v>
      </c>
      <c r="B129" s="36" t="s">
        <v>116</v>
      </c>
      <c r="C129" s="37" t="s">
        <v>262</v>
      </c>
      <c r="D129" s="38">
        <v>550</v>
      </c>
      <c r="E129" s="39">
        <v>6.45</v>
      </c>
      <c r="F129" s="39">
        <v>0</v>
      </c>
      <c r="G129" s="39">
        <v>17.2</v>
      </c>
      <c r="H129" s="39">
        <v>0</v>
      </c>
      <c r="I129" s="39">
        <v>0</v>
      </c>
      <c r="J129" s="39">
        <v>0</v>
      </c>
      <c r="K129" s="39">
        <v>6.77</v>
      </c>
      <c r="L129" s="39">
        <v>0.59</v>
      </c>
      <c r="M129" s="39">
        <v>0</v>
      </c>
      <c r="N129" s="39">
        <v>0</v>
      </c>
      <c r="O129" s="39">
        <v>0</v>
      </c>
      <c r="P129" s="39">
        <v>0</v>
      </c>
      <c r="Q129" s="39">
        <v>2.85</v>
      </c>
      <c r="R129" s="40" t="str">
        <f aca="true" t="shared" si="13" ref="R129:R167">IF(Q129&lt;=5,"SI","NO")</f>
        <v>SI</v>
      </c>
      <c r="S129" s="40" t="str">
        <f t="shared" si="12"/>
        <v>Sin Riesgo</v>
      </c>
      <c r="T129" s="4"/>
      <c r="U129" s="4"/>
      <c r="V129" s="4"/>
      <c r="W129" s="4"/>
    </row>
    <row r="130" spans="1:23" ht="38.25" customHeight="1">
      <c r="A130" s="35" t="s">
        <v>152</v>
      </c>
      <c r="B130" s="36" t="s">
        <v>116</v>
      </c>
      <c r="C130" s="37" t="s">
        <v>263</v>
      </c>
      <c r="D130" s="38">
        <v>955</v>
      </c>
      <c r="E130" s="39">
        <v>6.45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6.45</v>
      </c>
      <c r="P130" s="39">
        <v>0</v>
      </c>
      <c r="Q130" s="39">
        <v>1.14</v>
      </c>
      <c r="R130" s="40" t="str">
        <f t="shared" si="13"/>
        <v>SI</v>
      </c>
      <c r="S130" s="40" t="str">
        <f t="shared" si="12"/>
        <v>Sin Riesgo</v>
      </c>
      <c r="T130" s="4"/>
      <c r="U130" s="4"/>
      <c r="V130" s="4"/>
      <c r="W130" s="4"/>
    </row>
    <row r="131" spans="1:23" ht="24.75" customHeight="1">
      <c r="A131" s="35" t="s">
        <v>156</v>
      </c>
      <c r="B131" s="36" t="s">
        <v>117</v>
      </c>
      <c r="C131" s="41" t="s">
        <v>228</v>
      </c>
      <c r="D131" s="42">
        <v>2530</v>
      </c>
      <c r="E131" s="39"/>
      <c r="F131" s="39"/>
      <c r="G131" s="39"/>
      <c r="H131" s="39">
        <v>0</v>
      </c>
      <c r="I131" s="39">
        <v>0</v>
      </c>
      <c r="J131" s="39">
        <v>0</v>
      </c>
      <c r="K131" s="39">
        <v>0</v>
      </c>
      <c r="L131" s="39">
        <v>0</v>
      </c>
      <c r="M131" s="39">
        <v>6.45</v>
      </c>
      <c r="N131" s="39">
        <v>0</v>
      </c>
      <c r="O131" s="39">
        <v>0.59</v>
      </c>
      <c r="P131" s="39">
        <v>0.88</v>
      </c>
      <c r="Q131" s="39">
        <v>0.88</v>
      </c>
      <c r="R131" s="40" t="str">
        <f t="shared" si="13"/>
        <v>SI</v>
      </c>
      <c r="S131" s="40" t="str">
        <f t="shared" si="12"/>
        <v>Sin Riesgo</v>
      </c>
      <c r="T131" s="4"/>
      <c r="U131" s="4"/>
      <c r="V131" s="4"/>
      <c r="W131" s="4"/>
    </row>
    <row r="132" spans="1:23" ht="24.75" customHeight="1">
      <c r="A132" s="35" t="s">
        <v>157</v>
      </c>
      <c r="B132" s="36" t="s">
        <v>118</v>
      </c>
      <c r="C132" s="37" t="s">
        <v>264</v>
      </c>
      <c r="D132" s="38">
        <v>2231</v>
      </c>
      <c r="E132" s="39">
        <v>0</v>
      </c>
      <c r="F132" s="39">
        <v>0</v>
      </c>
      <c r="G132" s="39">
        <v>0.97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39">
        <v>0.05</v>
      </c>
      <c r="R132" s="40" t="str">
        <f t="shared" si="13"/>
        <v>SI</v>
      </c>
      <c r="S132" s="40" t="str">
        <f t="shared" si="12"/>
        <v>Sin Riesgo</v>
      </c>
      <c r="T132" s="4"/>
      <c r="U132" s="4"/>
      <c r="V132" s="4"/>
      <c r="W132" s="4"/>
    </row>
    <row r="133" spans="1:23" ht="24.75" customHeight="1">
      <c r="A133" s="35" t="s">
        <v>152</v>
      </c>
      <c r="B133" s="36" t="s">
        <v>119</v>
      </c>
      <c r="C133" s="37" t="s">
        <v>265</v>
      </c>
      <c r="D133" s="38">
        <v>2024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40" t="str">
        <f t="shared" si="13"/>
        <v>SI</v>
      </c>
      <c r="S133" s="40" t="str">
        <f t="shared" si="12"/>
        <v>Sin Riesgo</v>
      </c>
      <c r="T133" s="4"/>
      <c r="U133" s="4"/>
      <c r="V133" s="4"/>
      <c r="W133" s="4"/>
    </row>
    <row r="134" spans="1:23" ht="24.75" customHeight="1">
      <c r="A134" s="35" t="s">
        <v>155</v>
      </c>
      <c r="B134" s="36" t="s">
        <v>298</v>
      </c>
      <c r="C134" s="37" t="s">
        <v>266</v>
      </c>
      <c r="D134" s="38">
        <v>1432</v>
      </c>
      <c r="E134" s="39"/>
      <c r="F134" s="39"/>
      <c r="G134" s="39"/>
      <c r="H134" s="39">
        <v>0</v>
      </c>
      <c r="I134" s="39">
        <v>0.88</v>
      </c>
      <c r="J134" s="39">
        <v>8.85</v>
      </c>
      <c r="K134" s="39">
        <v>8.85</v>
      </c>
      <c r="L134" s="39">
        <v>0.88</v>
      </c>
      <c r="M134" s="39">
        <v>0</v>
      </c>
      <c r="N134" s="39">
        <v>0</v>
      </c>
      <c r="O134" s="39">
        <v>0</v>
      </c>
      <c r="P134" s="39">
        <v>0</v>
      </c>
      <c r="Q134" s="39">
        <v>2.16</v>
      </c>
      <c r="R134" s="40" t="str">
        <f t="shared" si="13"/>
        <v>SI</v>
      </c>
      <c r="S134" s="40" t="str">
        <f t="shared" si="12"/>
        <v>Sin Riesgo</v>
      </c>
      <c r="T134" s="4"/>
      <c r="U134" s="4"/>
      <c r="V134" s="4"/>
      <c r="W134" s="4"/>
    </row>
    <row r="135" spans="1:23" ht="24.75" customHeight="1">
      <c r="A135" s="35" t="s">
        <v>152</v>
      </c>
      <c r="B135" s="36" t="s">
        <v>120</v>
      </c>
      <c r="C135" s="37" t="s">
        <v>15</v>
      </c>
      <c r="D135" s="38">
        <v>1773</v>
      </c>
      <c r="E135" s="39">
        <v>9.09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0.64</v>
      </c>
      <c r="O135" s="39">
        <v>0.64</v>
      </c>
      <c r="P135" s="39">
        <v>0</v>
      </c>
      <c r="Q135" s="39">
        <v>0.94</v>
      </c>
      <c r="R135" s="40" t="str">
        <f t="shared" si="13"/>
        <v>SI</v>
      </c>
      <c r="S135" s="40" t="str">
        <f t="shared" si="12"/>
        <v>Sin Riesgo</v>
      </c>
      <c r="T135" s="4"/>
      <c r="U135" s="4"/>
      <c r="V135" s="4"/>
      <c r="W135" s="4"/>
    </row>
    <row r="136" spans="1:23" ht="24.75" customHeight="1">
      <c r="A136" s="35" t="s">
        <v>154</v>
      </c>
      <c r="B136" s="36" t="s">
        <v>121</v>
      </c>
      <c r="C136" s="37" t="s">
        <v>267</v>
      </c>
      <c r="D136" s="38">
        <v>3170</v>
      </c>
      <c r="E136" s="39"/>
      <c r="F136" s="39"/>
      <c r="G136" s="39"/>
      <c r="H136" s="39">
        <v>0</v>
      </c>
      <c r="I136" s="39">
        <v>8</v>
      </c>
      <c r="J136" s="39">
        <v>0</v>
      </c>
      <c r="K136" s="39">
        <v>0</v>
      </c>
      <c r="L136" s="39">
        <v>0</v>
      </c>
      <c r="M136" s="39">
        <v>0</v>
      </c>
      <c r="N136" s="39">
        <v>0</v>
      </c>
      <c r="O136" s="39">
        <v>0</v>
      </c>
      <c r="P136" s="39">
        <v>0</v>
      </c>
      <c r="Q136" s="39">
        <v>0.89</v>
      </c>
      <c r="R136" s="40" t="str">
        <f t="shared" si="13"/>
        <v>SI</v>
      </c>
      <c r="S136" s="40" t="str">
        <f t="shared" si="12"/>
        <v>Sin Riesgo</v>
      </c>
      <c r="T136" s="4"/>
      <c r="U136" s="4"/>
      <c r="V136" s="4"/>
      <c r="W136" s="4"/>
    </row>
    <row r="137" spans="1:23" ht="24.75" customHeight="1">
      <c r="A137" s="35" t="s">
        <v>156</v>
      </c>
      <c r="B137" s="36" t="s">
        <v>122</v>
      </c>
      <c r="C137" s="41" t="s">
        <v>228</v>
      </c>
      <c r="D137" s="42">
        <v>3749</v>
      </c>
      <c r="E137" s="39"/>
      <c r="F137" s="39"/>
      <c r="G137" s="39"/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0</v>
      </c>
      <c r="P137" s="39">
        <v>0</v>
      </c>
      <c r="Q137" s="39">
        <v>0</v>
      </c>
      <c r="R137" s="40" t="str">
        <f t="shared" si="13"/>
        <v>SI</v>
      </c>
      <c r="S137" s="40" t="str">
        <f t="shared" si="12"/>
        <v>Sin Riesgo</v>
      </c>
      <c r="T137" s="4"/>
      <c r="U137" s="4"/>
      <c r="V137" s="4"/>
      <c r="W137" s="4"/>
    </row>
    <row r="138" spans="1:23" ht="24.75" customHeight="1">
      <c r="A138" s="35" t="s">
        <v>153</v>
      </c>
      <c r="B138" s="36" t="s">
        <v>299</v>
      </c>
      <c r="C138" s="37" t="s">
        <v>268</v>
      </c>
      <c r="D138" s="38">
        <v>3662</v>
      </c>
      <c r="E138" s="39"/>
      <c r="F138" s="39"/>
      <c r="G138" s="39"/>
      <c r="H138" s="39">
        <v>0</v>
      </c>
      <c r="I138" s="39">
        <v>0</v>
      </c>
      <c r="J138" s="39">
        <v>0</v>
      </c>
      <c r="K138" s="39">
        <v>0</v>
      </c>
      <c r="L138" s="39">
        <v>5.88</v>
      </c>
      <c r="M138" s="39">
        <v>0</v>
      </c>
      <c r="N138" s="39">
        <v>0</v>
      </c>
      <c r="O138" s="39">
        <v>0</v>
      </c>
      <c r="P138" s="39">
        <v>0</v>
      </c>
      <c r="Q138" s="39">
        <v>0.65</v>
      </c>
      <c r="R138" s="40" t="str">
        <f t="shared" si="13"/>
        <v>SI</v>
      </c>
      <c r="S138" s="40" t="str">
        <f t="shared" si="12"/>
        <v>Sin Riesgo</v>
      </c>
      <c r="T138" s="4"/>
      <c r="U138" s="4"/>
      <c r="V138" s="4"/>
      <c r="W138" s="4"/>
    </row>
    <row r="139" spans="1:23" ht="34.5" customHeight="1">
      <c r="A139" s="35" t="s">
        <v>155</v>
      </c>
      <c r="B139" s="36" t="s">
        <v>123</v>
      </c>
      <c r="C139" s="37" t="s">
        <v>266</v>
      </c>
      <c r="D139" s="38">
        <v>951</v>
      </c>
      <c r="E139" s="39"/>
      <c r="F139" s="39"/>
      <c r="G139" s="39"/>
      <c r="H139" s="39">
        <v>8.85</v>
      </c>
      <c r="I139" s="39">
        <v>0</v>
      </c>
      <c r="J139" s="39">
        <v>0</v>
      </c>
      <c r="K139" s="39">
        <v>8.85</v>
      </c>
      <c r="L139" s="39">
        <v>0</v>
      </c>
      <c r="M139" s="39">
        <v>0</v>
      </c>
      <c r="N139" s="39">
        <v>0</v>
      </c>
      <c r="O139" s="39"/>
      <c r="P139" s="39">
        <v>0</v>
      </c>
      <c r="Q139" s="39">
        <v>2.21</v>
      </c>
      <c r="R139" s="40" t="str">
        <f t="shared" si="13"/>
        <v>SI</v>
      </c>
      <c r="S139" s="40" t="str">
        <f t="shared" si="12"/>
        <v>Sin Riesgo</v>
      </c>
      <c r="T139" s="4"/>
      <c r="U139" s="4"/>
      <c r="V139" s="4"/>
      <c r="W139" s="4"/>
    </row>
    <row r="140" spans="1:23" ht="24.75" customHeight="1">
      <c r="A140" s="35" t="s">
        <v>155</v>
      </c>
      <c r="B140" s="36" t="s">
        <v>124</v>
      </c>
      <c r="C140" s="37" t="s">
        <v>269</v>
      </c>
      <c r="D140" s="38">
        <v>5633</v>
      </c>
      <c r="E140" s="39"/>
      <c r="F140" s="39"/>
      <c r="G140" s="39"/>
      <c r="H140" s="39">
        <v>6.45</v>
      </c>
      <c r="I140" s="39">
        <v>0.59</v>
      </c>
      <c r="J140" s="39">
        <v>0</v>
      </c>
      <c r="K140" s="39">
        <v>0</v>
      </c>
      <c r="L140" s="39">
        <v>0.59</v>
      </c>
      <c r="M140" s="39">
        <v>0.64</v>
      </c>
      <c r="N140" s="39">
        <v>9.68</v>
      </c>
      <c r="O140" s="39">
        <v>0.59</v>
      </c>
      <c r="P140" s="39">
        <v>0.64</v>
      </c>
      <c r="Q140" s="39">
        <v>1.84</v>
      </c>
      <c r="R140" s="40" t="str">
        <f t="shared" si="13"/>
        <v>SI</v>
      </c>
      <c r="S140" s="40" t="str">
        <f t="shared" si="12"/>
        <v>Sin Riesgo</v>
      </c>
      <c r="T140" s="4"/>
      <c r="U140" s="4"/>
      <c r="V140" s="4"/>
      <c r="W140" s="4"/>
    </row>
    <row r="141" spans="1:23" ht="24.75" customHeight="1">
      <c r="A141" s="35" t="s">
        <v>152</v>
      </c>
      <c r="B141" s="36" t="s">
        <v>300</v>
      </c>
      <c r="C141" s="37" t="s">
        <v>268</v>
      </c>
      <c r="D141" s="38">
        <v>4803</v>
      </c>
      <c r="E141" s="39">
        <v>0</v>
      </c>
      <c r="F141" s="39">
        <v>0</v>
      </c>
      <c r="G141" s="39">
        <v>1.76</v>
      </c>
      <c r="H141" s="39">
        <v>0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  <c r="N141" s="39">
        <v>0</v>
      </c>
      <c r="O141" s="39">
        <v>1.76</v>
      </c>
      <c r="P141" s="39">
        <v>0</v>
      </c>
      <c r="Q141" s="39">
        <v>0.31</v>
      </c>
      <c r="R141" s="40" t="str">
        <f t="shared" si="13"/>
        <v>SI</v>
      </c>
      <c r="S141" s="40" t="str">
        <f t="shared" si="12"/>
        <v>Sin Riesgo</v>
      </c>
      <c r="T141" s="4"/>
      <c r="U141" s="4"/>
      <c r="V141" s="4"/>
      <c r="W141" s="4"/>
    </row>
    <row r="142" spans="1:23" ht="24.75" customHeight="1">
      <c r="A142" s="35" t="s">
        <v>153</v>
      </c>
      <c r="B142" s="36" t="s">
        <v>125</v>
      </c>
      <c r="C142" s="37" t="s">
        <v>248</v>
      </c>
      <c r="D142" s="38">
        <v>1643</v>
      </c>
      <c r="E142" s="39"/>
      <c r="F142" s="39"/>
      <c r="G142" s="39"/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0</v>
      </c>
      <c r="O142" s="39">
        <v>0</v>
      </c>
      <c r="P142" s="39">
        <v>0</v>
      </c>
      <c r="Q142" s="39">
        <v>0</v>
      </c>
      <c r="R142" s="40" t="str">
        <f t="shared" si="13"/>
        <v>SI</v>
      </c>
      <c r="S142" s="40" t="str">
        <f t="shared" si="12"/>
        <v>Sin Riesgo</v>
      </c>
      <c r="T142" s="4"/>
      <c r="U142" s="4"/>
      <c r="V142" s="4"/>
      <c r="W142" s="4"/>
    </row>
    <row r="143" spans="1:23" ht="33.75" customHeight="1">
      <c r="A143" s="35" t="s">
        <v>154</v>
      </c>
      <c r="B143" s="36" t="s">
        <v>126</v>
      </c>
      <c r="C143" s="37" t="s">
        <v>270</v>
      </c>
      <c r="D143" s="38">
        <v>2145</v>
      </c>
      <c r="E143" s="39"/>
      <c r="F143" s="39"/>
      <c r="G143" s="39"/>
      <c r="H143" s="39">
        <v>6.45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  <c r="N143" s="39">
        <v>6.21</v>
      </c>
      <c r="O143" s="39">
        <v>8.85</v>
      </c>
      <c r="P143" s="39">
        <v>3.46</v>
      </c>
      <c r="Q143" s="39">
        <v>2.77</v>
      </c>
      <c r="R143" s="40" t="str">
        <f t="shared" si="13"/>
        <v>SI</v>
      </c>
      <c r="S143" s="40" t="str">
        <f t="shared" si="12"/>
        <v>Sin Riesgo</v>
      </c>
      <c r="T143" s="4"/>
      <c r="U143" s="4"/>
      <c r="V143" s="4"/>
      <c r="W143" s="4"/>
    </row>
    <row r="144" spans="1:23" ht="24.75" customHeight="1">
      <c r="A144" s="35" t="s">
        <v>158</v>
      </c>
      <c r="B144" s="46" t="s">
        <v>127</v>
      </c>
      <c r="C144" s="37" t="s">
        <v>247</v>
      </c>
      <c r="D144" s="38">
        <v>3139</v>
      </c>
      <c r="E144" s="39"/>
      <c r="F144" s="39"/>
      <c r="G144" s="39"/>
      <c r="H144" s="39">
        <v>0</v>
      </c>
      <c r="I144" s="39">
        <v>8.85</v>
      </c>
      <c r="J144" s="39">
        <v>8.85</v>
      </c>
      <c r="K144" s="39">
        <v>0</v>
      </c>
      <c r="L144" s="39">
        <v>0</v>
      </c>
      <c r="M144" s="39">
        <v>0</v>
      </c>
      <c r="N144" s="39">
        <v>23.6</v>
      </c>
      <c r="O144" s="39">
        <v>0</v>
      </c>
      <c r="P144" s="39">
        <v>6.45</v>
      </c>
      <c r="Q144" s="39">
        <v>5.3</v>
      </c>
      <c r="R144" s="40" t="str">
        <f>IF(Q144&lt;=5,"SI","NO")</f>
        <v>NO</v>
      </c>
      <c r="S144" s="40" t="str">
        <f>IF(Q144&lt;=5,"Sin Riesgo",IF(Q144&lt;=14,"Bajo",IF(Q144&lt;=35,"Medio",IF(Q144&lt;=80,"Alto","Inviable Sanitariamente"))))</f>
        <v>Bajo</v>
      </c>
      <c r="T144" s="4"/>
      <c r="U144" s="4"/>
      <c r="V144" s="4"/>
      <c r="W144" s="4"/>
    </row>
    <row r="145" spans="1:23" ht="24.75" customHeight="1">
      <c r="A145" s="35" t="s">
        <v>158</v>
      </c>
      <c r="B145" s="46" t="s">
        <v>127</v>
      </c>
      <c r="C145" s="37" t="s">
        <v>271</v>
      </c>
      <c r="D145" s="38">
        <v>1014</v>
      </c>
      <c r="E145" s="39"/>
      <c r="F145" s="39"/>
      <c r="G145" s="39"/>
      <c r="H145" s="39">
        <v>9.03</v>
      </c>
      <c r="I145" s="39">
        <v>14.73</v>
      </c>
      <c r="J145" s="39">
        <v>9.03</v>
      </c>
      <c r="K145" s="39">
        <v>0</v>
      </c>
      <c r="L145" s="39">
        <v>29.48</v>
      </c>
      <c r="M145" s="39">
        <v>6.45</v>
      </c>
      <c r="N145" s="39">
        <v>0</v>
      </c>
      <c r="O145" s="39">
        <v>30.76</v>
      </c>
      <c r="P145" s="39">
        <v>9.03</v>
      </c>
      <c r="Q145" s="39">
        <v>12.06</v>
      </c>
      <c r="R145" s="40" t="str">
        <f t="shared" si="13"/>
        <v>NO</v>
      </c>
      <c r="S145" s="40" t="str">
        <f t="shared" si="12"/>
        <v>Bajo</v>
      </c>
      <c r="T145" s="4"/>
      <c r="U145" s="4"/>
      <c r="V145" s="4"/>
      <c r="W145" s="4"/>
    </row>
    <row r="146" spans="1:23" ht="24.75" customHeight="1">
      <c r="A146" s="35" t="s">
        <v>154</v>
      </c>
      <c r="B146" s="36" t="s">
        <v>128</v>
      </c>
      <c r="C146" s="37" t="s">
        <v>272</v>
      </c>
      <c r="D146" s="38">
        <v>838</v>
      </c>
      <c r="E146" s="39"/>
      <c r="F146" s="39"/>
      <c r="G146" s="39"/>
      <c r="H146" s="39">
        <v>0</v>
      </c>
      <c r="I146" s="39">
        <v>0</v>
      </c>
      <c r="J146" s="39">
        <v>8.85</v>
      </c>
      <c r="K146" s="39">
        <v>0</v>
      </c>
      <c r="L146" s="39">
        <v>0</v>
      </c>
      <c r="M146" s="39">
        <v>0</v>
      </c>
      <c r="N146" s="39">
        <v>0</v>
      </c>
      <c r="O146" s="39">
        <v>0</v>
      </c>
      <c r="P146" s="39">
        <v>0</v>
      </c>
      <c r="Q146" s="39">
        <v>1.06</v>
      </c>
      <c r="R146" s="40" t="str">
        <f t="shared" si="13"/>
        <v>SI</v>
      </c>
      <c r="S146" s="40" t="str">
        <f t="shared" si="12"/>
        <v>Sin Riesgo</v>
      </c>
      <c r="T146" s="4"/>
      <c r="U146" s="4"/>
      <c r="V146" s="4"/>
      <c r="W146" s="4"/>
    </row>
    <row r="147" spans="1:23" ht="24.75" customHeight="1">
      <c r="A147" s="35" t="s">
        <v>154</v>
      </c>
      <c r="B147" s="46" t="s">
        <v>129</v>
      </c>
      <c r="C147" s="41" t="s">
        <v>228</v>
      </c>
      <c r="D147" s="42">
        <v>1349</v>
      </c>
      <c r="E147" s="39"/>
      <c r="F147" s="39"/>
      <c r="G147" s="39"/>
      <c r="H147" s="39">
        <v>0</v>
      </c>
      <c r="I147" s="39">
        <v>0</v>
      </c>
      <c r="J147" s="39">
        <v>0</v>
      </c>
      <c r="K147" s="39">
        <v>0</v>
      </c>
      <c r="L147" s="39">
        <v>0</v>
      </c>
      <c r="M147" s="39">
        <v>0</v>
      </c>
      <c r="N147" s="39">
        <v>6.21</v>
      </c>
      <c r="O147" s="39">
        <v>0</v>
      </c>
      <c r="P147" s="39">
        <v>0</v>
      </c>
      <c r="Q147" s="39">
        <v>0.78</v>
      </c>
      <c r="R147" s="40" t="str">
        <f t="shared" si="13"/>
        <v>SI</v>
      </c>
      <c r="S147" s="40" t="str">
        <f t="shared" si="12"/>
        <v>Sin Riesgo</v>
      </c>
      <c r="T147" s="4"/>
      <c r="U147" s="4"/>
      <c r="V147" s="4"/>
      <c r="W147" s="4"/>
    </row>
    <row r="148" spans="1:23" ht="34.5" customHeight="1">
      <c r="A148" s="35" t="s">
        <v>154</v>
      </c>
      <c r="B148" s="46" t="s">
        <v>129</v>
      </c>
      <c r="C148" s="41" t="s">
        <v>273</v>
      </c>
      <c r="D148" s="42">
        <v>76</v>
      </c>
      <c r="E148" s="39"/>
      <c r="F148" s="39"/>
      <c r="G148" s="39"/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40" t="str">
        <f t="shared" si="13"/>
        <v>SI</v>
      </c>
      <c r="S148" s="40" t="str">
        <f t="shared" si="12"/>
        <v>Sin Riesgo</v>
      </c>
      <c r="T148" s="4"/>
      <c r="U148" s="4"/>
      <c r="V148" s="4"/>
      <c r="W148" s="4"/>
    </row>
    <row r="149" spans="1:23" ht="34.5" customHeight="1">
      <c r="A149" s="35" t="s">
        <v>154</v>
      </c>
      <c r="B149" s="46" t="s">
        <v>129</v>
      </c>
      <c r="C149" s="41" t="s">
        <v>274</v>
      </c>
      <c r="D149" s="42">
        <v>121</v>
      </c>
      <c r="E149" s="39"/>
      <c r="F149" s="39"/>
      <c r="G149" s="39"/>
      <c r="H149" s="39">
        <v>13.27</v>
      </c>
      <c r="I149" s="39">
        <v>0</v>
      </c>
      <c r="J149" s="39">
        <v>0</v>
      </c>
      <c r="K149" s="39">
        <v>0</v>
      </c>
      <c r="L149" s="39">
        <v>0</v>
      </c>
      <c r="M149" s="39">
        <v>0</v>
      </c>
      <c r="N149" s="39">
        <v>0</v>
      </c>
      <c r="O149" s="39">
        <v>8.85</v>
      </c>
      <c r="P149" s="39">
        <v>0</v>
      </c>
      <c r="Q149" s="39">
        <v>2.21</v>
      </c>
      <c r="R149" s="40" t="str">
        <f>IF(Q149&lt;=5,"SI","NO")</f>
        <v>SI</v>
      </c>
      <c r="S149" s="40" t="str">
        <f>IF(Q149&lt;=5,"Sin Riesgo",IF(Q149&lt;=14,"Bajo",IF(Q149&lt;=35,"Medio",IF(Q149&lt;=80,"Alto","Inviable Sanitariamente"))))</f>
        <v>Sin Riesgo</v>
      </c>
      <c r="T149" s="4"/>
      <c r="U149" s="4"/>
      <c r="V149" s="4"/>
      <c r="W149" s="4"/>
    </row>
    <row r="150" spans="1:23" ht="24.75" customHeight="1">
      <c r="A150" s="35" t="s">
        <v>156</v>
      </c>
      <c r="B150" s="36" t="s">
        <v>130</v>
      </c>
      <c r="C150" s="37" t="s">
        <v>275</v>
      </c>
      <c r="D150" s="38">
        <v>391</v>
      </c>
      <c r="E150" s="39"/>
      <c r="F150" s="39"/>
      <c r="G150" s="39"/>
      <c r="H150" s="39">
        <v>97.58</v>
      </c>
      <c r="I150" s="39">
        <v>89.99</v>
      </c>
      <c r="J150" s="39">
        <v>90.31</v>
      </c>
      <c r="K150" s="39">
        <v>96.82</v>
      </c>
      <c r="L150" s="39">
        <v>86.79</v>
      </c>
      <c r="M150" s="39">
        <v>97.26</v>
      </c>
      <c r="N150" s="39">
        <v>97.43</v>
      </c>
      <c r="O150" s="39">
        <v>97.58</v>
      </c>
      <c r="P150" s="39">
        <v>94.23</v>
      </c>
      <c r="Q150" s="39">
        <v>94.22</v>
      </c>
      <c r="R150" s="40" t="str">
        <f t="shared" si="13"/>
        <v>NO</v>
      </c>
      <c r="S150" s="40" t="str">
        <f t="shared" si="12"/>
        <v>Inviable Sanitariamente</v>
      </c>
      <c r="T150" s="4"/>
      <c r="U150" s="4"/>
      <c r="V150" s="4"/>
      <c r="W150" s="4"/>
    </row>
    <row r="151" spans="1:23" ht="24.75" customHeight="1">
      <c r="A151" s="35" t="s">
        <v>157</v>
      </c>
      <c r="B151" s="36" t="s">
        <v>131</v>
      </c>
      <c r="C151" s="37" t="s">
        <v>268</v>
      </c>
      <c r="D151" s="38">
        <v>7974</v>
      </c>
      <c r="E151" s="39">
        <v>0</v>
      </c>
      <c r="F151" s="39">
        <v>3.76</v>
      </c>
      <c r="G151" s="39">
        <v>7.74</v>
      </c>
      <c r="H151" s="39">
        <v>3.87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5.31</v>
      </c>
      <c r="O151" s="39">
        <v>0</v>
      </c>
      <c r="P151" s="39">
        <v>6.64</v>
      </c>
      <c r="Q151" s="39">
        <v>2.45</v>
      </c>
      <c r="R151" s="40" t="str">
        <f t="shared" si="13"/>
        <v>SI</v>
      </c>
      <c r="S151" s="40" t="str">
        <f t="shared" si="12"/>
        <v>Sin Riesgo</v>
      </c>
      <c r="T151" s="4"/>
      <c r="U151" s="4"/>
      <c r="V151" s="4"/>
      <c r="W151" s="4"/>
    </row>
    <row r="152" spans="1:23" ht="35.25" customHeight="1">
      <c r="A152" s="35" t="s">
        <v>153</v>
      </c>
      <c r="B152" s="46" t="s">
        <v>132</v>
      </c>
      <c r="C152" s="37" t="s">
        <v>276</v>
      </c>
      <c r="D152" s="38">
        <v>603</v>
      </c>
      <c r="E152" s="39"/>
      <c r="F152" s="39"/>
      <c r="G152" s="39"/>
      <c r="H152" s="39">
        <v>0</v>
      </c>
      <c r="I152" s="39">
        <v>8.85</v>
      </c>
      <c r="J152" s="39">
        <v>0</v>
      </c>
      <c r="K152" s="39">
        <v>0</v>
      </c>
      <c r="L152" s="39">
        <v>0</v>
      </c>
      <c r="M152" s="39">
        <v>0</v>
      </c>
      <c r="N152" s="39">
        <v>8.85</v>
      </c>
      <c r="O152" s="39">
        <v>6.45</v>
      </c>
      <c r="P152" s="39">
        <v>0</v>
      </c>
      <c r="Q152" s="39">
        <v>3.02</v>
      </c>
      <c r="R152" s="40" t="str">
        <f t="shared" si="13"/>
        <v>SI</v>
      </c>
      <c r="S152" s="40" t="str">
        <f t="shared" si="12"/>
        <v>Sin Riesgo</v>
      </c>
      <c r="T152" s="4"/>
      <c r="U152" s="4"/>
      <c r="V152" s="4"/>
      <c r="W152" s="4"/>
    </row>
    <row r="153" spans="1:23" ht="36.75" customHeight="1">
      <c r="A153" s="35" t="s">
        <v>153</v>
      </c>
      <c r="B153" s="46" t="s">
        <v>132</v>
      </c>
      <c r="C153" s="37" t="s">
        <v>277</v>
      </c>
      <c r="D153" s="38">
        <v>87</v>
      </c>
      <c r="E153" s="39"/>
      <c r="F153" s="39"/>
      <c r="G153" s="39"/>
      <c r="H153" s="39">
        <v>0</v>
      </c>
      <c r="I153" s="39">
        <v>26.54</v>
      </c>
      <c r="J153" s="39">
        <v>0</v>
      </c>
      <c r="K153" s="39">
        <v>0</v>
      </c>
      <c r="L153" s="39">
        <v>0</v>
      </c>
      <c r="M153" s="39">
        <v>0</v>
      </c>
      <c r="N153" s="39">
        <v>31.62</v>
      </c>
      <c r="O153" s="39">
        <v>0</v>
      </c>
      <c r="P153" s="39">
        <v>0</v>
      </c>
      <c r="Q153" s="39">
        <v>6.98</v>
      </c>
      <c r="R153" s="40" t="str">
        <f t="shared" si="13"/>
        <v>NO</v>
      </c>
      <c r="S153" s="40" t="str">
        <f t="shared" si="12"/>
        <v>Bajo</v>
      </c>
      <c r="T153" s="4"/>
      <c r="U153" s="4"/>
      <c r="V153" s="4"/>
      <c r="W153" s="4"/>
    </row>
    <row r="154" spans="1:23" ht="24.75" customHeight="1">
      <c r="A154" s="35" t="s">
        <v>154</v>
      </c>
      <c r="B154" s="36" t="s">
        <v>133</v>
      </c>
      <c r="C154" s="37" t="s">
        <v>278</v>
      </c>
      <c r="D154" s="38">
        <v>4201</v>
      </c>
      <c r="E154" s="39"/>
      <c r="F154" s="39"/>
      <c r="G154" s="39"/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6.45</v>
      </c>
      <c r="P154" s="39">
        <v>0</v>
      </c>
      <c r="Q154" s="39">
        <v>0.72</v>
      </c>
      <c r="R154" s="40" t="str">
        <f t="shared" si="13"/>
        <v>SI</v>
      </c>
      <c r="S154" s="40" t="str">
        <f t="shared" si="12"/>
        <v>Sin Riesgo</v>
      </c>
      <c r="T154" s="4"/>
      <c r="U154" s="4"/>
      <c r="V154" s="4"/>
      <c r="W154" s="4"/>
    </row>
    <row r="155" spans="1:23" ht="32.25" customHeight="1">
      <c r="A155" s="35" t="s">
        <v>156</v>
      </c>
      <c r="B155" s="36" t="s">
        <v>134</v>
      </c>
      <c r="C155" s="37" t="s">
        <v>279</v>
      </c>
      <c r="D155" s="38">
        <v>876</v>
      </c>
      <c r="E155" s="39"/>
      <c r="F155" s="39"/>
      <c r="G155" s="39"/>
      <c r="H155" s="39">
        <v>0</v>
      </c>
      <c r="I155" s="39">
        <v>19.35</v>
      </c>
      <c r="J155" s="39">
        <v>13.27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2</v>
      </c>
      <c r="R155" s="40" t="str">
        <f t="shared" si="13"/>
        <v>SI</v>
      </c>
      <c r="S155" s="40" t="str">
        <f t="shared" si="12"/>
        <v>Sin Riesgo</v>
      </c>
      <c r="T155" s="4"/>
      <c r="U155" s="4"/>
      <c r="V155" s="4"/>
      <c r="W155" s="4"/>
    </row>
    <row r="156" spans="1:23" ht="34.5" customHeight="1">
      <c r="A156" s="35" t="s">
        <v>154</v>
      </c>
      <c r="B156" s="36" t="s">
        <v>135</v>
      </c>
      <c r="C156" s="37" t="s">
        <v>280</v>
      </c>
      <c r="D156" s="38">
        <v>1067</v>
      </c>
      <c r="E156" s="39"/>
      <c r="F156" s="39"/>
      <c r="G156" s="39"/>
      <c r="H156" s="39">
        <v>8.85</v>
      </c>
      <c r="I156" s="39">
        <v>0</v>
      </c>
      <c r="J156" s="39">
        <v>0</v>
      </c>
      <c r="K156" s="39">
        <v>0</v>
      </c>
      <c r="L156" s="39">
        <v>0</v>
      </c>
      <c r="M156" s="39">
        <v>6.45</v>
      </c>
      <c r="N156" s="39">
        <v>0</v>
      </c>
      <c r="O156" s="39">
        <v>0</v>
      </c>
      <c r="P156" s="39">
        <v>0</v>
      </c>
      <c r="Q156" s="39">
        <v>1.77</v>
      </c>
      <c r="R156" s="40" t="str">
        <f t="shared" si="13"/>
        <v>SI</v>
      </c>
      <c r="S156" s="40" t="str">
        <f t="shared" si="12"/>
        <v>Sin Riesgo</v>
      </c>
      <c r="T156" s="4"/>
      <c r="U156" s="4"/>
      <c r="V156" s="4"/>
      <c r="W156" s="4"/>
    </row>
    <row r="157" spans="1:23" ht="24.75" customHeight="1">
      <c r="A157" s="35" t="s">
        <v>155</v>
      </c>
      <c r="B157" s="36" t="s">
        <v>136</v>
      </c>
      <c r="C157" s="37" t="s">
        <v>281</v>
      </c>
      <c r="D157" s="38">
        <v>1870</v>
      </c>
      <c r="E157" s="39"/>
      <c r="F157" s="39"/>
      <c r="G157" s="39"/>
      <c r="H157" s="39">
        <v>0</v>
      </c>
      <c r="I157" s="39">
        <v>0.88</v>
      </c>
      <c r="J157" s="39">
        <v>0</v>
      </c>
      <c r="K157" s="39"/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0.11</v>
      </c>
      <c r="R157" s="40" t="str">
        <f t="shared" si="13"/>
        <v>SI</v>
      </c>
      <c r="S157" s="40" t="str">
        <f t="shared" si="12"/>
        <v>Sin Riesgo</v>
      </c>
      <c r="T157" s="4"/>
      <c r="U157" s="4"/>
      <c r="V157" s="4"/>
      <c r="W157" s="4"/>
    </row>
    <row r="158" spans="1:23" s="6" customFormat="1" ht="24.75" customHeight="1">
      <c r="A158" s="48" t="s">
        <v>154</v>
      </c>
      <c r="B158" s="43" t="s">
        <v>137</v>
      </c>
      <c r="C158" s="41" t="s">
        <v>228</v>
      </c>
      <c r="D158" s="42">
        <v>1594</v>
      </c>
      <c r="E158" s="39"/>
      <c r="F158" s="39"/>
      <c r="G158" s="39"/>
      <c r="H158" s="39">
        <v>0</v>
      </c>
      <c r="I158" s="39">
        <v>0</v>
      </c>
      <c r="J158" s="39">
        <v>0</v>
      </c>
      <c r="K158" s="39">
        <v>0</v>
      </c>
      <c r="L158" s="39">
        <v>0</v>
      </c>
      <c r="M158" s="39">
        <v>0</v>
      </c>
      <c r="N158" s="39">
        <v>0</v>
      </c>
      <c r="O158" s="39">
        <v>8.85</v>
      </c>
      <c r="P158" s="39">
        <v>0</v>
      </c>
      <c r="Q158" s="39">
        <v>0.98</v>
      </c>
      <c r="R158" s="40" t="str">
        <f t="shared" si="13"/>
        <v>SI</v>
      </c>
      <c r="S158" s="40" t="str">
        <f t="shared" si="12"/>
        <v>Sin Riesgo</v>
      </c>
      <c r="T158" s="4"/>
      <c r="U158" s="4"/>
      <c r="V158" s="4"/>
      <c r="W158" s="4"/>
    </row>
    <row r="159" spans="1:23" ht="30.75" customHeight="1">
      <c r="A159" s="35" t="s">
        <v>157</v>
      </c>
      <c r="B159" s="36" t="s">
        <v>138</v>
      </c>
      <c r="C159" s="37" t="s">
        <v>282</v>
      </c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 t="s">
        <v>290</v>
      </c>
      <c r="R159" s="40" t="s">
        <v>290</v>
      </c>
      <c r="S159" s="40" t="s">
        <v>290</v>
      </c>
      <c r="T159" s="4"/>
      <c r="U159" s="4"/>
      <c r="V159" s="4"/>
      <c r="W159" s="4"/>
    </row>
    <row r="160" spans="1:23" ht="24.75" customHeight="1">
      <c r="A160" s="35" t="s">
        <v>155</v>
      </c>
      <c r="B160" s="36" t="s">
        <v>301</v>
      </c>
      <c r="C160" s="41" t="s">
        <v>228</v>
      </c>
      <c r="D160" s="42">
        <v>917</v>
      </c>
      <c r="E160" s="39"/>
      <c r="F160" s="39"/>
      <c r="G160" s="39"/>
      <c r="H160" s="39">
        <v>0</v>
      </c>
      <c r="I160" s="39">
        <v>0</v>
      </c>
      <c r="J160" s="39">
        <v>0</v>
      </c>
      <c r="K160" s="39">
        <v>0</v>
      </c>
      <c r="L160" s="39">
        <v>23.6</v>
      </c>
      <c r="M160" s="39">
        <v>0</v>
      </c>
      <c r="N160" s="39">
        <v>0</v>
      </c>
      <c r="O160" s="39">
        <v>0</v>
      </c>
      <c r="P160" s="39">
        <v>0</v>
      </c>
      <c r="Q160" s="39">
        <v>3.22</v>
      </c>
      <c r="R160" s="40" t="str">
        <f t="shared" si="13"/>
        <v>SI</v>
      </c>
      <c r="S160" s="40" t="str">
        <f t="shared" si="12"/>
        <v>Sin Riesgo</v>
      </c>
      <c r="T160" s="4"/>
      <c r="U160" s="4"/>
      <c r="V160" s="4"/>
      <c r="W160" s="4"/>
    </row>
    <row r="161" spans="1:23" ht="24.75" customHeight="1">
      <c r="A161" s="35" t="s">
        <v>156</v>
      </c>
      <c r="B161" s="41" t="s">
        <v>139</v>
      </c>
      <c r="C161" s="37" t="s">
        <v>283</v>
      </c>
      <c r="D161" s="38">
        <v>6284</v>
      </c>
      <c r="E161" s="39"/>
      <c r="F161" s="39"/>
      <c r="G161" s="39"/>
      <c r="H161" s="39">
        <v>3.87</v>
      </c>
      <c r="I161" s="39">
        <v>0.88</v>
      </c>
      <c r="J161" s="39">
        <v>0</v>
      </c>
      <c r="K161" s="39">
        <v>0</v>
      </c>
      <c r="L161" s="39">
        <v>0</v>
      </c>
      <c r="M161" s="39">
        <v>0</v>
      </c>
      <c r="N161" s="39">
        <v>0</v>
      </c>
      <c r="O161" s="39">
        <v>0.35</v>
      </c>
      <c r="P161" s="39">
        <v>0</v>
      </c>
      <c r="Q161" s="39">
        <v>0.57</v>
      </c>
      <c r="R161" s="40" t="str">
        <f>IF(Q161&lt;=5,"SI","NO")</f>
        <v>SI</v>
      </c>
      <c r="S161" s="40" t="str">
        <f>IF(Q161&lt;=5,"Sin Riesgo",IF(Q161&lt;=14,"Bajo",IF(Q161&lt;=35,"Medio",IF(Q161&lt;=80,"Alto","Inviable Sanitariamente"))))</f>
        <v>Sin Riesgo</v>
      </c>
      <c r="T161" s="13"/>
      <c r="U161" s="4"/>
      <c r="V161" s="4"/>
      <c r="W161" s="4"/>
    </row>
    <row r="162" spans="1:23" ht="32.25" customHeight="1">
      <c r="A162" s="35" t="s">
        <v>156</v>
      </c>
      <c r="B162" s="41" t="s">
        <v>139</v>
      </c>
      <c r="C162" s="37" t="s">
        <v>284</v>
      </c>
      <c r="D162" s="38">
        <v>173</v>
      </c>
      <c r="E162" s="39"/>
      <c r="F162" s="39"/>
      <c r="G162" s="39"/>
      <c r="H162" s="39">
        <v>0</v>
      </c>
      <c r="I162" s="39">
        <v>10.71</v>
      </c>
      <c r="J162" s="39">
        <v>0</v>
      </c>
      <c r="K162" s="39">
        <v>0</v>
      </c>
      <c r="L162" s="39">
        <v>0</v>
      </c>
      <c r="M162" s="39">
        <v>5.42</v>
      </c>
      <c r="N162" s="39">
        <v>0</v>
      </c>
      <c r="O162" s="39">
        <v>0.7</v>
      </c>
      <c r="P162" s="39">
        <v>0.39</v>
      </c>
      <c r="Q162" s="39">
        <v>1.96</v>
      </c>
      <c r="R162" s="40" t="str">
        <f t="shared" si="13"/>
        <v>SI</v>
      </c>
      <c r="S162" s="40" t="str">
        <f t="shared" si="12"/>
        <v>Sin Riesgo</v>
      </c>
      <c r="T162" s="13"/>
      <c r="U162" s="4"/>
      <c r="V162" s="4"/>
      <c r="W162" s="4"/>
    </row>
    <row r="163" spans="1:23" ht="24.75" customHeight="1">
      <c r="A163" s="35" t="s">
        <v>156</v>
      </c>
      <c r="B163" s="41" t="s">
        <v>139</v>
      </c>
      <c r="C163" s="37" t="s">
        <v>196</v>
      </c>
      <c r="D163" s="38">
        <v>800</v>
      </c>
      <c r="E163" s="39"/>
      <c r="F163" s="39"/>
      <c r="G163" s="39"/>
      <c r="H163" s="39">
        <v>18.58</v>
      </c>
      <c r="I163" s="39">
        <v>20</v>
      </c>
      <c r="J163" s="39">
        <v>0</v>
      </c>
      <c r="K163" s="39">
        <v>0</v>
      </c>
      <c r="L163" s="39">
        <v>8.62</v>
      </c>
      <c r="M163" s="39">
        <v>12.38</v>
      </c>
      <c r="N163" s="39">
        <v>13.16</v>
      </c>
      <c r="O163" s="39">
        <v>8.02</v>
      </c>
      <c r="P163" s="39">
        <v>0</v>
      </c>
      <c r="Q163" s="39">
        <v>8.97</v>
      </c>
      <c r="R163" s="40" t="str">
        <f>IF(Q163&lt;=5,"SI","NO")</f>
        <v>NO</v>
      </c>
      <c r="S163" s="40" t="str">
        <f>IF(Q163&lt;=5,"Sin Riesgo",IF(Q163&lt;=14,"Bajo",IF(Q163&lt;=35,"Medio",IF(Q163&lt;=80,"Alto","Inviable Sanitariamente"))))</f>
        <v>Bajo</v>
      </c>
      <c r="T163" s="13"/>
      <c r="U163" s="4"/>
      <c r="V163" s="4"/>
      <c r="W163" s="4"/>
    </row>
    <row r="164" spans="1:23" ht="24.75" customHeight="1">
      <c r="A164" s="35" t="s">
        <v>156</v>
      </c>
      <c r="B164" s="41" t="s">
        <v>139</v>
      </c>
      <c r="C164" s="37" t="s">
        <v>285</v>
      </c>
      <c r="D164" s="38">
        <v>157</v>
      </c>
      <c r="E164" s="39"/>
      <c r="F164" s="39"/>
      <c r="G164" s="39"/>
      <c r="H164" s="39"/>
      <c r="I164" s="39"/>
      <c r="J164" s="39"/>
      <c r="K164" s="39"/>
      <c r="L164" s="39"/>
      <c r="M164" s="39"/>
      <c r="N164" s="39">
        <v>19.35</v>
      </c>
      <c r="O164" s="39">
        <v>70.96</v>
      </c>
      <c r="P164" s="39">
        <v>40.64</v>
      </c>
      <c r="Q164" s="39">
        <v>43.65</v>
      </c>
      <c r="R164" s="40" t="str">
        <f t="shared" si="13"/>
        <v>NO</v>
      </c>
      <c r="S164" s="40" t="str">
        <f t="shared" si="12"/>
        <v>Alto</v>
      </c>
      <c r="T164" s="13"/>
      <c r="U164" s="4"/>
      <c r="V164" s="4"/>
      <c r="W164" s="4"/>
    </row>
    <row r="165" spans="1:23" ht="24.75" customHeight="1">
      <c r="A165" s="35" t="s">
        <v>156</v>
      </c>
      <c r="B165" s="41" t="s">
        <v>139</v>
      </c>
      <c r="C165" s="37" t="s">
        <v>197</v>
      </c>
      <c r="D165" s="38">
        <v>100</v>
      </c>
      <c r="E165" s="39"/>
      <c r="F165" s="39"/>
      <c r="G165" s="39"/>
      <c r="H165" s="39">
        <v>32.5</v>
      </c>
      <c r="I165" s="39">
        <v>97.6</v>
      </c>
      <c r="J165" s="39">
        <v>70.96</v>
      </c>
      <c r="K165" s="39">
        <v>93.12</v>
      </c>
      <c r="L165" s="39">
        <v>64</v>
      </c>
      <c r="M165" s="39">
        <v>78.7</v>
      </c>
      <c r="N165" s="39">
        <v>70.96</v>
      </c>
      <c r="O165" s="39">
        <v>70.96</v>
      </c>
      <c r="P165" s="39">
        <v>98.06</v>
      </c>
      <c r="Q165" s="39">
        <v>71.53</v>
      </c>
      <c r="R165" s="40" t="str">
        <f t="shared" si="13"/>
        <v>NO</v>
      </c>
      <c r="S165" s="40" t="str">
        <f t="shared" si="12"/>
        <v>Alto</v>
      </c>
      <c r="T165" s="4"/>
      <c r="U165" s="4"/>
      <c r="V165" s="4"/>
      <c r="W165" s="4"/>
    </row>
    <row r="166" spans="1:23" ht="34.5" customHeight="1">
      <c r="A166" s="35" t="s">
        <v>155</v>
      </c>
      <c r="B166" s="36" t="s">
        <v>140</v>
      </c>
      <c r="C166" s="37" t="s">
        <v>286</v>
      </c>
      <c r="D166" s="38">
        <v>1536</v>
      </c>
      <c r="E166" s="39"/>
      <c r="F166" s="39"/>
      <c r="G166" s="39"/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40" t="str">
        <f t="shared" si="13"/>
        <v>SI</v>
      </c>
      <c r="S166" s="40" t="str">
        <f t="shared" si="12"/>
        <v>Sin Riesgo</v>
      </c>
      <c r="T166" s="4"/>
      <c r="U166" s="4"/>
      <c r="V166" s="4"/>
      <c r="W166" s="4"/>
    </row>
    <row r="167" spans="1:23" ht="24.75" customHeight="1">
      <c r="A167" s="35" t="s">
        <v>159</v>
      </c>
      <c r="B167" s="36" t="s">
        <v>141</v>
      </c>
      <c r="C167" s="37" t="s">
        <v>287</v>
      </c>
      <c r="D167" s="38">
        <v>1434</v>
      </c>
      <c r="E167" s="39"/>
      <c r="F167" s="39"/>
      <c r="G167" s="39"/>
      <c r="H167" s="39">
        <v>6.45</v>
      </c>
      <c r="I167" s="39">
        <v>0</v>
      </c>
      <c r="J167" s="39">
        <v>8</v>
      </c>
      <c r="K167" s="39">
        <v>0</v>
      </c>
      <c r="L167" s="39">
        <v>6.45</v>
      </c>
      <c r="M167" s="39">
        <v>9.09</v>
      </c>
      <c r="N167" s="39">
        <v>0</v>
      </c>
      <c r="O167" s="39">
        <v>0</v>
      </c>
      <c r="P167" s="39">
        <v>0</v>
      </c>
      <c r="Q167" s="39">
        <v>3.33</v>
      </c>
      <c r="R167" s="40" t="str">
        <f t="shared" si="13"/>
        <v>SI</v>
      </c>
      <c r="S167" s="40" t="str">
        <f t="shared" si="12"/>
        <v>Sin Riesgo</v>
      </c>
      <c r="T167" s="4"/>
      <c r="U167" s="4"/>
      <c r="V167" s="4"/>
      <c r="W167" s="4"/>
    </row>
    <row r="168" spans="1:19" ht="27" customHeight="1">
      <c r="A168" s="35" t="s">
        <v>158</v>
      </c>
      <c r="B168" s="47" t="s">
        <v>150</v>
      </c>
      <c r="C168" s="37" t="s">
        <v>288</v>
      </c>
      <c r="D168" s="38">
        <v>2778</v>
      </c>
      <c r="E168" s="39"/>
      <c r="F168" s="39"/>
      <c r="G168" s="39"/>
      <c r="H168" s="39">
        <v>0</v>
      </c>
      <c r="I168" s="39">
        <v>0.59</v>
      </c>
      <c r="J168" s="39">
        <v>35.48</v>
      </c>
      <c r="K168" s="39">
        <v>70.96</v>
      </c>
      <c r="L168" s="39">
        <v>6.45</v>
      </c>
      <c r="M168" s="39">
        <v>35.45</v>
      </c>
      <c r="N168" s="39">
        <v>71.5</v>
      </c>
      <c r="O168" s="39">
        <v>70.96</v>
      </c>
      <c r="P168" s="39">
        <v>70.96</v>
      </c>
      <c r="Q168" s="39">
        <v>36.59</v>
      </c>
      <c r="R168" s="40" t="str">
        <f>IF(Q168&lt;5,"SI","NO")</f>
        <v>NO</v>
      </c>
      <c r="S168" s="40" t="str">
        <f>IF(Q168&lt;5,"SIN RIESGO",IF(Q168&lt;=14,"BAJO",IF(Q168&lt;=35,"MEDIO",IF(Q168&lt;=80,"ALTO","INVIABLE SANITARIAMENTE"))))</f>
        <v>ALTO</v>
      </c>
    </row>
    <row r="169" spans="2:6" ht="12.75">
      <c r="B169" s="31"/>
      <c r="C169" s="32"/>
      <c r="D169" s="33"/>
      <c r="E169" s="10"/>
      <c r="F169" s="10"/>
    </row>
    <row r="170" spans="1:19" ht="15">
      <c r="A170" s="34" t="s">
        <v>29</v>
      </c>
      <c r="B170" s="34"/>
      <c r="C170" s="34"/>
      <c r="D170" s="34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2:17" ht="12.75">
      <c r="B171" s="21"/>
      <c r="C171" s="12"/>
      <c r="D171" s="12"/>
      <c r="E171" s="11"/>
      <c r="F171" s="11"/>
      <c r="J171" s="14"/>
      <c r="K171" s="14"/>
      <c r="L171" s="14"/>
      <c r="M171" s="14"/>
      <c r="N171" s="14"/>
      <c r="O171" s="14"/>
      <c r="P171" s="14"/>
      <c r="Q171" s="7" t="s">
        <v>10</v>
      </c>
    </row>
    <row r="172" spans="2:6" ht="14.25">
      <c r="B172" s="74"/>
      <c r="C172" s="74"/>
      <c r="D172" s="74"/>
      <c r="E172" s="74"/>
      <c r="F172" s="74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5.75">
      <c r="B178" s="10"/>
      <c r="C178" s="10"/>
      <c r="D178" s="72"/>
      <c r="E178" s="73"/>
      <c r="F178" s="73"/>
      <c r="G178" s="73"/>
      <c r="H178" s="73"/>
      <c r="I178" s="73"/>
      <c r="J178" s="73"/>
      <c r="K178" s="73"/>
      <c r="L178" s="73"/>
      <c r="M178" s="73"/>
      <c r="N178" s="10"/>
      <c r="O178" s="10"/>
      <c r="P178" s="10"/>
    </row>
    <row r="179" spans="2:16" ht="15">
      <c r="B179" s="10"/>
      <c r="C179" s="10"/>
      <c r="D179" s="68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</sheetData>
  <sheetProtection/>
  <mergeCells count="36">
    <mergeCell ref="O5:Q6"/>
    <mergeCell ref="AI1:AI5"/>
    <mergeCell ref="Z1:Z5"/>
    <mergeCell ref="AA1:AA5"/>
    <mergeCell ref="AB1:AB5"/>
    <mergeCell ref="AC1:AC5"/>
    <mergeCell ref="AD1:AD5"/>
    <mergeCell ref="AE1:AE5"/>
    <mergeCell ref="AG1:AG5"/>
    <mergeCell ref="AH1:AH5"/>
    <mergeCell ref="V1:V5"/>
    <mergeCell ref="U1:U5"/>
    <mergeCell ref="W1:W5"/>
    <mergeCell ref="R5:S6"/>
    <mergeCell ref="X1:X5"/>
    <mergeCell ref="Y1:Y5"/>
    <mergeCell ref="D179:N179"/>
    <mergeCell ref="D8:D9"/>
    <mergeCell ref="D178:M178"/>
    <mergeCell ref="B172:F172"/>
    <mergeCell ref="Q8:Q9"/>
    <mergeCell ref="AF1:AF5"/>
    <mergeCell ref="C5:C6"/>
    <mergeCell ref="D5:E6"/>
    <mergeCell ref="F5:H6"/>
    <mergeCell ref="I5:K6"/>
    <mergeCell ref="A8:A9"/>
    <mergeCell ref="B1:S1"/>
    <mergeCell ref="B2:S2"/>
    <mergeCell ref="B3:S3"/>
    <mergeCell ref="B8:B9"/>
    <mergeCell ref="C8:C9"/>
    <mergeCell ref="S8:S9"/>
    <mergeCell ref="E8:P8"/>
    <mergeCell ref="R8:R9"/>
    <mergeCell ref="L5:N6"/>
  </mergeCells>
  <conditionalFormatting sqref="S10:S36 S101 S150:S158 S42:S47 S105:S120 S122:S143 S145:S148 S164:S167 S160 S38:S40 S49:S98">
    <cfRule type="cellIs" priority="1379" dxfId="5" operator="equal" stopIfTrue="1">
      <formula>"INVIABLE SANITARIAMENTE"</formula>
    </cfRule>
  </conditionalFormatting>
  <conditionalFormatting sqref="S10:S36 S101 S150:S158 S42:S47 S105:S120 S122:S143 S145:S148 S164:S167 S160 S38:S40 S49:S98">
    <cfRule type="containsText" priority="1374" dxfId="3" operator="containsText" stopIfTrue="1" text="INVIABLE SANITARIAMENTE">
      <formula>NOT(ISERROR(SEARCH("INVIABLE SANITARIAMENTE",S10)))</formula>
    </cfRule>
    <cfRule type="containsText" priority="1375" dxfId="2" operator="containsText" stopIfTrue="1" text="ALTO">
      <formula>NOT(ISERROR(SEARCH("ALTO",S10)))</formula>
    </cfRule>
    <cfRule type="containsText" priority="1376" dxfId="1" operator="containsText" stopIfTrue="1" text="MEDIO">
      <formula>NOT(ISERROR(SEARCH("MEDIO",S10)))</formula>
    </cfRule>
    <cfRule type="containsText" priority="1377" dxfId="159" operator="containsText" stopIfTrue="1" text="BAJO">
      <formula>NOT(ISERROR(SEARCH("BAJO",S10)))</formula>
    </cfRule>
    <cfRule type="containsText" priority="1378" dxfId="160" operator="containsText" stopIfTrue="1" text="SIN RIESGO">
      <formula>NOT(ISERROR(SEARCH("SIN RIESGO",S10)))</formula>
    </cfRule>
  </conditionalFormatting>
  <conditionalFormatting sqref="S10:S36 S101 S150:S158 S42:S47 S105:S120 S122:S143 S145:S148 S164:S167 S160 S38:S40 S49:S98">
    <cfRule type="containsText" priority="1373" dxfId="0" operator="containsText" stopIfTrue="1" text="SIN RIESGO">
      <formula>NOT(ISERROR(SEARCH("SIN RIESGO",S10)))</formula>
    </cfRule>
  </conditionalFormatting>
  <conditionalFormatting sqref="R10:R36 R101 R150:R158 R42:R47 R105:R120 R122:R143 R145:R148 R164:R167 R160 R38:R40 R49:R98">
    <cfRule type="cellIs" priority="1371" dxfId="6" operator="equal" stopIfTrue="1">
      <formula>"NO"</formula>
    </cfRule>
  </conditionalFormatting>
  <conditionalFormatting sqref="S100">
    <cfRule type="cellIs" priority="1289" dxfId="5" operator="equal" stopIfTrue="1">
      <formula>"INVIABLE SANITARIAMENTE"</formula>
    </cfRule>
  </conditionalFormatting>
  <conditionalFormatting sqref="S100">
    <cfRule type="containsText" priority="1284" dxfId="3" operator="containsText" stopIfTrue="1" text="INVIABLE SANITARIAMENTE">
      <formula>NOT(ISERROR(SEARCH("INVIABLE SANITARIAMENTE",S100)))</formula>
    </cfRule>
    <cfRule type="containsText" priority="1285" dxfId="2" operator="containsText" stopIfTrue="1" text="ALTO">
      <formula>NOT(ISERROR(SEARCH("ALTO",S100)))</formula>
    </cfRule>
    <cfRule type="containsText" priority="1286" dxfId="1" operator="containsText" stopIfTrue="1" text="MEDIO">
      <formula>NOT(ISERROR(SEARCH("MEDIO",S100)))</formula>
    </cfRule>
    <cfRule type="containsText" priority="1287" dxfId="159" operator="containsText" stopIfTrue="1" text="BAJO">
      <formula>NOT(ISERROR(SEARCH("BAJO",S100)))</formula>
    </cfRule>
    <cfRule type="containsText" priority="1288" dxfId="160" operator="containsText" stopIfTrue="1" text="SIN RIESGO">
      <formula>NOT(ISERROR(SEARCH("SIN RIESGO",S100)))</formula>
    </cfRule>
  </conditionalFormatting>
  <conditionalFormatting sqref="S100">
    <cfRule type="containsText" priority="1283" dxfId="0" operator="containsText" stopIfTrue="1" text="SIN RIESGO">
      <formula>NOT(ISERROR(SEARCH("SIN RIESGO",S100)))</formula>
    </cfRule>
  </conditionalFormatting>
  <conditionalFormatting sqref="R100">
    <cfRule type="cellIs" priority="1282" dxfId="6" operator="equal" stopIfTrue="1">
      <formula>"NO"</formula>
    </cfRule>
  </conditionalFormatting>
  <conditionalFormatting sqref="S149">
    <cfRule type="cellIs" priority="1274" dxfId="5" operator="equal" stopIfTrue="1">
      <formula>"INVIABLE SANITARIAMENTE"</formula>
    </cfRule>
  </conditionalFormatting>
  <conditionalFormatting sqref="S149">
    <cfRule type="containsText" priority="1269" dxfId="3" operator="containsText" stopIfTrue="1" text="INVIABLE SANITARIAMENTE">
      <formula>NOT(ISERROR(SEARCH("INVIABLE SANITARIAMENTE",S149)))</formula>
    </cfRule>
    <cfRule type="containsText" priority="1270" dxfId="2" operator="containsText" stopIfTrue="1" text="ALTO">
      <formula>NOT(ISERROR(SEARCH("ALTO",S149)))</formula>
    </cfRule>
    <cfRule type="containsText" priority="1271" dxfId="1" operator="containsText" stopIfTrue="1" text="MEDIO">
      <formula>NOT(ISERROR(SEARCH("MEDIO",S149)))</formula>
    </cfRule>
    <cfRule type="containsText" priority="1272" dxfId="159" operator="containsText" stopIfTrue="1" text="BAJO">
      <formula>NOT(ISERROR(SEARCH("BAJO",S149)))</formula>
    </cfRule>
    <cfRule type="containsText" priority="1273" dxfId="160" operator="containsText" stopIfTrue="1" text="SIN RIESGO">
      <formula>NOT(ISERROR(SEARCH("SIN RIESGO",S149)))</formula>
    </cfRule>
  </conditionalFormatting>
  <conditionalFormatting sqref="S149">
    <cfRule type="containsText" priority="1268" dxfId="0" operator="containsText" stopIfTrue="1" text="SIN RIESGO">
      <formula>NOT(ISERROR(SEARCH("SIN RIESGO",S149)))</formula>
    </cfRule>
  </conditionalFormatting>
  <conditionalFormatting sqref="R149">
    <cfRule type="cellIs" priority="1267" dxfId="6" operator="equal" stopIfTrue="1">
      <formula>"NO"</formula>
    </cfRule>
  </conditionalFormatting>
  <conditionalFormatting sqref="S41">
    <cfRule type="cellIs" priority="1103" dxfId="5" operator="equal" stopIfTrue="1">
      <formula>"INVIABLE SANITARIAMENTE"</formula>
    </cfRule>
  </conditionalFormatting>
  <conditionalFormatting sqref="S41">
    <cfRule type="containsText" priority="1098" dxfId="3" operator="containsText" stopIfTrue="1" text="INVIABLE SANITARIAMENTE">
      <formula>NOT(ISERROR(SEARCH("INVIABLE SANITARIAMENTE",S41)))</formula>
    </cfRule>
    <cfRule type="containsText" priority="1099" dxfId="2" operator="containsText" stopIfTrue="1" text="ALTO">
      <formula>NOT(ISERROR(SEARCH("ALTO",S41)))</formula>
    </cfRule>
    <cfRule type="containsText" priority="1100" dxfId="1" operator="containsText" stopIfTrue="1" text="MEDIO">
      <formula>NOT(ISERROR(SEARCH("MEDIO",S41)))</formula>
    </cfRule>
    <cfRule type="containsText" priority="1101" dxfId="159" operator="containsText" stopIfTrue="1" text="BAJO">
      <formula>NOT(ISERROR(SEARCH("BAJO",S41)))</formula>
    </cfRule>
    <cfRule type="containsText" priority="1102" dxfId="160" operator="containsText" stopIfTrue="1" text="SIN RIESGO">
      <formula>NOT(ISERROR(SEARCH("SIN RIESGO",S41)))</formula>
    </cfRule>
  </conditionalFormatting>
  <conditionalFormatting sqref="S41">
    <cfRule type="containsText" priority="1097" dxfId="0" operator="containsText" stopIfTrue="1" text="SIN RIESGO">
      <formula>NOT(ISERROR(SEARCH("SIN RIESGO",S41)))</formula>
    </cfRule>
  </conditionalFormatting>
  <conditionalFormatting sqref="R41">
    <cfRule type="cellIs" priority="1096" dxfId="6" operator="equal" stopIfTrue="1">
      <formula>"NO"</formula>
    </cfRule>
  </conditionalFormatting>
  <conditionalFormatting sqref="S102">
    <cfRule type="cellIs" priority="962" dxfId="5" operator="equal" stopIfTrue="1">
      <formula>"INVIABLE SANITARIAMENTE"</formula>
    </cfRule>
  </conditionalFormatting>
  <conditionalFormatting sqref="S102">
    <cfRule type="containsText" priority="957" dxfId="3" operator="containsText" stopIfTrue="1" text="INVIABLE SANITARIAMENTE">
      <formula>NOT(ISERROR(SEARCH("INVIABLE SANITARIAMENTE",S102)))</formula>
    </cfRule>
    <cfRule type="containsText" priority="958" dxfId="2" operator="containsText" stopIfTrue="1" text="ALTO">
      <formula>NOT(ISERROR(SEARCH("ALTO",S102)))</formula>
    </cfRule>
    <cfRule type="containsText" priority="959" dxfId="1" operator="containsText" stopIfTrue="1" text="MEDIO">
      <formula>NOT(ISERROR(SEARCH("MEDIO",S102)))</formula>
    </cfRule>
    <cfRule type="containsText" priority="960" dxfId="159" operator="containsText" stopIfTrue="1" text="BAJO">
      <formula>NOT(ISERROR(SEARCH("BAJO",S102)))</formula>
    </cfRule>
    <cfRule type="containsText" priority="961" dxfId="160" operator="containsText" stopIfTrue="1" text="SIN RIESGO">
      <formula>NOT(ISERROR(SEARCH("SIN RIESGO",S102)))</formula>
    </cfRule>
  </conditionalFormatting>
  <conditionalFormatting sqref="S102">
    <cfRule type="containsText" priority="956" dxfId="0" operator="containsText" stopIfTrue="1" text="SIN RIESGO">
      <formula>NOT(ISERROR(SEARCH("SIN RIESGO",S102)))</formula>
    </cfRule>
  </conditionalFormatting>
  <conditionalFormatting sqref="R102">
    <cfRule type="cellIs" priority="955" dxfId="6" operator="equal" stopIfTrue="1">
      <formula>"NO"</formula>
    </cfRule>
  </conditionalFormatting>
  <conditionalFormatting sqref="S104">
    <cfRule type="cellIs" priority="947" dxfId="5" operator="equal" stopIfTrue="1">
      <formula>"INVIABLE SANITARIAMENTE"</formula>
    </cfRule>
  </conditionalFormatting>
  <conditionalFormatting sqref="S104">
    <cfRule type="containsText" priority="942" dxfId="3" operator="containsText" stopIfTrue="1" text="INVIABLE SANITARIAMENTE">
      <formula>NOT(ISERROR(SEARCH("INVIABLE SANITARIAMENTE",S104)))</formula>
    </cfRule>
    <cfRule type="containsText" priority="943" dxfId="2" operator="containsText" stopIfTrue="1" text="ALTO">
      <formula>NOT(ISERROR(SEARCH("ALTO",S104)))</formula>
    </cfRule>
    <cfRule type="containsText" priority="944" dxfId="1" operator="containsText" stopIfTrue="1" text="MEDIO">
      <formula>NOT(ISERROR(SEARCH("MEDIO",S104)))</formula>
    </cfRule>
    <cfRule type="containsText" priority="945" dxfId="159" operator="containsText" stopIfTrue="1" text="BAJO">
      <formula>NOT(ISERROR(SEARCH("BAJO",S104)))</formula>
    </cfRule>
    <cfRule type="containsText" priority="946" dxfId="160" operator="containsText" stopIfTrue="1" text="SIN RIESGO">
      <formula>NOT(ISERROR(SEARCH("SIN RIESGO",S104)))</formula>
    </cfRule>
  </conditionalFormatting>
  <conditionalFormatting sqref="S104">
    <cfRule type="containsText" priority="941" dxfId="0" operator="containsText" stopIfTrue="1" text="SIN RIESGO">
      <formula>NOT(ISERROR(SEARCH("SIN RIESGO",S104)))</formula>
    </cfRule>
  </conditionalFormatting>
  <conditionalFormatting sqref="R104">
    <cfRule type="cellIs" priority="940" dxfId="6" operator="equal" stopIfTrue="1">
      <formula>"NO"</formula>
    </cfRule>
  </conditionalFormatting>
  <conditionalFormatting sqref="S103">
    <cfRule type="cellIs" priority="932" dxfId="5" operator="equal" stopIfTrue="1">
      <formula>"INVIABLE SANITARIAMENTE"</formula>
    </cfRule>
  </conditionalFormatting>
  <conditionalFormatting sqref="S103">
    <cfRule type="containsText" priority="927" dxfId="3" operator="containsText" stopIfTrue="1" text="INVIABLE SANITARIAMENTE">
      <formula>NOT(ISERROR(SEARCH("INVIABLE SANITARIAMENTE",S103)))</formula>
    </cfRule>
    <cfRule type="containsText" priority="928" dxfId="2" operator="containsText" stopIfTrue="1" text="ALTO">
      <formula>NOT(ISERROR(SEARCH("ALTO",S103)))</formula>
    </cfRule>
    <cfRule type="containsText" priority="929" dxfId="1" operator="containsText" stopIfTrue="1" text="MEDIO">
      <formula>NOT(ISERROR(SEARCH("MEDIO",S103)))</formula>
    </cfRule>
    <cfRule type="containsText" priority="930" dxfId="159" operator="containsText" stopIfTrue="1" text="BAJO">
      <formula>NOT(ISERROR(SEARCH("BAJO",S103)))</formula>
    </cfRule>
    <cfRule type="containsText" priority="931" dxfId="160" operator="containsText" stopIfTrue="1" text="SIN RIESGO">
      <formula>NOT(ISERROR(SEARCH("SIN RIESGO",S103)))</formula>
    </cfRule>
  </conditionalFormatting>
  <conditionalFormatting sqref="S103">
    <cfRule type="containsText" priority="926" dxfId="0" operator="containsText" stopIfTrue="1" text="SIN RIESGO">
      <formula>NOT(ISERROR(SEARCH("SIN RIESGO",S103)))</formula>
    </cfRule>
  </conditionalFormatting>
  <conditionalFormatting sqref="R103">
    <cfRule type="cellIs" priority="925" dxfId="6" operator="equal" stopIfTrue="1">
      <formula>"NO"</formula>
    </cfRule>
  </conditionalFormatting>
  <conditionalFormatting sqref="S121">
    <cfRule type="cellIs" priority="917" dxfId="5" operator="equal" stopIfTrue="1">
      <formula>"INVIABLE SANITARIAMENTE"</formula>
    </cfRule>
  </conditionalFormatting>
  <conditionalFormatting sqref="S121">
    <cfRule type="containsText" priority="912" dxfId="3" operator="containsText" stopIfTrue="1" text="INVIABLE SANITARIAMENTE">
      <formula>NOT(ISERROR(SEARCH("INVIABLE SANITARIAMENTE",S121)))</formula>
    </cfRule>
    <cfRule type="containsText" priority="913" dxfId="2" operator="containsText" stopIfTrue="1" text="ALTO">
      <formula>NOT(ISERROR(SEARCH("ALTO",S121)))</formula>
    </cfRule>
    <cfRule type="containsText" priority="914" dxfId="1" operator="containsText" stopIfTrue="1" text="MEDIO">
      <formula>NOT(ISERROR(SEARCH("MEDIO",S121)))</formula>
    </cfRule>
    <cfRule type="containsText" priority="915" dxfId="159" operator="containsText" stopIfTrue="1" text="BAJO">
      <formula>NOT(ISERROR(SEARCH("BAJO",S121)))</formula>
    </cfRule>
    <cfRule type="containsText" priority="916" dxfId="160" operator="containsText" stopIfTrue="1" text="SIN RIESGO">
      <formula>NOT(ISERROR(SEARCH("SIN RIESGO",S121)))</formula>
    </cfRule>
  </conditionalFormatting>
  <conditionalFormatting sqref="S121">
    <cfRule type="containsText" priority="911" dxfId="0" operator="containsText" stopIfTrue="1" text="SIN RIESGO">
      <formula>NOT(ISERROR(SEARCH("SIN RIESGO",S121)))</formula>
    </cfRule>
  </conditionalFormatting>
  <conditionalFormatting sqref="R121">
    <cfRule type="cellIs" priority="910" dxfId="6" operator="equal" stopIfTrue="1">
      <formula>"NO"</formula>
    </cfRule>
  </conditionalFormatting>
  <conditionalFormatting sqref="S144">
    <cfRule type="cellIs" priority="895" dxfId="5" operator="equal" stopIfTrue="1">
      <formula>"INVIABLE SANITARIAMENTE"</formula>
    </cfRule>
  </conditionalFormatting>
  <conditionalFormatting sqref="S144">
    <cfRule type="containsText" priority="890" dxfId="3" operator="containsText" stopIfTrue="1" text="INVIABLE SANITARIAMENTE">
      <formula>NOT(ISERROR(SEARCH("INVIABLE SANITARIAMENTE",S144)))</formula>
    </cfRule>
    <cfRule type="containsText" priority="891" dxfId="2" operator="containsText" stopIfTrue="1" text="ALTO">
      <formula>NOT(ISERROR(SEARCH("ALTO",S144)))</formula>
    </cfRule>
    <cfRule type="containsText" priority="892" dxfId="1" operator="containsText" stopIfTrue="1" text="MEDIO">
      <formula>NOT(ISERROR(SEARCH("MEDIO",S144)))</formula>
    </cfRule>
    <cfRule type="containsText" priority="893" dxfId="159" operator="containsText" stopIfTrue="1" text="BAJO">
      <formula>NOT(ISERROR(SEARCH("BAJO",S144)))</formula>
    </cfRule>
    <cfRule type="containsText" priority="894" dxfId="160" operator="containsText" stopIfTrue="1" text="SIN RIESGO">
      <formula>NOT(ISERROR(SEARCH("SIN RIESGO",S144)))</formula>
    </cfRule>
  </conditionalFormatting>
  <conditionalFormatting sqref="S144">
    <cfRule type="containsText" priority="889" dxfId="0" operator="containsText" stopIfTrue="1" text="SIN RIESGO">
      <formula>NOT(ISERROR(SEARCH("SIN RIESGO",S144)))</formula>
    </cfRule>
  </conditionalFormatting>
  <conditionalFormatting sqref="R144">
    <cfRule type="cellIs" priority="888" dxfId="6" operator="equal" stopIfTrue="1">
      <formula>"NO"</formula>
    </cfRule>
  </conditionalFormatting>
  <conditionalFormatting sqref="S163">
    <cfRule type="cellIs" priority="873" dxfId="5" operator="equal" stopIfTrue="1">
      <formula>"INVIABLE SANITARIAMENTE"</formula>
    </cfRule>
  </conditionalFormatting>
  <conditionalFormatting sqref="S163">
    <cfRule type="containsText" priority="868" dxfId="3" operator="containsText" stopIfTrue="1" text="INVIABLE SANITARIAMENTE">
      <formula>NOT(ISERROR(SEARCH("INVIABLE SANITARIAMENTE",S163)))</formula>
    </cfRule>
    <cfRule type="containsText" priority="869" dxfId="2" operator="containsText" stopIfTrue="1" text="ALTO">
      <formula>NOT(ISERROR(SEARCH("ALTO",S163)))</formula>
    </cfRule>
    <cfRule type="containsText" priority="870" dxfId="1" operator="containsText" stopIfTrue="1" text="MEDIO">
      <formula>NOT(ISERROR(SEARCH("MEDIO",S163)))</formula>
    </cfRule>
    <cfRule type="containsText" priority="871" dxfId="159" operator="containsText" stopIfTrue="1" text="BAJO">
      <formula>NOT(ISERROR(SEARCH("BAJO",S163)))</formula>
    </cfRule>
    <cfRule type="containsText" priority="872" dxfId="160" operator="containsText" stopIfTrue="1" text="SIN RIESGO">
      <formula>NOT(ISERROR(SEARCH("SIN RIESGO",S163)))</formula>
    </cfRule>
  </conditionalFormatting>
  <conditionalFormatting sqref="S163">
    <cfRule type="containsText" priority="867" dxfId="0" operator="containsText" stopIfTrue="1" text="SIN RIESGO">
      <formula>NOT(ISERROR(SEARCH("SIN RIESGO",S163)))</formula>
    </cfRule>
  </conditionalFormatting>
  <conditionalFormatting sqref="R163">
    <cfRule type="cellIs" priority="866" dxfId="6" operator="equal" stopIfTrue="1">
      <formula>"NO"</formula>
    </cfRule>
  </conditionalFormatting>
  <conditionalFormatting sqref="S162">
    <cfRule type="cellIs" priority="851" dxfId="5" operator="equal" stopIfTrue="1">
      <formula>"INVIABLE SANITARIAMENTE"</formula>
    </cfRule>
  </conditionalFormatting>
  <conditionalFormatting sqref="S162">
    <cfRule type="containsText" priority="846" dxfId="3" operator="containsText" stopIfTrue="1" text="INVIABLE SANITARIAMENTE">
      <formula>NOT(ISERROR(SEARCH("INVIABLE SANITARIAMENTE",S162)))</formula>
    </cfRule>
    <cfRule type="containsText" priority="847" dxfId="2" operator="containsText" stopIfTrue="1" text="ALTO">
      <formula>NOT(ISERROR(SEARCH("ALTO",S162)))</formula>
    </cfRule>
    <cfRule type="containsText" priority="848" dxfId="1" operator="containsText" stopIfTrue="1" text="MEDIO">
      <formula>NOT(ISERROR(SEARCH("MEDIO",S162)))</formula>
    </cfRule>
    <cfRule type="containsText" priority="849" dxfId="159" operator="containsText" stopIfTrue="1" text="BAJO">
      <formula>NOT(ISERROR(SEARCH("BAJO",S162)))</formula>
    </cfRule>
    <cfRule type="containsText" priority="850" dxfId="160" operator="containsText" stopIfTrue="1" text="SIN RIESGO">
      <formula>NOT(ISERROR(SEARCH("SIN RIESGO",S162)))</formula>
    </cfRule>
  </conditionalFormatting>
  <conditionalFormatting sqref="S162">
    <cfRule type="containsText" priority="845" dxfId="0" operator="containsText" stopIfTrue="1" text="SIN RIESGO">
      <formula>NOT(ISERROR(SEARCH("SIN RIESGO",S162)))</formula>
    </cfRule>
  </conditionalFormatting>
  <conditionalFormatting sqref="R162">
    <cfRule type="cellIs" priority="844" dxfId="6" operator="equal" stopIfTrue="1">
      <formula>"NO"</formula>
    </cfRule>
  </conditionalFormatting>
  <conditionalFormatting sqref="S161">
    <cfRule type="cellIs" priority="829" dxfId="5" operator="equal" stopIfTrue="1">
      <formula>"INVIABLE SANITARIAMENTE"</formula>
    </cfRule>
  </conditionalFormatting>
  <conditionalFormatting sqref="S161">
    <cfRule type="containsText" priority="824" dxfId="3" operator="containsText" stopIfTrue="1" text="INVIABLE SANITARIAMENTE">
      <formula>NOT(ISERROR(SEARCH("INVIABLE SANITARIAMENTE",S161)))</formula>
    </cfRule>
    <cfRule type="containsText" priority="825" dxfId="2" operator="containsText" stopIfTrue="1" text="ALTO">
      <formula>NOT(ISERROR(SEARCH("ALTO",S161)))</formula>
    </cfRule>
    <cfRule type="containsText" priority="826" dxfId="1" operator="containsText" stopIfTrue="1" text="MEDIO">
      <formula>NOT(ISERROR(SEARCH("MEDIO",S161)))</formula>
    </cfRule>
    <cfRule type="containsText" priority="827" dxfId="159" operator="containsText" stopIfTrue="1" text="BAJO">
      <formula>NOT(ISERROR(SEARCH("BAJO",S161)))</formula>
    </cfRule>
    <cfRule type="containsText" priority="828" dxfId="160" operator="containsText" stopIfTrue="1" text="SIN RIESGO">
      <formula>NOT(ISERROR(SEARCH("SIN RIESGO",S161)))</formula>
    </cfRule>
  </conditionalFormatting>
  <conditionalFormatting sqref="S161">
    <cfRule type="containsText" priority="823" dxfId="0" operator="containsText" stopIfTrue="1" text="SIN RIESGO">
      <formula>NOT(ISERROR(SEARCH("SIN RIESGO",S161)))</formula>
    </cfRule>
  </conditionalFormatting>
  <conditionalFormatting sqref="R161">
    <cfRule type="cellIs" priority="822" dxfId="6" operator="equal" stopIfTrue="1">
      <formula>"NO"</formula>
    </cfRule>
  </conditionalFormatting>
  <conditionalFormatting sqref="R99">
    <cfRule type="cellIs" priority="441" dxfId="6" operator="equal" stopIfTrue="1">
      <formula>"NO"</formula>
    </cfRule>
  </conditionalFormatting>
  <conditionalFormatting sqref="S99">
    <cfRule type="cellIs" priority="442" dxfId="5" operator="equal" stopIfTrue="1">
      <formula>"INVIABLE SANITARIAMENTE"</formula>
    </cfRule>
  </conditionalFormatting>
  <conditionalFormatting sqref="S99">
    <cfRule type="cellIs" priority="440" dxfId="5" operator="equal" stopIfTrue="1">
      <formula>"INVIABLE SANITARIAMENTE"</formula>
    </cfRule>
  </conditionalFormatting>
  <conditionalFormatting sqref="S99">
    <cfRule type="containsText" priority="435" dxfId="3" operator="containsText" stopIfTrue="1" text="INVIABLE SANITARIAMENTE">
      <formula>NOT(ISERROR(SEARCH("INVIABLE SANITARIAMENTE",S99)))</formula>
    </cfRule>
    <cfRule type="containsText" priority="436" dxfId="2" operator="containsText" stopIfTrue="1" text="ALTO">
      <formula>NOT(ISERROR(SEARCH("ALTO",S99)))</formula>
    </cfRule>
    <cfRule type="containsText" priority="437" dxfId="1" operator="containsText" stopIfTrue="1" text="MEDIO">
      <formula>NOT(ISERROR(SEARCH("MEDIO",S99)))</formula>
    </cfRule>
    <cfRule type="containsText" priority="438" dxfId="159" operator="containsText" stopIfTrue="1" text="BAJO">
      <formula>NOT(ISERROR(SEARCH("BAJO",S99)))</formula>
    </cfRule>
    <cfRule type="containsText" priority="439" dxfId="160" operator="containsText" stopIfTrue="1" text="SIN RIESGO">
      <formula>NOT(ISERROR(SEARCH("SIN RIESGO",S99)))</formula>
    </cfRule>
  </conditionalFormatting>
  <conditionalFormatting sqref="S99">
    <cfRule type="containsText" priority="434" dxfId="0" operator="containsText" stopIfTrue="1" text="SIN RIESGO">
      <formula>NOT(ISERROR(SEARCH("SIN RIESGO",S99)))</formula>
    </cfRule>
  </conditionalFormatting>
  <conditionalFormatting sqref="R159">
    <cfRule type="cellIs" priority="236" dxfId="6" operator="equal" stopIfTrue="1">
      <formula>"NO"</formula>
    </cfRule>
  </conditionalFormatting>
  <conditionalFormatting sqref="S159">
    <cfRule type="cellIs" priority="237" dxfId="5" operator="equal" stopIfTrue="1">
      <formula>"INVIABLE SANITARIAMENTE"</formula>
    </cfRule>
  </conditionalFormatting>
  <conditionalFormatting sqref="S159">
    <cfRule type="cellIs" priority="235" dxfId="5" operator="equal" stopIfTrue="1">
      <formula>"INVIABLE SANITARIAMENTE"</formula>
    </cfRule>
  </conditionalFormatting>
  <conditionalFormatting sqref="S159">
    <cfRule type="containsText" priority="230" dxfId="3" operator="containsText" stopIfTrue="1" text="INVIABLE SANITARIAMENTE">
      <formula>NOT(ISERROR(SEARCH("INVIABLE SANITARIAMENTE",S159)))</formula>
    </cfRule>
    <cfRule type="containsText" priority="231" dxfId="2" operator="containsText" stopIfTrue="1" text="ALTO">
      <formula>NOT(ISERROR(SEARCH("ALTO",S159)))</formula>
    </cfRule>
    <cfRule type="containsText" priority="232" dxfId="1" operator="containsText" stopIfTrue="1" text="MEDIO">
      <formula>NOT(ISERROR(SEARCH("MEDIO",S159)))</formula>
    </cfRule>
    <cfRule type="containsText" priority="233" dxfId="159" operator="containsText" stopIfTrue="1" text="BAJO">
      <formula>NOT(ISERROR(SEARCH("BAJO",S159)))</formula>
    </cfRule>
    <cfRule type="containsText" priority="234" dxfId="160" operator="containsText" stopIfTrue="1" text="SIN RIESGO">
      <formula>NOT(ISERROR(SEARCH("SIN RIESGO",S159)))</formula>
    </cfRule>
  </conditionalFormatting>
  <conditionalFormatting sqref="S159">
    <cfRule type="containsText" priority="229" dxfId="0" operator="containsText" stopIfTrue="1" text="SIN RIESGO">
      <formula>NOT(ISERROR(SEARCH("SIN RIESGO",S159)))</formula>
    </cfRule>
  </conditionalFormatting>
  <conditionalFormatting sqref="S37">
    <cfRule type="cellIs" priority="186" dxfId="5" operator="equal" stopIfTrue="1">
      <formula>"INVIABLE SANITARIAMENTE"</formula>
    </cfRule>
  </conditionalFormatting>
  <conditionalFormatting sqref="S37">
    <cfRule type="containsText" priority="181" dxfId="3" operator="containsText" stopIfTrue="1" text="INVIABLE SANITARIAMENTE">
      <formula>NOT(ISERROR(SEARCH("INVIABLE SANITARIAMENTE",S37)))</formula>
    </cfRule>
    <cfRule type="containsText" priority="182" dxfId="2" operator="containsText" stopIfTrue="1" text="ALTO">
      <formula>NOT(ISERROR(SEARCH("ALTO",S37)))</formula>
    </cfRule>
    <cfRule type="containsText" priority="183" dxfId="1" operator="containsText" stopIfTrue="1" text="MEDIO">
      <formula>NOT(ISERROR(SEARCH("MEDIO",S37)))</formula>
    </cfRule>
    <cfRule type="containsText" priority="184" dxfId="159" operator="containsText" stopIfTrue="1" text="BAJO">
      <formula>NOT(ISERROR(SEARCH("BAJO",S37)))</formula>
    </cfRule>
    <cfRule type="containsText" priority="185" dxfId="160" operator="containsText" stopIfTrue="1" text="SIN RIESGO">
      <formula>NOT(ISERROR(SEARCH("SIN RIESGO",S37)))</formula>
    </cfRule>
  </conditionalFormatting>
  <conditionalFormatting sqref="S37">
    <cfRule type="containsText" priority="180" dxfId="0" operator="containsText" stopIfTrue="1" text="SIN RIESGO">
      <formula>NOT(ISERROR(SEARCH("SIN RIESGO",S37)))</formula>
    </cfRule>
  </conditionalFormatting>
  <conditionalFormatting sqref="R37">
    <cfRule type="cellIs" priority="179" dxfId="6" operator="equal" stopIfTrue="1">
      <formula>"NO"</formula>
    </cfRule>
  </conditionalFormatting>
  <conditionalFormatting sqref="S48">
    <cfRule type="cellIs" priority="164" dxfId="5" operator="equal" stopIfTrue="1">
      <formula>"INVIABLE SANITARIAMENTE"</formula>
    </cfRule>
  </conditionalFormatting>
  <conditionalFormatting sqref="S48">
    <cfRule type="containsText" priority="159" dxfId="3" operator="containsText" stopIfTrue="1" text="INVIABLE SANITARIAMENTE">
      <formula>NOT(ISERROR(SEARCH("INVIABLE SANITARIAMENTE",S48)))</formula>
    </cfRule>
    <cfRule type="containsText" priority="160" dxfId="2" operator="containsText" stopIfTrue="1" text="ALTO">
      <formula>NOT(ISERROR(SEARCH("ALTO",S48)))</formula>
    </cfRule>
    <cfRule type="containsText" priority="161" dxfId="1" operator="containsText" stopIfTrue="1" text="MEDIO">
      <formula>NOT(ISERROR(SEARCH("MEDIO",S48)))</formula>
    </cfRule>
    <cfRule type="containsText" priority="162" dxfId="159" operator="containsText" stopIfTrue="1" text="BAJO">
      <formula>NOT(ISERROR(SEARCH("BAJO",S48)))</formula>
    </cfRule>
    <cfRule type="containsText" priority="163" dxfId="160" operator="containsText" stopIfTrue="1" text="SIN RIESGO">
      <formula>NOT(ISERROR(SEARCH("SIN RIESGO",S48)))</formula>
    </cfRule>
  </conditionalFormatting>
  <conditionalFormatting sqref="S48">
    <cfRule type="containsText" priority="158" dxfId="0" operator="containsText" stopIfTrue="1" text="SIN RIESGO">
      <formula>NOT(ISERROR(SEARCH("SIN RIESGO",S48)))</formula>
    </cfRule>
  </conditionalFormatting>
  <conditionalFormatting sqref="R48">
    <cfRule type="cellIs" priority="157" dxfId="6" operator="equal" stopIfTrue="1">
      <formula>"NO"</formula>
    </cfRule>
  </conditionalFormatting>
  <conditionalFormatting sqref="E10:E26">
    <cfRule type="containsBlanks" priority="129" dxfId="9" stopIfTrue="1">
      <formula>LEN(TRIM(E10))=0</formula>
    </cfRule>
    <cfRule type="cellIs" priority="130" dxfId="3" operator="between" stopIfTrue="1">
      <formula>80.1</formula>
      <formula>100</formula>
    </cfRule>
    <cfRule type="cellIs" priority="131" dxfId="2" operator="between" stopIfTrue="1">
      <formula>35.1</formula>
      <formula>80</formula>
    </cfRule>
    <cfRule type="cellIs" priority="132" dxfId="1" operator="between" stopIfTrue="1">
      <formula>14.1</formula>
      <formula>35</formula>
    </cfRule>
    <cfRule type="cellIs" priority="133" dxfId="159" operator="between" stopIfTrue="1">
      <formula>5.1</formula>
      <formula>14</formula>
    </cfRule>
    <cfRule type="cellIs" priority="134" dxfId="0" operator="between" stopIfTrue="1">
      <formula>0</formula>
      <formula>5</formula>
    </cfRule>
    <cfRule type="containsBlanks" priority="135" dxfId="9" stopIfTrue="1">
      <formula>LEN(TRIM(E10))=0</formula>
    </cfRule>
  </conditionalFormatting>
  <conditionalFormatting sqref="F10:Q26">
    <cfRule type="containsBlanks" priority="122" dxfId="9" stopIfTrue="1">
      <formula>LEN(TRIM(F10))=0</formula>
    </cfRule>
    <cfRule type="cellIs" priority="123" dxfId="3" operator="between" stopIfTrue="1">
      <formula>80.1</formula>
      <formula>100</formula>
    </cfRule>
    <cfRule type="cellIs" priority="124" dxfId="2" operator="between" stopIfTrue="1">
      <formula>35.1</formula>
      <formula>80</formula>
    </cfRule>
    <cfRule type="cellIs" priority="125" dxfId="1" operator="between" stopIfTrue="1">
      <formula>14.1</formula>
      <formula>35</formula>
    </cfRule>
    <cfRule type="cellIs" priority="126" dxfId="159" operator="between" stopIfTrue="1">
      <formula>5.1</formula>
      <formula>14</formula>
    </cfRule>
    <cfRule type="cellIs" priority="127" dxfId="0" operator="between" stopIfTrue="1">
      <formula>0</formula>
      <formula>5</formula>
    </cfRule>
    <cfRule type="containsBlanks" priority="128" dxfId="9" stopIfTrue="1">
      <formula>LEN(TRIM(F10))=0</formula>
    </cfRule>
  </conditionalFormatting>
  <conditionalFormatting sqref="E27:E35">
    <cfRule type="containsBlanks" priority="115" dxfId="9" stopIfTrue="1">
      <formula>LEN(TRIM(E27))=0</formula>
    </cfRule>
    <cfRule type="cellIs" priority="116" dxfId="3" operator="between" stopIfTrue="1">
      <formula>80.1</formula>
      <formula>100</formula>
    </cfRule>
    <cfRule type="cellIs" priority="117" dxfId="2" operator="between" stopIfTrue="1">
      <formula>35.1</formula>
      <formula>80</formula>
    </cfRule>
    <cfRule type="cellIs" priority="118" dxfId="1" operator="between" stopIfTrue="1">
      <formula>14.1</formula>
      <formula>35</formula>
    </cfRule>
    <cfRule type="cellIs" priority="119" dxfId="159" operator="between" stopIfTrue="1">
      <formula>5.1</formula>
      <formula>14</formula>
    </cfRule>
    <cfRule type="cellIs" priority="120" dxfId="0" operator="between" stopIfTrue="1">
      <formula>0</formula>
      <formula>5</formula>
    </cfRule>
    <cfRule type="containsBlanks" priority="121" dxfId="9" stopIfTrue="1">
      <formula>LEN(TRIM(E27))=0</formula>
    </cfRule>
  </conditionalFormatting>
  <conditionalFormatting sqref="F27:Q35">
    <cfRule type="containsBlanks" priority="108" dxfId="9" stopIfTrue="1">
      <formula>LEN(TRIM(F27))=0</formula>
    </cfRule>
    <cfRule type="cellIs" priority="109" dxfId="3" operator="between" stopIfTrue="1">
      <formula>80.1</formula>
      <formula>100</formula>
    </cfRule>
    <cfRule type="cellIs" priority="110" dxfId="2" operator="between" stopIfTrue="1">
      <formula>35.1</formula>
      <formula>80</formula>
    </cfRule>
    <cfRule type="cellIs" priority="111" dxfId="1" operator="between" stopIfTrue="1">
      <formula>14.1</formula>
      <formula>35</formula>
    </cfRule>
    <cfRule type="cellIs" priority="112" dxfId="159" operator="between" stopIfTrue="1">
      <formula>5.1</formula>
      <formula>14</formula>
    </cfRule>
    <cfRule type="cellIs" priority="113" dxfId="0" operator="between" stopIfTrue="1">
      <formula>0</formula>
      <formula>5</formula>
    </cfRule>
    <cfRule type="containsBlanks" priority="114" dxfId="9" stopIfTrue="1">
      <formula>LEN(TRIM(F27))=0</formula>
    </cfRule>
  </conditionalFormatting>
  <conditionalFormatting sqref="E36:E44">
    <cfRule type="containsBlanks" priority="101" dxfId="9" stopIfTrue="1">
      <formula>LEN(TRIM(E36))=0</formula>
    </cfRule>
    <cfRule type="cellIs" priority="102" dxfId="3" operator="between" stopIfTrue="1">
      <formula>80.1</formula>
      <formula>100</formula>
    </cfRule>
    <cfRule type="cellIs" priority="103" dxfId="2" operator="between" stopIfTrue="1">
      <formula>35.1</formula>
      <formula>80</formula>
    </cfRule>
    <cfRule type="cellIs" priority="104" dxfId="1" operator="between" stopIfTrue="1">
      <formula>14.1</formula>
      <formula>35</formula>
    </cfRule>
    <cfRule type="cellIs" priority="105" dxfId="159" operator="between" stopIfTrue="1">
      <formula>5.1</formula>
      <formula>14</formula>
    </cfRule>
    <cfRule type="cellIs" priority="106" dxfId="0" operator="between" stopIfTrue="1">
      <formula>0</formula>
      <formula>5</formula>
    </cfRule>
    <cfRule type="containsBlanks" priority="107" dxfId="9" stopIfTrue="1">
      <formula>LEN(TRIM(E36))=0</formula>
    </cfRule>
  </conditionalFormatting>
  <conditionalFormatting sqref="F36:Q44">
    <cfRule type="containsBlanks" priority="94" dxfId="9" stopIfTrue="1">
      <formula>LEN(TRIM(F36))=0</formula>
    </cfRule>
    <cfRule type="cellIs" priority="95" dxfId="3" operator="between" stopIfTrue="1">
      <formula>80.1</formula>
      <formula>100</formula>
    </cfRule>
    <cfRule type="cellIs" priority="96" dxfId="2" operator="between" stopIfTrue="1">
      <formula>35.1</formula>
      <formula>80</formula>
    </cfRule>
    <cfRule type="cellIs" priority="97" dxfId="1" operator="between" stopIfTrue="1">
      <formula>14.1</formula>
      <formula>35</formula>
    </cfRule>
    <cfRule type="cellIs" priority="98" dxfId="159" operator="between" stopIfTrue="1">
      <formula>5.1</formula>
      <formula>14</formula>
    </cfRule>
    <cfRule type="cellIs" priority="99" dxfId="0" operator="between" stopIfTrue="1">
      <formula>0</formula>
      <formula>5</formula>
    </cfRule>
    <cfRule type="containsBlanks" priority="100" dxfId="9" stopIfTrue="1">
      <formula>LEN(TRIM(F36))=0</formula>
    </cfRule>
  </conditionalFormatting>
  <conditionalFormatting sqref="E45:E52">
    <cfRule type="containsBlanks" priority="87" dxfId="9" stopIfTrue="1">
      <formula>LEN(TRIM(E45))=0</formula>
    </cfRule>
    <cfRule type="cellIs" priority="88" dxfId="3" operator="between" stopIfTrue="1">
      <formula>80.1</formula>
      <formula>100</formula>
    </cfRule>
    <cfRule type="cellIs" priority="89" dxfId="2" operator="between" stopIfTrue="1">
      <formula>35.1</formula>
      <formula>80</formula>
    </cfRule>
    <cfRule type="cellIs" priority="90" dxfId="1" operator="between" stopIfTrue="1">
      <formula>14.1</formula>
      <formula>35</formula>
    </cfRule>
    <cfRule type="cellIs" priority="91" dxfId="159" operator="between" stopIfTrue="1">
      <formula>5.1</formula>
      <formula>14</formula>
    </cfRule>
    <cfRule type="cellIs" priority="92" dxfId="0" operator="between" stopIfTrue="1">
      <formula>0</formula>
      <formula>5</formula>
    </cfRule>
    <cfRule type="containsBlanks" priority="93" dxfId="9" stopIfTrue="1">
      <formula>LEN(TRIM(E45))=0</formula>
    </cfRule>
  </conditionalFormatting>
  <conditionalFormatting sqref="F45:Q52">
    <cfRule type="containsBlanks" priority="80" dxfId="9" stopIfTrue="1">
      <formula>LEN(TRIM(F45))=0</formula>
    </cfRule>
    <cfRule type="cellIs" priority="81" dxfId="3" operator="between" stopIfTrue="1">
      <formula>80.1</formula>
      <formula>100</formula>
    </cfRule>
    <cfRule type="cellIs" priority="82" dxfId="2" operator="between" stopIfTrue="1">
      <formula>35.1</formula>
      <formula>80</formula>
    </cfRule>
    <cfRule type="cellIs" priority="83" dxfId="1" operator="between" stopIfTrue="1">
      <formula>14.1</formula>
      <formula>35</formula>
    </cfRule>
    <cfRule type="cellIs" priority="84" dxfId="159" operator="between" stopIfTrue="1">
      <formula>5.1</formula>
      <formula>14</formula>
    </cfRule>
    <cfRule type="cellIs" priority="85" dxfId="0" operator="between" stopIfTrue="1">
      <formula>0</formula>
      <formula>5</formula>
    </cfRule>
    <cfRule type="containsBlanks" priority="86" dxfId="9" stopIfTrue="1">
      <formula>LEN(TRIM(F45))=0</formula>
    </cfRule>
  </conditionalFormatting>
  <conditionalFormatting sqref="E53:E62">
    <cfRule type="containsBlanks" priority="73" dxfId="9" stopIfTrue="1">
      <formula>LEN(TRIM(E53))=0</formula>
    </cfRule>
    <cfRule type="cellIs" priority="74" dxfId="3" operator="between" stopIfTrue="1">
      <formula>80.1</formula>
      <formula>100</formula>
    </cfRule>
    <cfRule type="cellIs" priority="75" dxfId="2" operator="between" stopIfTrue="1">
      <formula>35.1</formula>
      <formula>80</formula>
    </cfRule>
    <cfRule type="cellIs" priority="76" dxfId="1" operator="between" stopIfTrue="1">
      <formula>14.1</formula>
      <formula>35</formula>
    </cfRule>
    <cfRule type="cellIs" priority="77" dxfId="159" operator="between" stopIfTrue="1">
      <formula>5.1</formula>
      <formula>14</formula>
    </cfRule>
    <cfRule type="cellIs" priority="78" dxfId="0" operator="between" stopIfTrue="1">
      <formula>0</formula>
      <formula>5</formula>
    </cfRule>
    <cfRule type="containsBlanks" priority="79" dxfId="9" stopIfTrue="1">
      <formula>LEN(TRIM(E53))=0</formula>
    </cfRule>
  </conditionalFormatting>
  <conditionalFormatting sqref="F53:Q62">
    <cfRule type="containsBlanks" priority="66" dxfId="9" stopIfTrue="1">
      <formula>LEN(TRIM(F53))=0</formula>
    </cfRule>
    <cfRule type="cellIs" priority="67" dxfId="3" operator="between" stopIfTrue="1">
      <formula>80.1</formula>
      <formula>100</formula>
    </cfRule>
    <cfRule type="cellIs" priority="68" dxfId="2" operator="between" stopIfTrue="1">
      <formula>35.1</formula>
      <formula>80</formula>
    </cfRule>
    <cfRule type="cellIs" priority="69" dxfId="1" operator="between" stopIfTrue="1">
      <formula>14.1</formula>
      <formula>35</formula>
    </cfRule>
    <cfRule type="cellIs" priority="70" dxfId="159" operator="between" stopIfTrue="1">
      <formula>5.1</formula>
      <formula>14</formula>
    </cfRule>
    <cfRule type="cellIs" priority="71" dxfId="0" operator="between" stopIfTrue="1">
      <formula>0</formula>
      <formula>5</formula>
    </cfRule>
    <cfRule type="containsBlanks" priority="72" dxfId="9" stopIfTrue="1">
      <formula>LEN(TRIM(F53))=0</formula>
    </cfRule>
  </conditionalFormatting>
  <conditionalFormatting sqref="E63:E70">
    <cfRule type="containsBlanks" priority="59" dxfId="9" stopIfTrue="1">
      <formula>LEN(TRIM(E63))=0</formula>
    </cfRule>
    <cfRule type="cellIs" priority="60" dxfId="3" operator="between" stopIfTrue="1">
      <formula>80.1</formula>
      <formula>100</formula>
    </cfRule>
    <cfRule type="cellIs" priority="61" dxfId="2" operator="between" stopIfTrue="1">
      <formula>35.1</formula>
      <formula>80</formula>
    </cfRule>
    <cfRule type="cellIs" priority="62" dxfId="1" operator="between" stopIfTrue="1">
      <formula>14.1</formula>
      <formula>35</formula>
    </cfRule>
    <cfRule type="cellIs" priority="63" dxfId="159" operator="between" stopIfTrue="1">
      <formula>5.1</formula>
      <formula>14</formula>
    </cfRule>
    <cfRule type="cellIs" priority="64" dxfId="0" operator="between" stopIfTrue="1">
      <formula>0</formula>
      <formula>5</formula>
    </cfRule>
    <cfRule type="containsBlanks" priority="65" dxfId="9" stopIfTrue="1">
      <formula>LEN(TRIM(E63))=0</formula>
    </cfRule>
  </conditionalFormatting>
  <conditionalFormatting sqref="F63:Q70">
    <cfRule type="containsBlanks" priority="52" dxfId="9" stopIfTrue="1">
      <formula>LEN(TRIM(F63))=0</formula>
    </cfRule>
    <cfRule type="cellIs" priority="53" dxfId="3" operator="between" stopIfTrue="1">
      <formula>80.1</formula>
      <formula>100</formula>
    </cfRule>
    <cfRule type="cellIs" priority="54" dxfId="2" operator="between" stopIfTrue="1">
      <formula>35.1</formula>
      <formula>80</formula>
    </cfRule>
    <cfRule type="cellIs" priority="55" dxfId="1" operator="between" stopIfTrue="1">
      <formula>14.1</formula>
      <formula>35</formula>
    </cfRule>
    <cfRule type="cellIs" priority="56" dxfId="159" operator="between" stopIfTrue="1">
      <formula>5.1</formula>
      <formula>14</formula>
    </cfRule>
    <cfRule type="cellIs" priority="57" dxfId="0" operator="between" stopIfTrue="1">
      <formula>0</formula>
      <formula>5</formula>
    </cfRule>
    <cfRule type="containsBlanks" priority="58" dxfId="9" stopIfTrue="1">
      <formula>LEN(TRIM(F63))=0</formula>
    </cfRule>
  </conditionalFormatting>
  <conditionalFormatting sqref="E71:E83">
    <cfRule type="containsBlanks" priority="45" dxfId="9" stopIfTrue="1">
      <formula>LEN(TRIM(E71))=0</formula>
    </cfRule>
    <cfRule type="cellIs" priority="46" dxfId="3" operator="between" stopIfTrue="1">
      <formula>80.1</formula>
      <formula>100</formula>
    </cfRule>
    <cfRule type="cellIs" priority="47" dxfId="2" operator="between" stopIfTrue="1">
      <formula>35.1</formula>
      <formula>80</formula>
    </cfRule>
    <cfRule type="cellIs" priority="48" dxfId="1" operator="between" stopIfTrue="1">
      <formula>14.1</formula>
      <formula>35</formula>
    </cfRule>
    <cfRule type="cellIs" priority="49" dxfId="159" operator="between" stopIfTrue="1">
      <formula>5.1</formula>
      <formula>14</formula>
    </cfRule>
    <cfRule type="cellIs" priority="50" dxfId="0" operator="between" stopIfTrue="1">
      <formula>0</formula>
      <formula>5</formula>
    </cfRule>
    <cfRule type="containsBlanks" priority="51" dxfId="9" stopIfTrue="1">
      <formula>LEN(TRIM(E71))=0</formula>
    </cfRule>
  </conditionalFormatting>
  <conditionalFormatting sqref="F71:Q83">
    <cfRule type="containsBlanks" priority="38" dxfId="9" stopIfTrue="1">
      <formula>LEN(TRIM(F71))=0</formula>
    </cfRule>
    <cfRule type="cellIs" priority="39" dxfId="3" operator="between" stopIfTrue="1">
      <formula>80.1</formula>
      <formula>100</formula>
    </cfRule>
    <cfRule type="cellIs" priority="40" dxfId="2" operator="between" stopIfTrue="1">
      <formula>35.1</formula>
      <formula>80</formula>
    </cfRule>
    <cfRule type="cellIs" priority="41" dxfId="1" operator="between" stopIfTrue="1">
      <formula>14.1</formula>
      <formula>35</formula>
    </cfRule>
    <cfRule type="cellIs" priority="42" dxfId="159" operator="between" stopIfTrue="1">
      <formula>5.1</formula>
      <formula>14</formula>
    </cfRule>
    <cfRule type="cellIs" priority="43" dxfId="0" operator="between" stopIfTrue="1">
      <formula>0</formula>
      <formula>5</formula>
    </cfRule>
    <cfRule type="containsBlanks" priority="44" dxfId="9" stopIfTrue="1">
      <formula>LEN(TRIM(F71))=0</formula>
    </cfRule>
  </conditionalFormatting>
  <conditionalFormatting sqref="E84:E106">
    <cfRule type="containsBlanks" priority="31" dxfId="9" stopIfTrue="1">
      <formula>LEN(TRIM(E84))=0</formula>
    </cfRule>
    <cfRule type="cellIs" priority="32" dxfId="3" operator="between" stopIfTrue="1">
      <formula>80.1</formula>
      <formula>100</formula>
    </cfRule>
    <cfRule type="cellIs" priority="33" dxfId="2" operator="between" stopIfTrue="1">
      <formula>35.1</formula>
      <formula>80</formula>
    </cfRule>
    <cfRule type="cellIs" priority="34" dxfId="1" operator="between" stopIfTrue="1">
      <formula>14.1</formula>
      <formula>35</formula>
    </cfRule>
    <cfRule type="cellIs" priority="35" dxfId="159" operator="between" stopIfTrue="1">
      <formula>5.1</formula>
      <formula>14</formula>
    </cfRule>
    <cfRule type="cellIs" priority="36" dxfId="0" operator="between" stopIfTrue="1">
      <formula>0</formula>
      <formula>5</formula>
    </cfRule>
    <cfRule type="containsBlanks" priority="37" dxfId="9" stopIfTrue="1">
      <formula>LEN(TRIM(E84))=0</formula>
    </cfRule>
  </conditionalFormatting>
  <conditionalFormatting sqref="F84:Q106">
    <cfRule type="containsBlanks" priority="24" dxfId="9" stopIfTrue="1">
      <formula>LEN(TRIM(F84))=0</formula>
    </cfRule>
    <cfRule type="cellIs" priority="25" dxfId="3" operator="between" stopIfTrue="1">
      <formula>80.1</formula>
      <formula>100</formula>
    </cfRule>
    <cfRule type="cellIs" priority="26" dxfId="2" operator="between" stopIfTrue="1">
      <formula>35.1</formula>
      <formula>80</formula>
    </cfRule>
    <cfRule type="cellIs" priority="27" dxfId="1" operator="between" stopIfTrue="1">
      <formula>14.1</formula>
      <formula>35</formula>
    </cfRule>
    <cfRule type="cellIs" priority="28" dxfId="159" operator="between" stopIfTrue="1">
      <formula>5.1</formula>
      <formula>14</formula>
    </cfRule>
    <cfRule type="cellIs" priority="29" dxfId="0" operator="between" stopIfTrue="1">
      <formula>0</formula>
      <formula>5</formula>
    </cfRule>
    <cfRule type="containsBlanks" priority="30" dxfId="9" stopIfTrue="1">
      <formula>LEN(TRIM(F84))=0</formula>
    </cfRule>
  </conditionalFormatting>
  <conditionalFormatting sqref="E107:E168">
    <cfRule type="containsBlanks" priority="17" dxfId="9" stopIfTrue="1">
      <formula>LEN(TRIM(E107))=0</formula>
    </cfRule>
    <cfRule type="cellIs" priority="18" dxfId="3" operator="between" stopIfTrue="1">
      <formula>80.1</formula>
      <formula>100</formula>
    </cfRule>
    <cfRule type="cellIs" priority="19" dxfId="2" operator="between" stopIfTrue="1">
      <formula>35.1</formula>
      <formula>80</formula>
    </cfRule>
    <cfRule type="cellIs" priority="20" dxfId="1" operator="between" stopIfTrue="1">
      <formula>14.1</formula>
      <formula>35</formula>
    </cfRule>
    <cfRule type="cellIs" priority="21" dxfId="159" operator="between" stopIfTrue="1">
      <formula>5.1</formula>
      <formula>14</formula>
    </cfRule>
    <cfRule type="cellIs" priority="22" dxfId="0" operator="between" stopIfTrue="1">
      <formula>0</formula>
      <formula>5</formula>
    </cfRule>
    <cfRule type="containsBlanks" priority="23" dxfId="9" stopIfTrue="1">
      <formula>LEN(TRIM(E107))=0</formula>
    </cfRule>
  </conditionalFormatting>
  <conditionalFormatting sqref="F107:Q168">
    <cfRule type="containsBlanks" priority="10" dxfId="9" stopIfTrue="1">
      <formula>LEN(TRIM(F107))=0</formula>
    </cfRule>
    <cfRule type="cellIs" priority="11" dxfId="3" operator="between" stopIfTrue="1">
      <formula>80.1</formula>
      <formula>100</formula>
    </cfRule>
    <cfRule type="cellIs" priority="12" dxfId="2" operator="between" stopIfTrue="1">
      <formula>35.1</formula>
      <formula>80</formula>
    </cfRule>
    <cfRule type="cellIs" priority="13" dxfId="1" operator="between" stopIfTrue="1">
      <formula>14.1</formula>
      <formula>35</formula>
    </cfRule>
    <cfRule type="cellIs" priority="14" dxfId="159" operator="between" stopIfTrue="1">
      <formula>5.1</formula>
      <formula>14</formula>
    </cfRule>
    <cfRule type="cellIs" priority="15" dxfId="0" operator="between" stopIfTrue="1">
      <formula>0</formula>
      <formula>5</formula>
    </cfRule>
    <cfRule type="containsBlanks" priority="16" dxfId="9" stopIfTrue="1">
      <formula>LEN(TRIM(F107))=0</formula>
    </cfRule>
  </conditionalFormatting>
  <conditionalFormatting sqref="R168">
    <cfRule type="cellIs" priority="8" dxfId="6" operator="equal" stopIfTrue="1">
      <formula>"NO"</formula>
    </cfRule>
  </conditionalFormatting>
  <conditionalFormatting sqref="S168">
    <cfRule type="cellIs" priority="9" dxfId="5" operator="equal" stopIfTrue="1">
      <formula>"INVIABLE SANITARIAMENTE"</formula>
    </cfRule>
  </conditionalFormatting>
  <conditionalFormatting sqref="S168">
    <cfRule type="containsText" priority="7" dxfId="4" operator="containsText" stopIfTrue="1" text="SIN RIESGO">
      <formula>NOT(ISERROR(SEARCH("SIN RIESGO",S168)))</formula>
    </cfRule>
  </conditionalFormatting>
  <conditionalFormatting sqref="S168">
    <cfRule type="containsText" priority="2" dxfId="3" operator="containsText" stopIfTrue="1" text="INVIABLE SANITARIAMENTE">
      <formula>NOT(ISERROR(SEARCH("INVIABLE SANITARIAMENTE",S168)))</formula>
    </cfRule>
    <cfRule type="containsText" priority="3" dxfId="2" operator="containsText" stopIfTrue="1" text="ALTO">
      <formula>NOT(ISERROR(SEARCH("ALTO",S168)))</formula>
    </cfRule>
    <cfRule type="containsText" priority="4" dxfId="1" operator="containsText" stopIfTrue="1" text="MEDIO">
      <formula>NOT(ISERROR(SEARCH("MEDIO",S168)))</formula>
    </cfRule>
    <cfRule type="containsText" priority="5" dxfId="159" operator="containsText" stopIfTrue="1" text="BAJO">
      <formula>NOT(ISERROR(SEARCH("BAJO",S168)))</formula>
    </cfRule>
    <cfRule type="containsText" priority="6" dxfId="160" operator="containsText" stopIfTrue="1" text="SIN RIESGO">
      <formula>NOT(ISERROR(SEARCH("SIN RIESGO",S168)))</formula>
    </cfRule>
  </conditionalFormatting>
  <conditionalFormatting sqref="S168">
    <cfRule type="containsText" priority="1" dxfId="0" operator="containsText" stopIfTrue="1" text="SIN RIESGO">
      <formula>NOT(ISERROR(SEARCH("SIN RIESGO",S168)))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2018-04-20T16:35:54Z</dcterms:modified>
  <cp:category/>
  <cp:version/>
  <cp:contentType/>
  <cp:contentStatus/>
</cp:coreProperties>
</file>