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5" yWindow="45" windowWidth="12795" windowHeight="10065" activeTab="0"/>
  </bookViews>
  <sheets>
    <sheet name="2009" sheetId="1" r:id="rId1"/>
  </sheets>
  <externalReferences>
    <externalReference r:id="rId4"/>
    <externalReference r:id="rId5"/>
  </externalReferences>
  <definedNames>
    <definedName name="_xlfn.COUNTIFS" hidden="1">#NAME?</definedName>
    <definedName name="_xlnm.Print_Titles" localSheetId="0">'2009'!$1:$9</definedName>
  </definedNames>
  <calcPr fullCalcOnLoad="1"/>
</workbook>
</file>

<file path=xl/sharedStrings.xml><?xml version="1.0" encoding="utf-8"?>
<sst xmlns="http://schemas.openxmlformats.org/spreadsheetml/2006/main" count="504" uniqueCount="292">
  <si>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</si>
  <si>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</si>
  <si>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</si>
  <si>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</si>
  <si>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</si>
  <si>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</si>
  <si>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</si>
  <si>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</si>
  <si>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</si>
  <si>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</si>
  <si>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</si>
  <si>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</si>
  <si>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</si>
  <si>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</si>
  <si>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</si>
  <si>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</si>
  <si>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</si>
  <si>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</si>
  <si>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</si>
  <si>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</si>
  <si>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</si>
  <si>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</si>
  <si>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</si>
  <si>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</si>
  <si>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</si>
  <si>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</si>
  <si>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</si>
  <si>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</si>
  <si>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</si>
  <si>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r>
      <rPr>
        <b/>
        <sz val="11"/>
        <color indexed="8"/>
        <rFont val="Calibri"/>
        <family val="2"/>
      </rPr>
      <t>Indice de Riesgo de Calidad del Agua Potable - IRCA- (Promedio Anual)</t>
    </r>
    <r>
      <rPr>
        <sz val="11"/>
        <color indexed="8"/>
        <rFont val="Calibri"/>
        <family val="2"/>
      </rPr>
      <t xml:space="preserve">: Certifica la Calidad del Agua Suministrada. </t>
    </r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</si>
  <si>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</si>
  <si>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</si>
  <si>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</si>
  <si>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</si>
  <si>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</si>
  <si>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</si>
  <si>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</si>
  <si>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</si>
  <si>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</si>
  <si>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</si>
  <si>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</si>
  <si>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</si>
  <si>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</si>
  <si>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</si>
  <si>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</si>
  <si>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</si>
  <si>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</si>
  <si>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</si>
  <si>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</si>
  <si>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</si>
  <si>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</si>
  <si>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</si>
  <si>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</si>
  <si>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</si>
  <si>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</si>
  <si>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</si>
  <si>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</si>
  <si>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</si>
  <si>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</si>
  <si>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</si>
  <si>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</si>
  <si>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</si>
  <si>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</si>
  <si>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</si>
  <si>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</si>
  <si>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</si>
  <si>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</si>
  <si>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</si>
  <si>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</si>
  <si>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</si>
  <si>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</si>
  <si>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</si>
  <si>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</si>
  <si>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</si>
  <si>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</si>
  <si>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</si>
  <si>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</si>
  <si>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</si>
  <si>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</si>
  <si>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</si>
  <si>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</si>
  <si>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</si>
  <si>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</si>
  <si>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</si>
  <si>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</si>
  <si>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</si>
  <si>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</si>
  <si>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</si>
  <si>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</si>
  <si>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</si>
  <si>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</si>
  <si>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</si>
  <si>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</si>
  <si>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</si>
  <si>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</si>
  <si>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</si>
  <si>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</si>
  <si>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</si>
  <si>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</si>
  <si>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</si>
  <si>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</si>
  <si>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</si>
  <si>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</si>
  <si>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</si>
  <si>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</si>
  <si>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</si>
  <si>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</si>
  <si>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</si>
  <si>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</si>
  <si>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</si>
  <si>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</si>
  <si>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</si>
  <si>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</si>
  <si>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</si>
  <si>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</si>
  <si>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</si>
  <si>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</si>
  <si>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</si>
  <si>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</si>
  <si>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</si>
  <si>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</si>
  <si>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</si>
  <si>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</si>
  <si>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</si>
  <si>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</si>
  <si>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</si>
  <si>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</si>
  <si>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</si>
  <si>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</si>
  <si>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</si>
  <si>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</si>
  <si>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</si>
  <si>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</si>
  <si>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</si>
  <si>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</si>
  <si>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</si>
  <si>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</si>
  <si>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</si>
  <si>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</si>
  <si>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</si>
  <si>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</si>
  <si>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</si>
  <si>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</si>
  <si>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</si>
  <si>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</si>
  <si>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</si>
  <si>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</si>
  <si>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</si>
  <si>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</si>
  <si>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</si>
  <si>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</si>
  <si>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</si>
  <si>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</si>
  <si>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</si>
  <si>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</si>
  <si>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</si>
  <si>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</si>
  <si>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</si>
  <si>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</si>
  <si>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</si>
  <si>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</si>
  <si>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</si>
  <si>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</si>
  <si>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</si>
  <si>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</si>
  <si>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</si>
  <si>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</si>
  <si>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</si>
  <si>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</si>
  <si>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</si>
  <si>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</si>
  <si>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</si>
  <si>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</si>
  <si>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>Nor</t>
  </si>
  <si>
    <t xml:space="preserve">Nordeste </t>
  </si>
  <si>
    <t>Total</t>
  </si>
  <si>
    <t>Numero Sistemas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</si>
  <si>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</si>
  <si>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</si>
  <si>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</si>
  <si>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</si>
  <si>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 xml:space="preserve">Acueductos y Alcantarillados Sostenibles  S.A. E.S.P -Sistema Guayabito </t>
  </si>
  <si>
    <t>Acueductos y Alcantarillados Sostenibles S.A. E.S.P -Sistema San Ignacio</t>
  </si>
  <si>
    <t>Acueductos y Alcantarillados Sostenibles S.A. E.S.P</t>
  </si>
  <si>
    <t>Acueductos y Alcantarillados Sostenibles S.A. E.S.P.</t>
  </si>
  <si>
    <t>EE. PP Medellín E.S.P.</t>
  </si>
  <si>
    <t>Empresas Públicas de Belmira E.S.P.</t>
  </si>
  <si>
    <t>Empresas Públicas de Betulia S.A. E.S.P.</t>
  </si>
  <si>
    <t>Aguascol S.A. E.S.P.</t>
  </si>
  <si>
    <t>Unidad Municipal de Servicios Públicos Domiciliarios de Caicedo</t>
  </si>
  <si>
    <t>Asociación de Suscriptores de Acueducto y Alcantarillado Mandalay</t>
  </si>
  <si>
    <t>Empresas de Servicios Públicos Domiciliarios de Caracolí S.A E.S.P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</si>
  <si>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</si>
  <si>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</si>
  <si>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</si>
  <si>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</si>
  <si>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Camello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</si>
  <si>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</si>
  <si>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</si>
  <si>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</si>
  <si>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</si>
  <si>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EE. PP Medellín S.A E.S.P</t>
  </si>
  <si>
    <t>Empresa de Servicios Públicos de Ebejico E.S.P</t>
  </si>
  <si>
    <t>Acueducto Mineros S.A</t>
  </si>
  <si>
    <t xml:space="preserve"> La Cimarrona E.S.P.  S.A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</si>
  <si>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</si>
  <si>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</si>
  <si>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</si>
  <si>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</si>
  <si>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 xml:space="preserve">Empresa de Servicios Públicos de Granada - ESPG  E.S.P. </t>
  </si>
  <si>
    <t xml:space="preserve">Empresa de Servicios Públicos de Guatapé </t>
  </si>
  <si>
    <t>EE. PP Medellín  E.S.P.</t>
  </si>
  <si>
    <t>Ingeniería Total S.A. E.S.P.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</si>
  <si>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</si>
  <si>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</si>
  <si>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</si>
  <si>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</si>
  <si>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Empresas Públicas de La Pintada S.A. E.S.P.</t>
  </si>
  <si>
    <t>Empresa de Servicios Públicos de La Union S.A.  E.S.P.</t>
  </si>
  <si>
    <t>Empresa de Servicios Públicos Domiciliarios de Liborina S.A E.S.P</t>
  </si>
  <si>
    <t>Corporación de Servicios Públicos de Belén - CORBELÉN</t>
  </si>
  <si>
    <t>Aguascol S.A E.S.P</t>
  </si>
  <si>
    <t>Unidad de Servicios Públicos Domiciliarios  de Peque</t>
  </si>
  <si>
    <t>Empresas Públicas Municipales de Puerto Nare E.S.P</t>
  </si>
  <si>
    <t>Empresa de Servicios Públicos Domiciliarios de  Sabanalarga S.A E.S.P</t>
  </si>
  <si>
    <t>Acueductos y Alcantarillados Sostenibles S.A.  E.S.P</t>
  </si>
  <si>
    <t xml:space="preserve">Asociación Junta Administradora Acueducto Comunitario Las Isazas 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</si>
  <si>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</si>
  <si>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</si>
  <si>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</si>
  <si>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Acueductos y Alcantarillados Sostenibles S.A.  E.S.P.</t>
  </si>
  <si>
    <t xml:space="preserve">Aguas del Norte Antioqueño S.A E.S.P                                       </t>
  </si>
  <si>
    <t>SD</t>
  </si>
  <si>
    <t>Ingenieria Total</t>
  </si>
  <si>
    <t>Municipio</t>
  </si>
  <si>
    <t>Empresas Públicas de Amaga</t>
  </si>
  <si>
    <t>PRESEA S.A.</t>
  </si>
  <si>
    <t>Unidad de Servicios Publicos Domiciliarios</t>
  </si>
  <si>
    <t>Empresa de Servicios Publicos</t>
  </si>
  <si>
    <t>Unidad de Servicios Públicos Domiciliarios</t>
  </si>
  <si>
    <t>Aguas de Uraba S.A.</t>
  </si>
  <si>
    <t>Aguascol S.A. E.S.P. - Sistema Pozo 8</t>
  </si>
  <si>
    <t>Conhydra S.A.</t>
  </si>
  <si>
    <t xml:space="preserve">Empresa de Servicios Públicos </t>
  </si>
  <si>
    <t>Unidad de Servicios Publicos Domiciliarios Bernardo Guerra</t>
  </si>
  <si>
    <t>Empresas Publicas Municipales</t>
  </si>
  <si>
    <t>Empresas Publicas de El Bagre</t>
  </si>
  <si>
    <t>COOGIAGUAS</t>
  </si>
  <si>
    <t>UAE de Servicos Publicos domiciliarios</t>
  </si>
  <si>
    <t>Empresa de Servicios Publicos Domiciliarios</t>
  </si>
  <si>
    <t>A.A.S. S.A.</t>
  </si>
  <si>
    <t>Unidad de Servicios Publicos</t>
  </si>
  <si>
    <t xml:space="preserve">EE. PP Medellín </t>
  </si>
  <si>
    <t xml:space="preserve">Municipio </t>
  </si>
  <si>
    <t>Conhydra S.A. Cabecera</t>
  </si>
  <si>
    <t>Conhydra S.A. Belen de Bajira</t>
  </si>
  <si>
    <t xml:space="preserve">Unidad de Servicios Públicos Domiciliarios de Nariño </t>
  </si>
  <si>
    <t>Sistemas Públicos S.A. E.S.P.</t>
  </si>
  <si>
    <t>Regionales de Occidente S.A. E.S.P.</t>
  </si>
  <si>
    <t>Empresa Pueblorriqueña de Acueducto</t>
  </si>
  <si>
    <t>Unidad de Servicios Publicos de Remedios</t>
  </si>
  <si>
    <t xml:space="preserve"> Agua Plan</t>
  </si>
  <si>
    <t>Aguas de Rionegro S.A.</t>
  </si>
  <si>
    <t>iIngenieria Total</t>
  </si>
  <si>
    <t>Oficina de Servicios Publicos</t>
  </si>
  <si>
    <t>Regional de Occidente S.A E.S.P</t>
  </si>
  <si>
    <t>Unidad de Servicios Publicos Domiciliarios - Sistema La Cristalina</t>
  </si>
  <si>
    <t xml:space="preserve"> Unidad de Servicios Publicos Domiciliarios - Sistema La Risaralda</t>
  </si>
  <si>
    <t>Sistemas Públicos   S.A. E.S.P.</t>
  </si>
  <si>
    <t>Direccion de Sistema Publico Domiciliario</t>
  </si>
  <si>
    <t>Empresas de Servicios Publicos Domiciliarios.</t>
  </si>
  <si>
    <t xml:space="preserve">Empresa de Servicios Públicos Domiciliarios </t>
  </si>
  <si>
    <t>Ingenieria Total  E.S.P</t>
  </si>
  <si>
    <t>Regional de Occidente  S.A.  E.S.P</t>
  </si>
  <si>
    <t xml:space="preserve">Alcaldia Municipal Servicios Públicos Domiciliarios </t>
  </si>
  <si>
    <t>Oficina de Servicios Publicos Domiciliarios</t>
  </si>
  <si>
    <t>Acueducto Comunitario el Algibe</t>
  </si>
  <si>
    <t>Empresas Públicas Municipales.</t>
  </si>
  <si>
    <t>operadores de Servicios S.A.</t>
  </si>
  <si>
    <t>Empresas de Servicios Publicos.</t>
  </si>
  <si>
    <t>Empresa de Servicios Públicos ESPY</t>
  </si>
  <si>
    <t>Empresa de Servicios Publicos AAA</t>
  </si>
  <si>
    <t>Operador de Servicios S.A.</t>
  </si>
  <si>
    <t>% IRCA PROMEDIO ENERO - DIC /2009</t>
  </si>
  <si>
    <r>
      <rPr>
        <sz val="12"/>
        <rFont val="Arial"/>
        <family val="2"/>
      </rPr>
      <t xml:space="preserve">0.0 -  5 %                       </t>
    </r>
    <r>
      <rPr>
        <b/>
        <sz val="12"/>
        <rFont val="Arial"/>
        <family val="2"/>
      </rPr>
      <t>Sin Riesgo</t>
    </r>
  </si>
  <si>
    <r>
      <rPr>
        <sz val="12"/>
        <rFont val="Arial"/>
        <family val="2"/>
      </rPr>
      <t>5.1  -  14 %</t>
    </r>
    <r>
      <rPr>
        <b/>
        <sz val="12"/>
        <rFont val="Arial"/>
        <family val="2"/>
      </rPr>
      <t xml:space="preserve">                 Riesgo Bajo</t>
    </r>
  </si>
  <si>
    <r>
      <rPr>
        <sz val="12"/>
        <rFont val="Arial"/>
        <family val="2"/>
      </rPr>
      <t xml:space="preserve">14.1  -  35 %                  </t>
    </r>
    <r>
      <rPr>
        <b/>
        <sz val="12"/>
        <rFont val="Arial"/>
        <family val="2"/>
      </rPr>
      <t xml:space="preserve">  Riesgo Medio</t>
    </r>
  </si>
  <si>
    <r>
      <rPr>
        <sz val="12"/>
        <rFont val="Arial"/>
        <family val="2"/>
      </rPr>
      <t>35.1  - 80 %</t>
    </r>
    <r>
      <rPr>
        <b/>
        <sz val="12"/>
        <rFont val="Arial"/>
        <family val="2"/>
      </rPr>
      <t xml:space="preserve">                            Riesgo Alto</t>
    </r>
  </si>
  <si>
    <r>
      <rPr>
        <sz val="12"/>
        <rFont val="Arial"/>
        <family val="2"/>
      </rPr>
      <t xml:space="preserve"> 80.1  - 100 %
</t>
    </r>
    <r>
      <rPr>
        <b/>
        <sz val="12"/>
        <rFont val="Arial"/>
        <family val="2"/>
      </rPr>
      <t xml:space="preserve"> Inviable Sanitariamente</t>
    </r>
  </si>
  <si>
    <t>Convenciones:</t>
  </si>
  <si>
    <t>PERSONA  PRESTADORA DEL SERVICIO</t>
  </si>
  <si>
    <t>CONSOLIDADO  INDICE DE RIESGO DE CALIDAD DEL AGUA PARA CONSUMO HUMANO - IRCA MENSUAL ACUEDUCTOS URBANOS-  ANTIOQUIA 2009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</si>
</sst>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60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ndale Mono"/>
      <family val="0"/>
    </font>
    <font>
      <b/>
      <sz val="12"/>
      <color indexed="8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8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81" fontId="10" fillId="33" borderId="14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181" fontId="3" fillId="36" borderId="14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181" fontId="3" fillId="37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181" fontId="3" fillId="38" borderId="14" xfId="0" applyNumberFormat="1" applyFont="1" applyFill="1" applyBorder="1" applyAlignment="1">
      <alignment horizontal="center" vertical="center"/>
    </xf>
    <xf numFmtId="180" fontId="3" fillId="35" borderId="14" xfId="45" applyFont="1" applyFill="1" applyBorder="1" applyAlignment="1" applyProtection="1">
      <alignment horizontal="left" vertical="center" wrapText="1"/>
      <protection/>
    </xf>
    <xf numFmtId="0" fontId="3" fillId="35" borderId="14" xfId="45" applyNumberFormat="1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6" borderId="1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2" fontId="0" fillId="37" borderId="16" xfId="0" applyNumberFormat="1" applyFont="1" applyFill="1" applyBorder="1" applyAlignment="1">
      <alignment horizontal="center" vertical="center" wrapText="1"/>
    </xf>
    <xf numFmtId="2" fontId="0" fillId="37" borderId="14" xfId="0" applyNumberFormat="1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10" fillId="42" borderId="14" xfId="0" applyFont="1" applyFill="1" applyBorder="1" applyAlignment="1">
      <alignment horizontal="center" vertical="center" wrapText="1"/>
    </xf>
    <xf numFmtId="0" fontId="10" fillId="43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40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2009</a:t>
            </a:r>
          </a:p>
        </c:rich>
      </c:tx>
      <c:layout>
        <c:manualLayout>
          <c:xMode val="factor"/>
          <c:yMode val="factor"/>
          <c:x val="-0.00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18"/>
          <c:w val="0.94625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'2009'!$V$6:$V$14</c:f>
              <c:numCache/>
            </c:numRef>
          </c:val>
        </c:ser>
        <c:axId val="31156174"/>
        <c:axId val="11970111"/>
      </c:barChart>
      <c:barChart>
        <c:barDir val="col"/>
        <c:grouping val="clustered"/>
        <c:varyColors val="0"/>
        <c:ser>
          <c:idx val="1"/>
          <c:order val="1"/>
          <c:tx>
            <c:strRef>
              <c:f>'2009'!$W$1:$W$5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'2009'!$U$6:$U$14</c:f>
              <c:strCache/>
            </c:strRef>
          </c:cat>
          <c:val>
            <c:numRef>
              <c:f>'2009'!$W$6:$W$14</c:f>
              <c:numCache/>
            </c:numRef>
          </c:val>
        </c:ser>
        <c:axId val="40622136"/>
        <c:axId val="30054905"/>
      </c:barChart>
      <c:catAx>
        <c:axId val="31156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0111"/>
        <c:crossesAt val="0"/>
        <c:auto val="1"/>
        <c:lblOffset val="100"/>
        <c:tickLblSkip val="1"/>
        <c:noMultiLvlLbl val="0"/>
      </c:catAx>
      <c:valAx>
        <c:axId val="11970111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156174"/>
        <c:crossesAt val="1"/>
        <c:crossBetween val="between"/>
        <c:dispUnits/>
        <c:majorUnit val="5"/>
        <c:minorUnit val="1"/>
      </c:valAx>
      <c:catAx>
        <c:axId val="40622136"/>
        <c:scaling>
          <c:orientation val="minMax"/>
        </c:scaling>
        <c:axPos val="b"/>
        <c:delete val="1"/>
        <c:majorTickMark val="out"/>
        <c:minorTickMark val="none"/>
        <c:tickLblPos val="nextTo"/>
        <c:crossAx val="30054905"/>
        <c:crosses val="autoZero"/>
        <c:auto val="1"/>
        <c:lblOffset val="100"/>
        <c:tickLblSkip val="1"/>
        <c:noMultiLvlLbl val="0"/>
      </c:catAx>
      <c:valAx>
        <c:axId val="300549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6221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"/>
          <c:y val="0.9365"/>
          <c:w val="0.498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2009</a:t>
            </a:r>
          </a:p>
        </c:rich>
      </c:tx>
      <c:layout>
        <c:manualLayout>
          <c:xMode val="factor"/>
          <c:yMode val="factor"/>
          <c:x val="0.0187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53"/>
          <c:y val="0.116"/>
          <c:w val="0.97525"/>
          <c:h val="0.7872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'2009'!$V$1:$V$5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('2009'!$X$1:$X$5,'2009'!$Z$1:$Z$5,'2009'!$AB$1:$AB$5,'2009'!$AD$1:$AD$5,'2009'!$AF$1:$AF$5,'2009'!$AH$1:$AH$5)</c:f>
              <c:strCache/>
            </c:strRef>
          </c:cat>
          <c:val>
            <c:numRef>
              <c:f>('2009'!$X$15,'2009'!$Z$15,'2009'!$AB$15,'2009'!$AD$15,'2009'!$AF$15,'2009'!$AH$15)</c:f>
              <c:numCache/>
            </c:numRef>
          </c:val>
        </c:ser>
        <c:overlap val="-6"/>
        <c:gapWidth val="114"/>
        <c:axId val="2058690"/>
        <c:axId val="18528211"/>
      </c:barChart>
      <c:barChart>
        <c:barDir val="bar"/>
        <c:grouping val="stacked"/>
        <c:varyColors val="0"/>
        <c:ser>
          <c:idx val="0"/>
          <c:order val="0"/>
          <c:tx>
            <c:strRef>
              <c:f>'2009'!$W$1:$W$5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('[2]2017'!$X$1:$X$5,'[2]2017'!$Z$1:$Z$5,'[2]2017'!$AB$1:$AB$5,'[2]2017'!$AD$1:$AD$5)</c:f>
              <c:strCache>
                <c:ptCount val="4"/>
                <c:pt idx="0">
                  <c:v>Sin Riesgo</c:v>
                </c:pt>
                <c:pt idx="1">
                  <c:v>Riesgo Bajo</c:v>
                </c:pt>
                <c:pt idx="2">
                  <c:v>Riesgo Medio</c:v>
                </c:pt>
                <c:pt idx="3">
                  <c:v>Riesgo Alto</c:v>
                </c:pt>
              </c:strCache>
            </c:strRef>
          </c:cat>
          <c:val>
            <c:numRef>
              <c:f>('2009'!$Y$15,'2009'!$AA$15,'2009'!$AC$15,'2009'!$AE$15,'2009'!$AG$15,'2009'!$AI$15)</c:f>
              <c:numCache/>
            </c:numRef>
          </c:val>
        </c:ser>
        <c:overlap val="-6"/>
        <c:gapWidth val="114"/>
        <c:axId val="32536172"/>
        <c:axId val="24390093"/>
      </c:barChart>
      <c:catAx>
        <c:axId val="205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8211"/>
        <c:crosses val="autoZero"/>
        <c:auto val="1"/>
        <c:lblOffset val="100"/>
        <c:tickLblSkip val="1"/>
        <c:noMultiLvlLbl val="0"/>
      </c:catAx>
      <c:valAx>
        <c:axId val="18528211"/>
        <c:scaling>
          <c:orientation val="minMax"/>
          <c:max val="11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8690"/>
        <c:crosses val="max"/>
        <c:crossBetween val="between"/>
        <c:dispUnits/>
        <c:majorUnit val="20"/>
      </c:valAx>
      <c:catAx>
        <c:axId val="32536172"/>
        <c:scaling>
          <c:orientation val="minMax"/>
        </c:scaling>
        <c:axPos val="l"/>
        <c:delete val="1"/>
        <c:majorTickMark val="out"/>
        <c:minorTickMark val="none"/>
        <c:tickLblPos val="nextTo"/>
        <c:crossAx val="24390093"/>
        <c:crosses val="autoZero"/>
        <c:auto val="1"/>
        <c:lblOffset val="100"/>
        <c:tickLblSkip val="1"/>
        <c:noMultiLvlLbl val="0"/>
      </c:catAx>
      <c:valAx>
        <c:axId val="24390093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361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25"/>
          <c:y val="0.92025"/>
          <c:w val="0.288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</cdr:x>
      <cdr:y>0.821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24675" y="4867275"/>
          <a:ext cx="876300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0.821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53250" y="4867275"/>
          <a:ext cx="8477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0.79825</cdr:x>
      <cdr:y>0.38725</cdr:y>
    </cdr:from>
    <cdr:to>
      <cdr:x>0.96675</cdr:x>
      <cdr:y>0.5915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181725" y="2295525"/>
          <a:ext cx="130492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0.8195</cdr:x>
      <cdr:y>0.44825</cdr:y>
    </cdr:from>
    <cdr:to>
      <cdr:x>0.985</cdr:x>
      <cdr:y>0.684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53175" y="2657475"/>
          <a:ext cx="1285875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0.5595</cdr:y>
    </cdr:from>
    <cdr:to>
      <cdr:x>0.999</cdr:x>
      <cdr:y>0.71975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62775" y="3314700"/>
          <a:ext cx="77152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0.85725</cdr:x>
      <cdr:y>0.72925</cdr:y>
    </cdr:from>
    <cdr:to>
      <cdr:x>0.95725</cdr:x>
      <cdr:y>0.916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38925" y="4324350"/>
          <a:ext cx="77152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152400</xdr:rowOff>
    </xdr:from>
    <xdr:to>
      <xdr:col>1</xdr:col>
      <xdr:colOff>1257300</xdr:colOff>
      <xdr:row>6</xdr:row>
      <xdr:rowOff>247650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2400"/>
          <a:ext cx="2638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15</xdr:row>
      <xdr:rowOff>66675</xdr:rowOff>
    </xdr:from>
    <xdr:to>
      <xdr:col>30</xdr:col>
      <xdr:colOff>419100</xdr:colOff>
      <xdr:row>32</xdr:row>
      <xdr:rowOff>57150</xdr:rowOff>
    </xdr:to>
    <xdr:graphicFrame>
      <xdr:nvGraphicFramePr>
        <xdr:cNvPr id="2" name="1 Gráfico"/>
        <xdr:cNvGraphicFramePr/>
      </xdr:nvGraphicFramePr>
      <xdr:xfrm>
        <a:off x="21012150" y="4619625"/>
        <a:ext cx="7753350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457200</xdr:colOff>
      <xdr:row>15</xdr:row>
      <xdr:rowOff>76200</xdr:rowOff>
    </xdr:from>
    <xdr:to>
      <xdr:col>41</xdr:col>
      <xdr:colOff>371475</xdr:colOff>
      <xdr:row>32</xdr:row>
      <xdr:rowOff>66675</xdr:rowOff>
    </xdr:to>
    <xdr:graphicFrame>
      <xdr:nvGraphicFramePr>
        <xdr:cNvPr id="3" name="40 Gráfico"/>
        <xdr:cNvGraphicFramePr/>
      </xdr:nvGraphicFramePr>
      <xdr:xfrm>
        <a:off x="28803600" y="4629150"/>
        <a:ext cx="7724775" cy="593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RCA%20Acueductos%20Urbanos%20-%20Antioqui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">
          <cell r="X1" t="str">
            <v>Sin Riesgo</v>
          </cell>
          <cell r="Z1" t="str">
            <v>Riesgo Bajo</v>
          </cell>
          <cell r="AB1" t="str">
            <v>Riesgo Medio</v>
          </cell>
          <cell r="AD1" t="str">
            <v>Riesgo Alto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="60" zoomScaleNormal="60" zoomScalePageLayoutView="40" workbookViewId="0" topLeftCell="A1">
      <selection activeCell="R10" sqref="R10"/>
    </sheetView>
  </sheetViews>
  <sheetFormatPr defaultColWidth="11.421875" defaultRowHeight="12.75"/>
  <cols>
    <col min="1" max="1" width="25.7109375" style="0" customWidth="1"/>
    <col min="2" max="2" width="30.85156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71" t="s">
        <v>17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U1" s="64" t="s">
        <v>152</v>
      </c>
      <c r="V1" s="76" t="s">
        <v>176</v>
      </c>
      <c r="W1" s="64" t="s">
        <v>153</v>
      </c>
      <c r="X1" s="76" t="s">
        <v>154</v>
      </c>
      <c r="Y1" s="64" t="s">
        <v>153</v>
      </c>
      <c r="Z1" s="76" t="s">
        <v>155</v>
      </c>
      <c r="AA1" s="64" t="s">
        <v>153</v>
      </c>
      <c r="AB1" s="76" t="s">
        <v>156</v>
      </c>
      <c r="AC1" s="64" t="s">
        <v>153</v>
      </c>
      <c r="AD1" s="76" t="s">
        <v>157</v>
      </c>
      <c r="AE1" s="64" t="s">
        <v>153</v>
      </c>
      <c r="AF1" s="76" t="s">
        <v>158</v>
      </c>
      <c r="AG1" s="64" t="s">
        <v>153</v>
      </c>
      <c r="AH1" s="76" t="s">
        <v>30</v>
      </c>
      <c r="AI1" s="64" t="s">
        <v>153</v>
      </c>
    </row>
    <row r="2" spans="2:35" ht="18">
      <c r="B2" s="72" t="s">
        <v>11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U2" s="64"/>
      <c r="V2" s="76"/>
      <c r="W2" s="64"/>
      <c r="X2" s="76"/>
      <c r="Y2" s="64"/>
      <c r="Z2" s="76"/>
      <c r="AA2" s="64"/>
      <c r="AB2" s="76"/>
      <c r="AC2" s="64"/>
      <c r="AD2" s="76"/>
      <c r="AE2" s="64"/>
      <c r="AF2" s="76"/>
      <c r="AG2" s="64"/>
      <c r="AH2" s="76"/>
      <c r="AI2" s="64"/>
    </row>
    <row r="3" spans="2:35" ht="15" customHeight="1">
      <c r="B3" s="73" t="s">
        <v>291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5"/>
      <c r="U3" s="64"/>
      <c r="V3" s="76"/>
      <c r="W3" s="64"/>
      <c r="X3" s="76"/>
      <c r="Y3" s="64"/>
      <c r="Z3" s="76"/>
      <c r="AA3" s="64"/>
      <c r="AB3" s="76"/>
      <c r="AC3" s="64"/>
      <c r="AD3" s="76"/>
      <c r="AE3" s="64"/>
      <c r="AF3" s="76"/>
      <c r="AG3" s="64"/>
      <c r="AH3" s="76"/>
      <c r="AI3" s="64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64"/>
      <c r="V4" s="76"/>
      <c r="W4" s="64"/>
      <c r="X4" s="76"/>
      <c r="Y4" s="64"/>
      <c r="Z4" s="76"/>
      <c r="AA4" s="64"/>
      <c r="AB4" s="76"/>
      <c r="AC4" s="64"/>
      <c r="AD4" s="76"/>
      <c r="AE4" s="64"/>
      <c r="AF4" s="76"/>
      <c r="AG4" s="64"/>
      <c r="AH4" s="76"/>
      <c r="AI4" s="64"/>
    </row>
    <row r="5" spans="2:35" ht="12.75" customHeight="1">
      <c r="B5" s="48"/>
      <c r="C5" s="55" t="s">
        <v>289</v>
      </c>
      <c r="D5" s="77" t="s">
        <v>30</v>
      </c>
      <c r="E5" s="77"/>
      <c r="F5" s="78" t="s">
        <v>284</v>
      </c>
      <c r="G5" s="78"/>
      <c r="H5" s="78"/>
      <c r="I5" s="79" t="s">
        <v>285</v>
      </c>
      <c r="J5" s="79"/>
      <c r="K5" s="79"/>
      <c r="L5" s="80" t="s">
        <v>286</v>
      </c>
      <c r="M5" s="80"/>
      <c r="N5" s="80"/>
      <c r="O5" s="81" t="s">
        <v>287</v>
      </c>
      <c r="P5" s="81"/>
      <c r="Q5" s="81"/>
      <c r="R5" s="65" t="s">
        <v>288</v>
      </c>
      <c r="S5" s="65"/>
      <c r="U5" s="64"/>
      <c r="V5" s="76"/>
      <c r="W5" s="64"/>
      <c r="X5" s="76"/>
      <c r="Y5" s="64"/>
      <c r="Z5" s="76"/>
      <c r="AA5" s="64"/>
      <c r="AB5" s="76"/>
      <c r="AC5" s="64"/>
      <c r="AD5" s="76"/>
      <c r="AE5" s="64"/>
      <c r="AF5" s="76"/>
      <c r="AG5" s="64"/>
      <c r="AH5" s="76"/>
      <c r="AI5" s="64"/>
    </row>
    <row r="6" spans="2:35" ht="24.75" customHeight="1">
      <c r="B6" s="48"/>
      <c r="C6" s="55"/>
      <c r="D6" s="77"/>
      <c r="E6" s="77"/>
      <c r="F6" s="78"/>
      <c r="G6" s="78"/>
      <c r="H6" s="78"/>
      <c r="I6" s="79"/>
      <c r="J6" s="79"/>
      <c r="K6" s="79"/>
      <c r="L6" s="80"/>
      <c r="M6" s="80"/>
      <c r="N6" s="80"/>
      <c r="O6" s="81"/>
      <c r="P6" s="81"/>
      <c r="Q6" s="81"/>
      <c r="R6" s="65"/>
      <c r="S6" s="65"/>
      <c r="U6" s="23" t="s">
        <v>159</v>
      </c>
      <c r="V6" s="24">
        <f>COUNTIF('2009'!A:A,"Valle de Aburra")-_xlfn.COUNTIFS('2009'!A:A,"Valle de Aburra",'2009'!C:C,"")</f>
        <v>11</v>
      </c>
      <c r="W6" s="25">
        <f>(V6/$V$15)*100</f>
        <v>7.482993197278912</v>
      </c>
      <c r="X6" s="24">
        <f>_xlfn.COUNTIFS('2009'!A:A,"Valle de Aburra",'2009'!S:S,"Sin Riesgo")</f>
        <v>11</v>
      </c>
      <c r="Y6" s="25">
        <f>(X6/V6)*100</f>
        <v>100</v>
      </c>
      <c r="Z6" s="24">
        <f>_xlfn.COUNTIFS('2009'!A:A,"Valle de Aburra",'2009'!S:S,"Bajo")</f>
        <v>0</v>
      </c>
      <c r="AA6" s="25">
        <f>(Z6/V6)*100</f>
        <v>0</v>
      </c>
      <c r="AB6" s="24">
        <f>_xlfn.COUNTIFS('2009'!A:A,"Valle de Aburra",'2009'!S:S,"Medio")</f>
        <v>0</v>
      </c>
      <c r="AC6" s="25">
        <f>(AB6/V6)*100</f>
        <v>0</v>
      </c>
      <c r="AD6" s="24">
        <f>_xlfn.COUNTIFS('2009'!A:A,"Valle de Aburra",'2009'!S:S,"Alto")</f>
        <v>0</v>
      </c>
      <c r="AE6" s="25">
        <f>(AD6/V6)*100</f>
        <v>0</v>
      </c>
      <c r="AF6" s="24">
        <f>_xlfn.COUNTIFS('2009'!A:A,"Valle de Aburra",'2009'!S:S,"Inviable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2:35" ht="24.75" customHeight="1">
      <c r="B7" s="49"/>
      <c r="C7" s="49"/>
      <c r="D7" s="50"/>
      <c r="E7" s="50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U7" s="27" t="s">
        <v>167</v>
      </c>
      <c r="V7" s="24">
        <f>COUNTIF('2009'!A:A,"Uraba")-_xlfn.COUNTIFS('2009'!A:A,"Uraba",'2009'!C:C,"")</f>
        <v>12</v>
      </c>
      <c r="W7" s="25">
        <f aca="true" t="shared" si="0" ref="W7:W15">(V7/$V$15)*100</f>
        <v>8.16326530612245</v>
      </c>
      <c r="X7" s="24">
        <f>_xlfn.COUNTIFS('2009'!A:A,"Uraba",'2009'!S:S,"Sin Riesgo")</f>
        <v>4</v>
      </c>
      <c r="Y7" s="25">
        <f aca="true" t="shared" si="1" ref="Y7:Y15">(X7/V7)*100</f>
        <v>33.33333333333333</v>
      </c>
      <c r="Z7" s="24">
        <f>_xlfn.COUNTIFS('2009'!A:A,"Uraba",'2009'!S:S,"Bajo")</f>
        <v>5</v>
      </c>
      <c r="AA7" s="25">
        <f aca="true" t="shared" si="2" ref="AA7:AA15">(Z7/V7)*100</f>
        <v>41.66666666666667</v>
      </c>
      <c r="AB7" s="24">
        <f>_xlfn.COUNTIFS('2009'!A:A,"Uraba",'2009'!S:S,"Medio")</f>
        <v>0</v>
      </c>
      <c r="AC7" s="25">
        <f aca="true" t="shared" si="3" ref="AC7:AC15">(AB7/V7)*100</f>
        <v>0</v>
      </c>
      <c r="AD7" s="24">
        <f>_xlfn.COUNTIFS('2009'!A:A,"Uraba",'2009'!S:S,"Alto")</f>
        <v>0</v>
      </c>
      <c r="AE7" s="25">
        <f aca="true" t="shared" si="4" ref="AE7:AE15">(AD7/V7)*100</f>
        <v>0</v>
      </c>
      <c r="AF7" s="24">
        <f>_xlfn.COUNTIFS('2009'!A:A,"Uraba",'2009'!S:S,"Inviable Sanitariamente")</f>
        <v>1</v>
      </c>
      <c r="AG7" s="25">
        <f aca="true" t="shared" si="5" ref="AG7:AG15">(AF7/V7)*100</f>
        <v>8.333333333333332</v>
      </c>
      <c r="AH7" s="26">
        <f aca="true" t="shared" si="6" ref="AH7:AH15">V7-(X7+Z7+AB7+AD7+AF7)</f>
        <v>2</v>
      </c>
      <c r="AI7" s="25">
        <f aca="true" t="shared" si="7" ref="AI7:AI15">(AH7/V7)*100</f>
        <v>16.666666666666664</v>
      </c>
    </row>
    <row r="8" spans="1:35" ht="24.75" customHeight="1">
      <c r="A8" s="60" t="s">
        <v>161</v>
      </c>
      <c r="B8" s="61" t="s">
        <v>0</v>
      </c>
      <c r="C8" s="62" t="s">
        <v>290</v>
      </c>
      <c r="D8" s="53" t="s">
        <v>27</v>
      </c>
      <c r="E8" s="66">
        <v>2009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  <c r="Q8" s="58" t="s">
        <v>283</v>
      </c>
      <c r="R8" s="69" t="s">
        <v>12</v>
      </c>
      <c r="S8" s="62" t="s">
        <v>16</v>
      </c>
      <c r="T8" s="1"/>
      <c r="U8" s="28" t="s">
        <v>166</v>
      </c>
      <c r="V8" s="24">
        <f>COUNTIF('2009'!A:A,"Norte")-_xlfn.COUNTIFS('2009'!A:A,"Norte",'2009'!C:C,"")</f>
        <v>16</v>
      </c>
      <c r="W8" s="25">
        <f t="shared" si="0"/>
        <v>10.884353741496598</v>
      </c>
      <c r="X8" s="24">
        <f>_xlfn.COUNTIFS('2009'!A:A,"Norte",'2009'!S:S,"Sin Riesgo")</f>
        <v>11</v>
      </c>
      <c r="Y8" s="25">
        <f t="shared" si="1"/>
        <v>68.75</v>
      </c>
      <c r="Z8" s="24">
        <f>_xlfn.COUNTIFS('2009'!A:A,"Norte",'2009'!S:S,"Bajo")</f>
        <v>3</v>
      </c>
      <c r="AA8" s="25">
        <f t="shared" si="2"/>
        <v>18.75</v>
      </c>
      <c r="AB8" s="24">
        <f>_xlfn.COUNTIFS('2009'!A:A,"Norte",'2009'!S:S,"Medio")</f>
        <v>1</v>
      </c>
      <c r="AC8" s="25">
        <f t="shared" si="3"/>
        <v>6.25</v>
      </c>
      <c r="AD8" s="24">
        <f>_xlfn.COUNTIFS('2009'!A:A,"Norte",'2009'!S:S,"Alto")</f>
        <v>1</v>
      </c>
      <c r="AE8" s="25">
        <f t="shared" si="4"/>
        <v>6.25</v>
      </c>
      <c r="AF8" s="24">
        <f>_xlfn.COUNTIFS('2009'!A:A,"Norte",'2009'!S:S,"Inviable Sanitariamente")</f>
        <v>0</v>
      </c>
      <c r="AG8" s="25">
        <f t="shared" si="5"/>
        <v>0</v>
      </c>
      <c r="AH8" s="26">
        <f t="shared" si="6"/>
        <v>0</v>
      </c>
      <c r="AI8" s="25">
        <f t="shared" si="7"/>
        <v>0</v>
      </c>
    </row>
    <row r="9" spans="1:35" ht="24.75" customHeight="1">
      <c r="A9" s="60"/>
      <c r="B9" s="60"/>
      <c r="C9" s="63"/>
      <c r="D9" s="54"/>
      <c r="E9" s="18" t="s">
        <v>26</v>
      </c>
      <c r="F9" s="18" t="s">
        <v>25</v>
      </c>
      <c r="G9" s="18" t="s">
        <v>24</v>
      </c>
      <c r="H9" s="18" t="s">
        <v>1</v>
      </c>
      <c r="I9" s="18" t="s">
        <v>2</v>
      </c>
      <c r="J9" s="18" t="s">
        <v>23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59"/>
      <c r="R9" s="70"/>
      <c r="S9" s="63"/>
      <c r="T9" s="1"/>
      <c r="U9" s="28" t="s">
        <v>163</v>
      </c>
      <c r="V9" s="24">
        <f>COUNTIF('2009'!A:A,"Occidente")-_xlfn.COUNTIFS('2009'!A:A,"Occidente",'2009'!C:C,"")</f>
        <v>22</v>
      </c>
      <c r="W9" s="25">
        <f t="shared" si="0"/>
        <v>14.965986394557824</v>
      </c>
      <c r="X9" s="24">
        <f>_xlfn.COUNTIFS('2009'!A:A,"Occidente",'2009'!S:S,"Sin Riesgo")</f>
        <v>16</v>
      </c>
      <c r="Y9" s="25">
        <f t="shared" si="1"/>
        <v>72.72727272727273</v>
      </c>
      <c r="Z9" s="24">
        <f>_xlfn.COUNTIFS('2009'!A:A,"Occidente",'2009'!S:S,"Bajo")</f>
        <v>2</v>
      </c>
      <c r="AA9" s="25">
        <f t="shared" si="2"/>
        <v>9.090909090909092</v>
      </c>
      <c r="AB9" s="24">
        <f>_xlfn.COUNTIFS('2009'!A:A,"Occidente",'2009'!S:S,"Medio")</f>
        <v>3</v>
      </c>
      <c r="AC9" s="25">
        <f t="shared" si="3"/>
        <v>13.636363636363635</v>
      </c>
      <c r="AD9" s="24">
        <f>_xlfn.COUNTIFS('2009'!A:A,"Occidente",'2009'!S:S,"Alto")</f>
        <v>1</v>
      </c>
      <c r="AE9" s="25">
        <f t="shared" si="4"/>
        <v>4.545454545454546</v>
      </c>
      <c r="AF9" s="24">
        <f>_xlfn.COUNTIFS('2009'!A:A,"Occidente",'2009'!S:S,"Inviable Sanitariamente")</f>
        <v>0</v>
      </c>
      <c r="AG9" s="25">
        <f t="shared" si="5"/>
        <v>0</v>
      </c>
      <c r="AH9" s="26">
        <f t="shared" si="6"/>
        <v>0</v>
      </c>
      <c r="AI9" s="25">
        <f t="shared" si="7"/>
        <v>0</v>
      </c>
    </row>
    <row r="10" spans="1:35" ht="34.5" customHeight="1">
      <c r="A10" s="32" t="s">
        <v>162</v>
      </c>
      <c r="B10" s="33" t="s">
        <v>31</v>
      </c>
      <c r="C10" s="34" t="s">
        <v>177</v>
      </c>
      <c r="D10" s="35">
        <v>56</v>
      </c>
      <c r="E10" s="36"/>
      <c r="F10" s="36"/>
      <c r="G10" s="36"/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/>
      <c r="Q10" s="37">
        <v>0</v>
      </c>
      <c r="R10" s="38" t="str">
        <f>IF(Q10&lt;=5,"SI","NO")</f>
        <v>SI</v>
      </c>
      <c r="S10" s="38" t="str">
        <f>IF(Q10&lt;=5,"Sin Riesgo",IF(Q10&lt;=14,"Bajo",IF(Q10&lt;=35,"Medio",IF(Q10&lt;=80,"Alto","Inviable Sanitariamente"))))</f>
        <v>Sin Riesgo</v>
      </c>
      <c r="T10" s="2"/>
      <c r="U10" s="28" t="s">
        <v>164</v>
      </c>
      <c r="V10" s="24">
        <f>COUNTIF('2009'!A:A,"Suroeste")-_xlfn.COUNTIFS('2009'!A:A,"Suroeste",'2009'!C:C,"")</f>
        <v>28</v>
      </c>
      <c r="W10" s="25">
        <f t="shared" si="0"/>
        <v>19.047619047619047</v>
      </c>
      <c r="X10" s="24">
        <f>_xlfn.COUNTIFS('2009'!A:A,"Suroeste",'2009'!S:S,"Sin Riesgo")</f>
        <v>23</v>
      </c>
      <c r="Y10" s="25">
        <f t="shared" si="1"/>
        <v>82.14285714285714</v>
      </c>
      <c r="Z10" s="24">
        <f>_xlfn.COUNTIFS('2009'!A:A,"Suroeste",'2009'!S:S,"Bajo")</f>
        <v>3</v>
      </c>
      <c r="AA10" s="25">
        <f t="shared" si="2"/>
        <v>10.714285714285714</v>
      </c>
      <c r="AB10" s="24">
        <f>_xlfn.COUNTIFS('2009'!A:A,"Suroeste",'2009'!S:S,"Medio")</f>
        <v>1</v>
      </c>
      <c r="AC10" s="25">
        <f t="shared" si="3"/>
        <v>3.571428571428571</v>
      </c>
      <c r="AD10" s="24">
        <f>_xlfn.COUNTIFS('2009'!A:A,"Suroeste",'2009'!S:S,"Alto")</f>
        <v>0</v>
      </c>
      <c r="AE10" s="25">
        <f t="shared" si="4"/>
        <v>0</v>
      </c>
      <c r="AF10" s="24">
        <f>_xlfn.COUNTIFS('2009'!A:A,"Suroeste",'2009'!S:S,"Inviable Sanitariamente")</f>
        <v>1</v>
      </c>
      <c r="AG10" s="25">
        <f t="shared" si="5"/>
        <v>3.571428571428571</v>
      </c>
      <c r="AH10" s="26">
        <f t="shared" si="6"/>
        <v>0</v>
      </c>
      <c r="AI10" s="25">
        <f t="shared" si="7"/>
        <v>0</v>
      </c>
    </row>
    <row r="11" spans="1:35" ht="31.5" customHeight="1">
      <c r="A11" s="32" t="s">
        <v>162</v>
      </c>
      <c r="B11" s="33" t="s">
        <v>31</v>
      </c>
      <c r="C11" s="34" t="s">
        <v>178</v>
      </c>
      <c r="D11" s="35">
        <v>1832</v>
      </c>
      <c r="E11" s="36"/>
      <c r="F11" s="36"/>
      <c r="G11" s="36"/>
      <c r="H11" s="36">
        <v>0</v>
      </c>
      <c r="I11" s="36">
        <v>9.09</v>
      </c>
      <c r="J11" s="36">
        <v>0</v>
      </c>
      <c r="K11" s="36">
        <v>9.09</v>
      </c>
      <c r="L11" s="36">
        <v>0</v>
      </c>
      <c r="M11" s="36">
        <v>0</v>
      </c>
      <c r="N11" s="36">
        <v>9.09</v>
      </c>
      <c r="O11" s="36">
        <v>0</v>
      </c>
      <c r="P11" s="36"/>
      <c r="Q11" s="37">
        <v>3.4</v>
      </c>
      <c r="R11" s="38" t="str">
        <f aca="true" t="shared" si="8" ref="R11:R60">IF(Q11&lt;=5,"SI","NO")</f>
        <v>SI</v>
      </c>
      <c r="S11" s="38" t="str">
        <f aca="true" t="shared" si="9" ref="S11:S59">IF(Q11&lt;=5,"Sin Riesgo",IF(Q11&lt;=14,"Bajo",IF(Q11&lt;=35,"Medio",IF(Q11&lt;=80,"Alto","Inviable Sanitariamente"))))</f>
        <v>Sin Riesgo</v>
      </c>
      <c r="T11" s="2"/>
      <c r="U11" s="28" t="s">
        <v>168</v>
      </c>
      <c r="V11" s="24">
        <f>COUNTIF('2009'!A:A,"Bajo Cauca")-_xlfn.COUNTIFS('2009'!A:A,"Bajo Cauca",'2009'!C:C,"")</f>
        <v>12</v>
      </c>
      <c r="W11" s="25">
        <f t="shared" si="0"/>
        <v>8.16326530612245</v>
      </c>
      <c r="X11" s="24">
        <f>_xlfn.COUNTIFS('2009'!A:A,"Bajo Cauca",'2009'!S:S,"Sin Riesgo")</f>
        <v>8</v>
      </c>
      <c r="Y11" s="25">
        <f t="shared" si="1"/>
        <v>66.66666666666666</v>
      </c>
      <c r="Z11" s="24">
        <f>_xlfn.COUNTIFS('2009'!A:A,"Bajo Cauca",'2009'!S:S,"Bajo")</f>
        <v>3</v>
      </c>
      <c r="AA11" s="25">
        <f t="shared" si="2"/>
        <v>25</v>
      </c>
      <c r="AB11" s="24">
        <f>_xlfn.COUNTIFS('2009'!A:A,"Bajo Cauca",'2009'!S:S,"Medio")</f>
        <v>0</v>
      </c>
      <c r="AC11" s="25">
        <f t="shared" si="3"/>
        <v>0</v>
      </c>
      <c r="AD11" s="24">
        <f>_xlfn.COUNTIFS('2009'!A:A,"Bajo Cauca",'2009'!S:S,"Alto")</f>
        <v>0</v>
      </c>
      <c r="AE11" s="25">
        <f t="shared" si="4"/>
        <v>0</v>
      </c>
      <c r="AF11" s="24">
        <f>_xlfn.COUNTIFS('2009'!A:A,"Bajo Cauca",'2009'!S:S,"Inviable Sanitariamente")</f>
        <v>1</v>
      </c>
      <c r="AG11" s="25">
        <f t="shared" si="5"/>
        <v>8.333333333333332</v>
      </c>
      <c r="AH11" s="26">
        <f t="shared" si="6"/>
        <v>0</v>
      </c>
      <c r="AI11" s="25">
        <f t="shared" si="7"/>
        <v>0</v>
      </c>
    </row>
    <row r="12" spans="1:35" ht="32.25" customHeight="1">
      <c r="A12" s="32" t="s">
        <v>163</v>
      </c>
      <c r="B12" s="32" t="s">
        <v>32</v>
      </c>
      <c r="C12" s="34" t="s">
        <v>234</v>
      </c>
      <c r="D12" s="35">
        <v>272</v>
      </c>
      <c r="E12" s="36"/>
      <c r="F12" s="36"/>
      <c r="G12" s="36"/>
      <c r="H12" s="36">
        <v>0</v>
      </c>
      <c r="I12" s="36">
        <v>12.9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7">
        <v>1.5</v>
      </c>
      <c r="R12" s="38" t="str">
        <f t="shared" si="8"/>
        <v>SI</v>
      </c>
      <c r="S12" s="38" t="str">
        <f t="shared" si="9"/>
        <v>Sin Riesgo</v>
      </c>
      <c r="T12" s="2"/>
      <c r="U12" s="28" t="s">
        <v>169</v>
      </c>
      <c r="V12" s="24">
        <f>COUNTIF('2009'!A:A,"Magdalena Medio")-_xlfn.COUNTIFS('2009'!A:A,"Magdalena Medio",'2009'!C:C,"")</f>
        <v>6</v>
      </c>
      <c r="W12" s="25">
        <f t="shared" si="0"/>
        <v>4.081632653061225</v>
      </c>
      <c r="X12" s="24">
        <f>_xlfn.COUNTIFS('2009'!A:A,"Magdalena Medio",'2009'!S:S,"Sin Riesgo")</f>
        <v>5</v>
      </c>
      <c r="Y12" s="25">
        <f t="shared" si="1"/>
        <v>83.33333333333334</v>
      </c>
      <c r="Z12" s="24">
        <f>_xlfn.COUNTIFS('2009'!A:A,"Magdalena Medio",'2009'!S:S,"Bajo")</f>
        <v>1</v>
      </c>
      <c r="AA12" s="25">
        <f t="shared" si="2"/>
        <v>16.666666666666664</v>
      </c>
      <c r="AB12" s="24">
        <f>_xlfn.COUNTIFS('2009'!A:A,"Magdalena Medio",'2009'!S:S,"Medio")</f>
        <v>0</v>
      </c>
      <c r="AC12" s="25">
        <f t="shared" si="3"/>
        <v>0</v>
      </c>
      <c r="AD12" s="24">
        <f>_xlfn.COUNTIFS('2009'!A:A,"Magdalena Medio",'2009'!S:S,"Alto")</f>
        <v>0</v>
      </c>
      <c r="AE12" s="25">
        <f t="shared" si="4"/>
        <v>0</v>
      </c>
      <c r="AF12" s="24">
        <f>_xlfn.COUNTIFS('2009'!A:A,"Magdalena Medio",'2009'!S:S,"Inviable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24.75" customHeight="1">
      <c r="A13" s="32" t="s">
        <v>162</v>
      </c>
      <c r="B13" s="33" t="s">
        <v>33</v>
      </c>
      <c r="C13" s="34" t="s">
        <v>180</v>
      </c>
      <c r="D13" s="35">
        <v>829</v>
      </c>
      <c r="E13" s="36"/>
      <c r="F13" s="36"/>
      <c r="G13" s="36"/>
      <c r="H13" s="36">
        <v>0</v>
      </c>
      <c r="I13" s="36">
        <v>9.09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6.45</v>
      </c>
      <c r="P13" s="36">
        <v>0</v>
      </c>
      <c r="Q13" s="37">
        <v>2</v>
      </c>
      <c r="R13" s="38" t="str">
        <f t="shared" si="8"/>
        <v>SI</v>
      </c>
      <c r="S13" s="38" t="str">
        <f t="shared" si="9"/>
        <v>Sin Riesgo</v>
      </c>
      <c r="T13" s="2"/>
      <c r="U13" s="28" t="s">
        <v>174</v>
      </c>
      <c r="V13" s="24">
        <f>COUNTIF('2009'!A:A,"Nordeste")-_xlfn.COUNTIFS('2009'!A:A,"Nordeste",'2009'!C:C,"")</f>
        <v>11</v>
      </c>
      <c r="W13" s="25">
        <f t="shared" si="0"/>
        <v>7.482993197278912</v>
      </c>
      <c r="X13" s="24">
        <f>_xlfn.COUNTIFS('2009'!A:A,"Nordeste",'2009'!S:S,"Sin Riesgo")</f>
        <v>8</v>
      </c>
      <c r="Y13" s="25">
        <f t="shared" si="1"/>
        <v>72.72727272727273</v>
      </c>
      <c r="Z13" s="24">
        <f>_xlfn.COUNTIFS('2009'!A:A,"Nordeste",'2009'!S:S,"Bajo")</f>
        <v>2</v>
      </c>
      <c r="AA13" s="25">
        <f t="shared" si="2"/>
        <v>18.181818181818183</v>
      </c>
      <c r="AB13" s="24">
        <f>_xlfn.COUNTIFS('2009'!A:A,"Nordeste",'2009'!S:S,"Medio")</f>
        <v>0</v>
      </c>
      <c r="AC13" s="25">
        <f t="shared" si="3"/>
        <v>0</v>
      </c>
      <c r="AD13" s="24">
        <f>_xlfn.COUNTIFS('2009'!A:A,"Nordeste",'2009'!S:S,"Alto")</f>
        <v>0</v>
      </c>
      <c r="AE13" s="25">
        <f t="shared" si="4"/>
        <v>0</v>
      </c>
      <c r="AF13" s="24">
        <f>_xlfn.COUNTIFS('2009'!A:A,"Nordeste",'2009'!S:S,"Inviable Sanitariamente")</f>
        <v>1</v>
      </c>
      <c r="AG13" s="25">
        <f t="shared" si="5"/>
        <v>9.090909090909092</v>
      </c>
      <c r="AH13" s="26">
        <f t="shared" si="6"/>
        <v>0</v>
      </c>
      <c r="AI13" s="25">
        <f t="shared" si="7"/>
        <v>0</v>
      </c>
    </row>
    <row r="14" spans="1:35" ht="24.75" customHeight="1">
      <c r="A14" s="32" t="s">
        <v>164</v>
      </c>
      <c r="B14" s="33" t="s">
        <v>34</v>
      </c>
      <c r="C14" s="34" t="s">
        <v>235</v>
      </c>
      <c r="D14" s="35">
        <v>3500</v>
      </c>
      <c r="E14" s="36"/>
      <c r="F14" s="36"/>
      <c r="G14" s="36"/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7">
        <v>0</v>
      </c>
      <c r="R14" s="38" t="str">
        <f t="shared" si="8"/>
        <v>SI</v>
      </c>
      <c r="S14" s="38" t="str">
        <f t="shared" si="9"/>
        <v>Sin Riesgo</v>
      </c>
      <c r="T14" s="2"/>
      <c r="U14" s="28" t="s">
        <v>162</v>
      </c>
      <c r="V14" s="24">
        <f>COUNTIF('2009'!A:A,"Oriente")-_xlfn.COUNTIFS('2009'!A:A,"Oriente",'2009'!C:C,"")</f>
        <v>29</v>
      </c>
      <c r="W14" s="25">
        <f t="shared" si="0"/>
        <v>19.727891156462583</v>
      </c>
      <c r="X14" s="24">
        <f>_xlfn.COUNTIFS('2009'!A:A,"Oriente",'2009'!S:S,"Sin Riesgo")</f>
        <v>27</v>
      </c>
      <c r="Y14" s="25">
        <f t="shared" si="1"/>
        <v>93.10344827586206</v>
      </c>
      <c r="Z14" s="24">
        <f>_xlfn.COUNTIFS('2009'!A:A,"Oriente",'2009'!S:S,"Bajo")</f>
        <v>1</v>
      </c>
      <c r="AA14" s="25">
        <f t="shared" si="2"/>
        <v>3.4482758620689653</v>
      </c>
      <c r="AB14" s="24">
        <f>_xlfn.COUNTIFS('2009'!A:A,"Oriente",'2009'!S:S,"Medio")</f>
        <v>0</v>
      </c>
      <c r="AC14" s="25">
        <f t="shared" si="3"/>
        <v>0</v>
      </c>
      <c r="AD14" s="24">
        <f>_xlfn.COUNTIFS('2009'!A:A,"Oriente",'2009'!S:S,"Alto")</f>
        <v>0</v>
      </c>
      <c r="AE14" s="25">
        <f t="shared" si="4"/>
        <v>0</v>
      </c>
      <c r="AF14" s="24">
        <f>_xlfn.COUNTIFS('2009'!A:A,"Oriente",'2009'!S:S,"Inviable Sanitariamente")</f>
        <v>1</v>
      </c>
      <c r="AG14" s="25">
        <f t="shared" si="5"/>
        <v>3.4482758620689653</v>
      </c>
      <c r="AH14" s="26">
        <f t="shared" si="6"/>
        <v>0</v>
      </c>
      <c r="AI14" s="25">
        <f t="shared" si="7"/>
        <v>0</v>
      </c>
    </row>
    <row r="15" spans="1:35" ht="33" customHeight="1">
      <c r="A15" s="32" t="s">
        <v>165</v>
      </c>
      <c r="B15" s="33" t="s">
        <v>35</v>
      </c>
      <c r="C15" s="39" t="s">
        <v>181</v>
      </c>
      <c r="D15" s="40">
        <v>1923</v>
      </c>
      <c r="E15" s="36"/>
      <c r="F15" s="36"/>
      <c r="G15" s="36"/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9.4</v>
      </c>
      <c r="P15" s="36">
        <v>0</v>
      </c>
      <c r="Q15" s="36">
        <v>1.51</v>
      </c>
      <c r="R15" s="38" t="str">
        <f t="shared" si="8"/>
        <v>SI</v>
      </c>
      <c r="S15" s="38" t="str">
        <f t="shared" si="9"/>
        <v>Sin Riesgo</v>
      </c>
      <c r="T15" s="2"/>
      <c r="U15" s="29" t="s">
        <v>175</v>
      </c>
      <c r="V15" s="22">
        <f>SUM(V6:V14)</f>
        <v>147</v>
      </c>
      <c r="W15" s="30">
        <f t="shared" si="0"/>
        <v>100</v>
      </c>
      <c r="X15" s="22">
        <f>SUM(X6:X14)</f>
        <v>113</v>
      </c>
      <c r="Y15" s="30">
        <f t="shared" si="1"/>
        <v>76.87074829931973</v>
      </c>
      <c r="Z15" s="22">
        <f>SUM(Z6:Z14)</f>
        <v>20</v>
      </c>
      <c r="AA15" s="30">
        <f t="shared" si="2"/>
        <v>13.60544217687075</v>
      </c>
      <c r="AB15" s="22">
        <f>SUM(AB6:AB14)</f>
        <v>5</v>
      </c>
      <c r="AC15" s="30">
        <f t="shared" si="3"/>
        <v>3.4013605442176873</v>
      </c>
      <c r="AD15" s="22">
        <f>SUM(AD6:AD14)</f>
        <v>2</v>
      </c>
      <c r="AE15" s="30">
        <f t="shared" si="4"/>
        <v>1.3605442176870748</v>
      </c>
      <c r="AF15" s="22">
        <f>SUM(AF6:AF14)</f>
        <v>5</v>
      </c>
      <c r="AG15" s="30">
        <f t="shared" si="5"/>
        <v>3.4013605442176873</v>
      </c>
      <c r="AH15" s="22">
        <f t="shared" si="6"/>
        <v>2</v>
      </c>
      <c r="AI15" s="30">
        <f t="shared" si="7"/>
        <v>1.3605442176870748</v>
      </c>
    </row>
    <row r="16" spans="1:26" ht="35.25" customHeight="1">
      <c r="A16" s="32" t="s">
        <v>165</v>
      </c>
      <c r="B16" s="33" t="s">
        <v>35</v>
      </c>
      <c r="C16" s="39" t="s">
        <v>182</v>
      </c>
      <c r="D16" s="40">
        <v>824</v>
      </c>
      <c r="E16" s="36"/>
      <c r="F16" s="36"/>
      <c r="G16" s="36"/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8" t="str">
        <f t="shared" si="8"/>
        <v>SI</v>
      </c>
      <c r="S16" s="38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0.75" customHeight="1">
      <c r="A17" s="32" t="s">
        <v>164</v>
      </c>
      <c r="B17" s="33" t="s">
        <v>36</v>
      </c>
      <c r="C17" s="34" t="s">
        <v>233</v>
      </c>
      <c r="D17" s="24">
        <v>4700</v>
      </c>
      <c r="E17" s="36"/>
      <c r="F17" s="36"/>
      <c r="G17" s="36"/>
      <c r="H17" s="36">
        <v>0</v>
      </c>
      <c r="I17" s="36">
        <v>10.19</v>
      </c>
      <c r="J17" s="36">
        <v>0</v>
      </c>
      <c r="K17" s="36">
        <v>0</v>
      </c>
      <c r="L17" s="36">
        <v>3.53</v>
      </c>
      <c r="M17" s="36">
        <v>0</v>
      </c>
      <c r="N17" s="36">
        <v>0</v>
      </c>
      <c r="O17" s="36">
        <v>0</v>
      </c>
      <c r="P17" s="36">
        <v>8.69</v>
      </c>
      <c r="Q17" s="36">
        <v>2.59</v>
      </c>
      <c r="R17" s="38" t="str">
        <f t="shared" si="8"/>
        <v>SI</v>
      </c>
      <c r="S17" s="38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2" t="s">
        <v>164</v>
      </c>
      <c r="B18" s="33" t="s">
        <v>37</v>
      </c>
      <c r="C18" s="34" t="s">
        <v>234</v>
      </c>
      <c r="D18" s="35">
        <v>800</v>
      </c>
      <c r="E18" s="36"/>
      <c r="F18" s="36"/>
      <c r="G18" s="36"/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9</v>
      </c>
      <c r="P18" s="36">
        <v>0</v>
      </c>
      <c r="Q18" s="36">
        <v>1.19</v>
      </c>
      <c r="R18" s="38" t="str">
        <f t="shared" si="8"/>
        <v>SI</v>
      </c>
      <c r="S18" s="38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6" customHeight="1">
      <c r="A19" s="32" t="s">
        <v>166</v>
      </c>
      <c r="B19" s="33" t="s">
        <v>38</v>
      </c>
      <c r="C19" s="34" t="s">
        <v>179</v>
      </c>
      <c r="D19" s="35">
        <v>703</v>
      </c>
      <c r="E19" s="36"/>
      <c r="F19" s="36"/>
      <c r="G19" s="36"/>
      <c r="H19" s="38"/>
      <c r="I19" s="36">
        <v>0</v>
      </c>
      <c r="J19" s="36">
        <v>24.24</v>
      </c>
      <c r="K19" s="36">
        <v>0</v>
      </c>
      <c r="L19" s="36">
        <v>0</v>
      </c>
      <c r="M19" s="36">
        <v>6.45</v>
      </c>
      <c r="N19" s="36">
        <v>6.82</v>
      </c>
      <c r="O19" s="36">
        <v>0</v>
      </c>
      <c r="P19" s="36">
        <v>13.27</v>
      </c>
      <c r="Q19" s="36">
        <v>6.63</v>
      </c>
      <c r="R19" s="38" t="str">
        <f t="shared" si="8"/>
        <v>NO</v>
      </c>
      <c r="S19" s="38" t="str">
        <f t="shared" si="9"/>
        <v>Bajo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2" t="s">
        <v>165</v>
      </c>
      <c r="B20" s="33" t="s">
        <v>39</v>
      </c>
      <c r="C20" s="39" t="s">
        <v>183</v>
      </c>
      <c r="D20" s="40">
        <v>1089</v>
      </c>
      <c r="E20" s="36"/>
      <c r="F20" s="36"/>
      <c r="G20" s="36"/>
      <c r="H20" s="36">
        <v>0</v>
      </c>
      <c r="I20" s="36">
        <v>0</v>
      </c>
      <c r="J20" s="36">
        <v>17.09</v>
      </c>
      <c r="K20" s="36">
        <v>0</v>
      </c>
      <c r="L20" s="36">
        <v>0</v>
      </c>
      <c r="M20" s="36">
        <v>0</v>
      </c>
      <c r="N20" s="36">
        <v>0</v>
      </c>
      <c r="O20" s="36">
        <v>6.45</v>
      </c>
      <c r="P20" s="36">
        <v>0</v>
      </c>
      <c r="Q20" s="36">
        <v>2.82</v>
      </c>
      <c r="R20" s="38" t="str">
        <f t="shared" si="8"/>
        <v>SI</v>
      </c>
      <c r="S20" s="38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2" t="s">
        <v>163</v>
      </c>
      <c r="B21" s="33" t="s">
        <v>40</v>
      </c>
      <c r="C21" s="34" t="s">
        <v>234</v>
      </c>
      <c r="D21" s="35">
        <v>413</v>
      </c>
      <c r="E21" s="36"/>
      <c r="F21" s="36"/>
      <c r="G21" s="36"/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8" t="str">
        <f t="shared" si="8"/>
        <v>SI</v>
      </c>
      <c r="S21" s="38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2" t="s">
        <v>167</v>
      </c>
      <c r="B22" s="33" t="s">
        <v>41</v>
      </c>
      <c r="C22" s="34" t="s">
        <v>236</v>
      </c>
      <c r="D22" s="35">
        <v>20161</v>
      </c>
      <c r="E22" s="36"/>
      <c r="F22" s="36"/>
      <c r="G22" s="36"/>
      <c r="H22" s="36">
        <v>0</v>
      </c>
      <c r="I22" s="36">
        <v>0</v>
      </c>
      <c r="J22" s="36">
        <v>0</v>
      </c>
      <c r="K22" s="36">
        <v>0</v>
      </c>
      <c r="L22" s="36">
        <v>0.5</v>
      </c>
      <c r="M22" s="36">
        <v>0</v>
      </c>
      <c r="N22" s="36">
        <v>0</v>
      </c>
      <c r="O22" s="36">
        <v>0</v>
      </c>
      <c r="P22" s="36">
        <v>0</v>
      </c>
      <c r="Q22" s="36">
        <v>0.07</v>
      </c>
      <c r="R22" s="38" t="str">
        <f t="shared" si="8"/>
        <v>SI</v>
      </c>
      <c r="S22" s="38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2" t="s">
        <v>167</v>
      </c>
      <c r="B23" s="33" t="s">
        <v>42</v>
      </c>
      <c r="C23" s="39" t="s">
        <v>184</v>
      </c>
      <c r="D23" s="40">
        <v>2143</v>
      </c>
      <c r="E23" s="36"/>
      <c r="F23" s="36"/>
      <c r="G23" s="36"/>
      <c r="H23" s="36">
        <v>0</v>
      </c>
      <c r="I23" s="36">
        <v>0</v>
      </c>
      <c r="J23" s="36">
        <v>0</v>
      </c>
      <c r="K23" s="36">
        <v>25.81</v>
      </c>
      <c r="L23" s="36">
        <v>0</v>
      </c>
      <c r="M23" s="36">
        <v>33.3</v>
      </c>
      <c r="N23" s="36">
        <v>0</v>
      </c>
      <c r="O23" s="36">
        <v>0.61</v>
      </c>
      <c r="P23" s="36">
        <v>23.6</v>
      </c>
      <c r="Q23" s="36">
        <v>9.75</v>
      </c>
      <c r="R23" s="38" t="str">
        <f t="shared" si="8"/>
        <v>NO</v>
      </c>
      <c r="S23" s="38" t="str">
        <f t="shared" si="9"/>
        <v>Bajo</v>
      </c>
      <c r="T23" s="4"/>
      <c r="U23" s="4"/>
      <c r="V23" s="4"/>
      <c r="W23" s="4"/>
    </row>
    <row r="24" spans="1:23" ht="24.75" customHeight="1">
      <c r="A24" s="32" t="s">
        <v>162</v>
      </c>
      <c r="B24" s="41" t="s">
        <v>43</v>
      </c>
      <c r="C24" s="34" t="s">
        <v>237</v>
      </c>
      <c r="D24" s="35">
        <v>904</v>
      </c>
      <c r="E24" s="36"/>
      <c r="F24" s="36"/>
      <c r="G24" s="36"/>
      <c r="H24" s="36">
        <v>82</v>
      </c>
      <c r="I24" s="36">
        <v>100</v>
      </c>
      <c r="J24" s="36">
        <v>88</v>
      </c>
      <c r="K24" s="36">
        <v>88</v>
      </c>
      <c r="L24" s="36">
        <v>88</v>
      </c>
      <c r="M24" s="36">
        <v>88</v>
      </c>
      <c r="N24" s="36">
        <v>82</v>
      </c>
      <c r="O24" s="36">
        <v>88</v>
      </c>
      <c r="P24" s="36">
        <v>88</v>
      </c>
      <c r="Q24" s="36">
        <v>88</v>
      </c>
      <c r="R24" s="38" t="str">
        <f t="shared" si="8"/>
        <v>NO</v>
      </c>
      <c r="S24" s="38" t="str">
        <f t="shared" si="9"/>
        <v>Inviable Sanitariamente</v>
      </c>
      <c r="T24" s="4"/>
      <c r="U24" s="4"/>
      <c r="V24" s="4"/>
      <c r="W24" s="4"/>
    </row>
    <row r="25" spans="1:23" ht="24.75" customHeight="1">
      <c r="A25" s="32" t="s">
        <v>163</v>
      </c>
      <c r="B25" s="33" t="s">
        <v>44</v>
      </c>
      <c r="C25" s="39" t="s">
        <v>183</v>
      </c>
      <c r="D25" s="40">
        <v>563</v>
      </c>
      <c r="E25" s="36"/>
      <c r="F25" s="36"/>
      <c r="G25" s="36"/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8" t="str">
        <f t="shared" si="8"/>
        <v>SI</v>
      </c>
      <c r="S25" s="38" t="str">
        <f t="shared" si="9"/>
        <v>Sin Riesgo</v>
      </c>
      <c r="T25" s="4"/>
      <c r="U25" s="4"/>
      <c r="V25" s="4"/>
      <c r="W25" s="4"/>
    </row>
    <row r="26" spans="1:23" ht="24.75" customHeight="1">
      <c r="A26" s="32" t="s">
        <v>159</v>
      </c>
      <c r="B26" s="33" t="s">
        <v>45</v>
      </c>
      <c r="C26" s="34" t="s">
        <v>185</v>
      </c>
      <c r="D26" s="35">
        <v>4546</v>
      </c>
      <c r="E26" s="36"/>
      <c r="F26" s="36"/>
      <c r="G26" s="36"/>
      <c r="H26" s="36"/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8" t="str">
        <f t="shared" si="8"/>
        <v>SI</v>
      </c>
      <c r="S26" s="38" t="str">
        <f t="shared" si="9"/>
        <v>Sin Riesgo</v>
      </c>
      <c r="T26" s="4"/>
      <c r="U26" s="4"/>
      <c r="V26" s="4"/>
      <c r="W26" s="4"/>
    </row>
    <row r="27" spans="1:23" ht="24.75" customHeight="1">
      <c r="A27" s="32" t="s">
        <v>159</v>
      </c>
      <c r="B27" s="33" t="s">
        <v>46</v>
      </c>
      <c r="C27" s="34" t="s">
        <v>185</v>
      </c>
      <c r="D27" s="35">
        <v>104060</v>
      </c>
      <c r="E27" s="36"/>
      <c r="F27" s="36"/>
      <c r="G27" s="36"/>
      <c r="H27" s="36"/>
      <c r="I27" s="36">
        <v>0</v>
      </c>
      <c r="J27" s="36">
        <v>0</v>
      </c>
      <c r="K27" s="36">
        <v>0</v>
      </c>
      <c r="L27" s="36">
        <v>7.08</v>
      </c>
      <c r="M27" s="36">
        <v>4.97</v>
      </c>
      <c r="N27" s="36">
        <v>0</v>
      </c>
      <c r="O27" s="36">
        <v>0</v>
      </c>
      <c r="P27" s="36">
        <v>0</v>
      </c>
      <c r="Q27" s="36">
        <v>1.8</v>
      </c>
      <c r="R27" s="38" t="str">
        <f t="shared" si="8"/>
        <v>SI</v>
      </c>
      <c r="S27" s="38" t="str">
        <f t="shared" si="9"/>
        <v>Sin Riesgo</v>
      </c>
      <c r="T27" s="4"/>
      <c r="U27" s="4"/>
      <c r="V27" s="4"/>
      <c r="W27" s="4"/>
    </row>
    <row r="28" spans="1:23" ht="24.75" customHeight="1">
      <c r="A28" s="32" t="s">
        <v>166</v>
      </c>
      <c r="B28" s="33" t="s">
        <v>47</v>
      </c>
      <c r="C28" s="34" t="s">
        <v>186</v>
      </c>
      <c r="D28" s="35">
        <v>429</v>
      </c>
      <c r="E28" s="36"/>
      <c r="F28" s="36"/>
      <c r="G28" s="36"/>
      <c r="H28" s="36"/>
      <c r="I28" s="36">
        <v>17.65</v>
      </c>
      <c r="J28" s="36">
        <v>33.33</v>
      </c>
      <c r="K28" s="36">
        <v>0</v>
      </c>
      <c r="L28" s="36">
        <v>0</v>
      </c>
      <c r="M28" s="36">
        <v>32.45</v>
      </c>
      <c r="N28" s="36">
        <v>0</v>
      </c>
      <c r="O28" s="36">
        <v>23.58</v>
      </c>
      <c r="P28" s="36">
        <v>41.29</v>
      </c>
      <c r="Q28" s="36">
        <v>19.5</v>
      </c>
      <c r="R28" s="38" t="str">
        <f t="shared" si="8"/>
        <v>NO</v>
      </c>
      <c r="S28" s="38" t="str">
        <f t="shared" si="9"/>
        <v>Medio</v>
      </c>
      <c r="T28" s="4"/>
      <c r="U28" s="4"/>
      <c r="V28" s="4"/>
      <c r="W28" s="4"/>
    </row>
    <row r="29" spans="1:23" ht="24.75" customHeight="1">
      <c r="A29" s="32" t="s">
        <v>164</v>
      </c>
      <c r="B29" s="33" t="s">
        <v>48</v>
      </c>
      <c r="C29" s="34" t="s">
        <v>238</v>
      </c>
      <c r="D29" s="35">
        <v>1070</v>
      </c>
      <c r="E29" s="36"/>
      <c r="F29" s="36"/>
      <c r="G29" s="36"/>
      <c r="H29" s="36">
        <v>0</v>
      </c>
      <c r="I29" s="36">
        <v>0</v>
      </c>
      <c r="J29" s="36">
        <v>0</v>
      </c>
      <c r="K29" s="36">
        <v>0</v>
      </c>
      <c r="L29" s="36">
        <v>2.58</v>
      </c>
      <c r="M29" s="36">
        <v>0</v>
      </c>
      <c r="N29" s="36">
        <v>2.58</v>
      </c>
      <c r="O29" s="36">
        <v>0</v>
      </c>
      <c r="P29" s="36">
        <v>0</v>
      </c>
      <c r="Q29" s="36">
        <v>0.65</v>
      </c>
      <c r="R29" s="38" t="str">
        <f t="shared" si="8"/>
        <v>SI</v>
      </c>
      <c r="S29" s="38" t="str">
        <f t="shared" si="9"/>
        <v>Sin Riesgo</v>
      </c>
      <c r="T29" s="4"/>
      <c r="U29" s="4"/>
      <c r="V29" s="4"/>
      <c r="W29" s="4"/>
    </row>
    <row r="30" spans="1:23" ht="24.75" customHeight="1">
      <c r="A30" s="32" t="s">
        <v>164</v>
      </c>
      <c r="B30" s="33" t="s">
        <v>49</v>
      </c>
      <c r="C30" s="34" t="s">
        <v>187</v>
      </c>
      <c r="D30" s="35">
        <v>1314</v>
      </c>
      <c r="E30" s="36"/>
      <c r="F30" s="36"/>
      <c r="G30" s="36"/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8" t="str">
        <f t="shared" si="8"/>
        <v>SI</v>
      </c>
      <c r="S30" s="38" t="str">
        <f t="shared" si="9"/>
        <v>Sin Riesgo</v>
      </c>
      <c r="T30" s="4"/>
      <c r="U30" s="4"/>
      <c r="V30" s="4"/>
      <c r="W30" s="4"/>
    </row>
    <row r="31" spans="1:23" ht="24.75" customHeight="1">
      <c r="A31" s="32" t="s">
        <v>166</v>
      </c>
      <c r="B31" s="33" t="s">
        <v>50</v>
      </c>
      <c r="C31" s="34" t="s">
        <v>234</v>
      </c>
      <c r="D31" s="35">
        <v>559</v>
      </c>
      <c r="E31" s="36"/>
      <c r="F31" s="36"/>
      <c r="G31" s="36"/>
      <c r="H31" s="36"/>
      <c r="I31" s="36">
        <v>0</v>
      </c>
      <c r="J31" s="36">
        <v>50</v>
      </c>
      <c r="K31" s="36">
        <v>6.45</v>
      </c>
      <c r="L31" s="36">
        <v>0</v>
      </c>
      <c r="M31" s="36">
        <v>0</v>
      </c>
      <c r="N31" s="36">
        <v>8.85</v>
      </c>
      <c r="O31" s="36">
        <v>0</v>
      </c>
      <c r="P31" s="42">
        <v>35.03</v>
      </c>
      <c r="Q31" s="36">
        <v>10.28</v>
      </c>
      <c r="R31" s="38" t="str">
        <f t="shared" si="8"/>
        <v>NO</v>
      </c>
      <c r="S31" s="38" t="str">
        <f t="shared" si="9"/>
        <v>Bajo</v>
      </c>
      <c r="T31" s="4"/>
      <c r="U31" s="4"/>
      <c r="V31" s="4"/>
      <c r="W31" s="4"/>
    </row>
    <row r="32" spans="1:23" ht="31.5" customHeight="1">
      <c r="A32" s="32" t="s">
        <v>163</v>
      </c>
      <c r="B32" s="33" t="s">
        <v>51</v>
      </c>
      <c r="C32" s="34" t="s">
        <v>239</v>
      </c>
      <c r="D32" s="35">
        <v>318</v>
      </c>
      <c r="E32" s="36"/>
      <c r="F32" s="36"/>
      <c r="G32" s="36"/>
      <c r="H32" s="36">
        <v>0</v>
      </c>
      <c r="I32" s="36">
        <v>9.09</v>
      </c>
      <c r="J32" s="36">
        <v>0</v>
      </c>
      <c r="K32" s="36">
        <v>0</v>
      </c>
      <c r="L32" s="36">
        <v>0</v>
      </c>
      <c r="M32" s="36">
        <v>12.5</v>
      </c>
      <c r="N32" s="36">
        <v>0</v>
      </c>
      <c r="O32" s="36">
        <v>51.61</v>
      </c>
      <c r="P32" s="36">
        <v>0</v>
      </c>
      <c r="Q32" s="36">
        <v>4.85</v>
      </c>
      <c r="R32" s="38" t="str">
        <f t="shared" si="8"/>
        <v>SI</v>
      </c>
      <c r="S32" s="38" t="str">
        <f t="shared" si="9"/>
        <v>Sin Riesgo</v>
      </c>
      <c r="T32" s="4"/>
      <c r="U32" s="4"/>
      <c r="V32" s="4"/>
      <c r="W32" s="4"/>
    </row>
    <row r="33" spans="1:23" ht="24.75" customHeight="1">
      <c r="A33" s="32" t="s">
        <v>168</v>
      </c>
      <c r="B33" s="33" t="s">
        <v>52</v>
      </c>
      <c r="C33" s="34" t="s">
        <v>13</v>
      </c>
      <c r="D33" s="35">
        <v>54</v>
      </c>
      <c r="E33" s="36"/>
      <c r="F33" s="36"/>
      <c r="G33" s="36"/>
      <c r="H33" s="36">
        <v>0</v>
      </c>
      <c r="I33" s="36">
        <v>8.85</v>
      </c>
      <c r="J33" s="36">
        <v>15.54</v>
      </c>
      <c r="K33" s="36">
        <v>0</v>
      </c>
      <c r="L33" s="36">
        <v>38.9</v>
      </c>
      <c r="M33" s="36">
        <v>0.88</v>
      </c>
      <c r="N33" s="36">
        <v>0</v>
      </c>
      <c r="O33" s="36">
        <v>0</v>
      </c>
      <c r="P33" s="36">
        <v>15.3</v>
      </c>
      <c r="Q33" s="36">
        <v>10.09</v>
      </c>
      <c r="R33" s="38" t="str">
        <f t="shared" si="8"/>
        <v>NO</v>
      </c>
      <c r="S33" s="38" t="str">
        <f t="shared" si="9"/>
        <v>Bajo</v>
      </c>
      <c r="T33" s="4"/>
      <c r="U33" s="4"/>
      <c r="V33" s="4"/>
      <c r="W33" s="4"/>
    </row>
    <row r="34" spans="1:23" ht="24.75" customHeight="1">
      <c r="A34" s="32" t="s">
        <v>168</v>
      </c>
      <c r="B34" s="33" t="s">
        <v>52</v>
      </c>
      <c r="C34" s="34" t="s">
        <v>188</v>
      </c>
      <c r="D34" s="35">
        <v>1304</v>
      </c>
      <c r="E34" s="36"/>
      <c r="F34" s="36"/>
      <c r="G34" s="36"/>
      <c r="H34" s="36">
        <v>0</v>
      </c>
      <c r="I34" s="36">
        <v>0.88</v>
      </c>
      <c r="J34" s="36">
        <v>0</v>
      </c>
      <c r="K34" s="36">
        <v>0</v>
      </c>
      <c r="L34" s="36">
        <v>2.58</v>
      </c>
      <c r="M34" s="36">
        <v>8.85</v>
      </c>
      <c r="N34" s="36">
        <v>8.85</v>
      </c>
      <c r="O34" s="36">
        <v>6.45</v>
      </c>
      <c r="P34" s="36">
        <v>0</v>
      </c>
      <c r="Q34" s="36">
        <v>2.27</v>
      </c>
      <c r="R34" s="38" t="str">
        <f t="shared" si="8"/>
        <v>SI</v>
      </c>
      <c r="S34" s="38" t="str">
        <f t="shared" si="9"/>
        <v>Sin Riesgo</v>
      </c>
      <c r="T34" s="4"/>
      <c r="U34" s="4"/>
      <c r="V34" s="4"/>
      <c r="W34" s="4"/>
    </row>
    <row r="35" spans="1:23" ht="35.25" customHeight="1">
      <c r="A35" s="32" t="s">
        <v>163</v>
      </c>
      <c r="B35" s="33" t="s">
        <v>53</v>
      </c>
      <c r="C35" s="34" t="s">
        <v>189</v>
      </c>
      <c r="D35" s="35">
        <v>509</v>
      </c>
      <c r="E35" s="36"/>
      <c r="F35" s="36"/>
      <c r="G35" s="36"/>
      <c r="H35" s="36">
        <v>0</v>
      </c>
      <c r="I35" s="36">
        <v>0</v>
      </c>
      <c r="J35" s="36">
        <v>19.35</v>
      </c>
      <c r="K35" s="36">
        <v>0</v>
      </c>
      <c r="L35" s="36">
        <v>0</v>
      </c>
      <c r="M35" s="36">
        <v>0</v>
      </c>
      <c r="N35" s="36">
        <v>0</v>
      </c>
      <c r="O35" s="36">
        <v>6.82</v>
      </c>
      <c r="P35" s="36">
        <v>0</v>
      </c>
      <c r="Q35" s="36">
        <v>1.94</v>
      </c>
      <c r="R35" s="38" t="str">
        <f t="shared" si="8"/>
        <v>SI</v>
      </c>
      <c r="S35" s="38" t="str">
        <f t="shared" si="9"/>
        <v>Sin Riesgo</v>
      </c>
      <c r="T35" s="4"/>
      <c r="U35" s="4"/>
      <c r="V35" s="4"/>
      <c r="W35" s="4"/>
    </row>
    <row r="36" spans="1:23" ht="24.75" customHeight="1">
      <c r="A36" s="32" t="s">
        <v>159</v>
      </c>
      <c r="B36" s="33" t="s">
        <v>54</v>
      </c>
      <c r="C36" s="34" t="s">
        <v>185</v>
      </c>
      <c r="D36" s="35">
        <v>11711</v>
      </c>
      <c r="E36" s="36"/>
      <c r="F36" s="36"/>
      <c r="G36" s="36"/>
      <c r="H36" s="36"/>
      <c r="I36" s="36">
        <v>0</v>
      </c>
      <c r="J36" s="36">
        <v>0</v>
      </c>
      <c r="K36" s="36">
        <v>0</v>
      </c>
      <c r="L36" s="36">
        <v>5.45</v>
      </c>
      <c r="M36" s="36">
        <v>0</v>
      </c>
      <c r="N36" s="36">
        <v>0</v>
      </c>
      <c r="O36" s="36">
        <v>0</v>
      </c>
      <c r="P36" s="36">
        <v>0</v>
      </c>
      <c r="Q36" s="36">
        <v>0.83</v>
      </c>
      <c r="R36" s="38" t="str">
        <f t="shared" si="8"/>
        <v>SI</v>
      </c>
      <c r="S36" s="38" t="str">
        <f t="shared" si="9"/>
        <v>Sin Riesgo</v>
      </c>
      <c r="T36" s="4"/>
      <c r="U36" s="4"/>
      <c r="V36" s="4"/>
      <c r="W36" s="4"/>
    </row>
    <row r="37" spans="1:23" ht="37.5" customHeight="1">
      <c r="A37" s="32" t="s">
        <v>159</v>
      </c>
      <c r="B37" s="33" t="s">
        <v>54</v>
      </c>
      <c r="C37" s="34" t="s">
        <v>190</v>
      </c>
      <c r="D37" s="35">
        <v>202</v>
      </c>
      <c r="E37" s="36"/>
      <c r="F37" s="36"/>
      <c r="G37" s="36"/>
      <c r="H37" s="36"/>
      <c r="I37" s="36">
        <v>27.2</v>
      </c>
      <c r="J37" s="36">
        <v>0</v>
      </c>
      <c r="K37" s="36">
        <v>0</v>
      </c>
      <c r="L37" s="36">
        <v>5.88</v>
      </c>
      <c r="M37" s="36">
        <v>0</v>
      </c>
      <c r="N37" s="36">
        <v>0</v>
      </c>
      <c r="O37" s="36">
        <v>0</v>
      </c>
      <c r="P37" s="36">
        <v>0</v>
      </c>
      <c r="Q37" s="36">
        <v>2.04</v>
      </c>
      <c r="R37" s="38" t="str">
        <f t="shared" si="8"/>
        <v>SI</v>
      </c>
      <c r="S37" s="38" t="str">
        <f t="shared" si="9"/>
        <v>Sin Riesgo</v>
      </c>
      <c r="T37" s="4"/>
      <c r="U37" s="4"/>
      <c r="V37" s="4"/>
      <c r="W37" s="4"/>
    </row>
    <row r="38" spans="1:23" ht="33.75" customHeight="1">
      <c r="A38" s="32" t="s">
        <v>166</v>
      </c>
      <c r="B38" s="33" t="s">
        <v>55</v>
      </c>
      <c r="C38" s="43" t="s">
        <v>234</v>
      </c>
      <c r="D38" s="44">
        <v>952</v>
      </c>
      <c r="E38" s="36"/>
      <c r="F38" s="36"/>
      <c r="G38" s="36"/>
      <c r="H38" s="36"/>
      <c r="I38" s="36">
        <v>1.77</v>
      </c>
      <c r="J38" s="36">
        <v>0</v>
      </c>
      <c r="K38" s="36">
        <v>0</v>
      </c>
      <c r="L38" s="36">
        <v>2.06</v>
      </c>
      <c r="M38" s="36">
        <v>8.85</v>
      </c>
      <c r="N38" s="36">
        <v>0</v>
      </c>
      <c r="O38" s="36">
        <v>0</v>
      </c>
      <c r="P38" s="36">
        <v>0</v>
      </c>
      <c r="Q38" s="36">
        <v>1.65</v>
      </c>
      <c r="R38" s="38" t="str">
        <f t="shared" si="8"/>
        <v>SI</v>
      </c>
      <c r="S38" s="38" t="str">
        <f t="shared" si="9"/>
        <v>Sin Riesgo</v>
      </c>
      <c r="T38" s="4"/>
      <c r="U38" s="4"/>
      <c r="V38" s="4"/>
      <c r="W38" s="4"/>
    </row>
    <row r="39" spans="1:23" ht="24.75" customHeight="1">
      <c r="A39" s="32" t="s">
        <v>163</v>
      </c>
      <c r="B39" s="33" t="s">
        <v>56</v>
      </c>
      <c r="C39" s="34" t="s">
        <v>237</v>
      </c>
      <c r="D39" s="35">
        <v>686</v>
      </c>
      <c r="E39" s="36"/>
      <c r="F39" s="36"/>
      <c r="G39" s="36"/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7">
        <v>0</v>
      </c>
      <c r="R39" s="38">
        <v>0</v>
      </c>
      <c r="S39" s="38" t="str">
        <f t="shared" si="9"/>
        <v>Sin Riesgo</v>
      </c>
      <c r="T39" s="4"/>
      <c r="U39" s="4"/>
      <c r="V39" s="4"/>
      <c r="W39" s="4"/>
    </row>
    <row r="40" spans="1:23" ht="32.25" customHeight="1">
      <c r="A40" s="32" t="s">
        <v>169</v>
      </c>
      <c r="B40" s="33" t="s">
        <v>57</v>
      </c>
      <c r="C40" s="34" t="s">
        <v>191</v>
      </c>
      <c r="D40" s="35">
        <v>1101</v>
      </c>
      <c r="E40" s="36"/>
      <c r="F40" s="36"/>
      <c r="G40" s="36"/>
      <c r="H40" s="36"/>
      <c r="I40" s="36">
        <v>0</v>
      </c>
      <c r="J40" s="36">
        <v>9.09</v>
      </c>
      <c r="K40" s="36">
        <v>0</v>
      </c>
      <c r="L40" s="36">
        <v>8.85</v>
      </c>
      <c r="M40" s="36">
        <v>0</v>
      </c>
      <c r="N40" s="36">
        <v>0</v>
      </c>
      <c r="O40" s="36">
        <v>0</v>
      </c>
      <c r="P40" s="36">
        <v>8.85</v>
      </c>
      <c r="Q40" s="36">
        <v>3.7</v>
      </c>
      <c r="R40" s="38" t="str">
        <f t="shared" si="8"/>
        <v>SI</v>
      </c>
      <c r="S40" s="38" t="str">
        <f t="shared" si="9"/>
        <v>Sin Riesgo</v>
      </c>
      <c r="T40" s="13"/>
      <c r="U40" s="4"/>
      <c r="V40" s="4"/>
      <c r="W40" s="4"/>
    </row>
    <row r="41" spans="1:23" ht="26.25" customHeight="1">
      <c r="A41" s="32" t="s">
        <v>164</v>
      </c>
      <c r="B41" s="33" t="s">
        <v>58</v>
      </c>
      <c r="C41" s="34" t="s">
        <v>282</v>
      </c>
      <c r="D41" s="35">
        <v>937</v>
      </c>
      <c r="E41" s="36"/>
      <c r="F41" s="36"/>
      <c r="G41" s="36"/>
      <c r="H41" s="36">
        <v>0</v>
      </c>
      <c r="I41" s="36"/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7">
        <v>0</v>
      </c>
      <c r="R41" s="38" t="str">
        <f t="shared" si="8"/>
        <v>SI</v>
      </c>
      <c r="S41" s="38" t="str">
        <f t="shared" si="9"/>
        <v>Sin Riesgo</v>
      </c>
      <c r="T41" s="4"/>
      <c r="U41" s="4"/>
      <c r="V41" s="4"/>
      <c r="W41" s="4"/>
    </row>
    <row r="42" spans="1:23" ht="24.75" customHeight="1">
      <c r="A42" s="32" t="s">
        <v>167</v>
      </c>
      <c r="B42" s="33" t="s">
        <v>59</v>
      </c>
      <c r="C42" s="34" t="s">
        <v>240</v>
      </c>
      <c r="D42" s="35">
        <v>850</v>
      </c>
      <c r="E42" s="36"/>
      <c r="F42" s="36"/>
      <c r="G42" s="36"/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8" t="str">
        <f t="shared" si="8"/>
        <v>SI</v>
      </c>
      <c r="S42" s="38" t="str">
        <f t="shared" si="9"/>
        <v>Sin Riesgo</v>
      </c>
      <c r="T42" s="4"/>
      <c r="U42" s="4"/>
      <c r="V42" s="4"/>
      <c r="W42" s="4"/>
    </row>
    <row r="43" spans="1:23" ht="35.25" customHeight="1">
      <c r="A43" s="32" t="s">
        <v>166</v>
      </c>
      <c r="B43" s="33" t="s">
        <v>170</v>
      </c>
      <c r="C43" s="34" t="s">
        <v>192</v>
      </c>
      <c r="D43" s="35">
        <v>828</v>
      </c>
      <c r="E43" s="36"/>
      <c r="F43" s="36"/>
      <c r="G43" s="36"/>
      <c r="H43" s="36"/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8" t="str">
        <f t="shared" si="8"/>
        <v>SI</v>
      </c>
      <c r="S43" s="38" t="str">
        <f t="shared" si="9"/>
        <v>Sin Riesgo</v>
      </c>
      <c r="T43" s="4"/>
      <c r="U43" s="4"/>
      <c r="V43" s="4"/>
      <c r="W43" s="4"/>
    </row>
    <row r="44" spans="1:23" ht="24.75" customHeight="1">
      <c r="A44" s="32" t="s">
        <v>168</v>
      </c>
      <c r="B44" s="33" t="s">
        <v>60</v>
      </c>
      <c r="C44" s="34" t="s">
        <v>193</v>
      </c>
      <c r="D44" s="35">
        <v>10523</v>
      </c>
      <c r="E44" s="36"/>
      <c r="F44" s="36"/>
      <c r="G44" s="36"/>
      <c r="H44" s="36">
        <v>0</v>
      </c>
      <c r="I44" s="36">
        <v>0</v>
      </c>
      <c r="J44" s="36">
        <v>0</v>
      </c>
      <c r="K44" s="36">
        <v>4.84</v>
      </c>
      <c r="L44" s="36">
        <v>0.32</v>
      </c>
      <c r="M44" s="36">
        <v>5.42</v>
      </c>
      <c r="N44" s="36">
        <v>0</v>
      </c>
      <c r="O44" s="36">
        <v>3.57</v>
      </c>
      <c r="P44" s="36">
        <v>0</v>
      </c>
      <c r="Q44" s="36">
        <v>1.62</v>
      </c>
      <c r="R44" s="38" t="str">
        <f t="shared" si="8"/>
        <v>SI</v>
      </c>
      <c r="S44" s="38" t="str">
        <f t="shared" si="9"/>
        <v>Sin Riesgo</v>
      </c>
      <c r="T44" s="4"/>
      <c r="U44" s="4"/>
      <c r="V44" s="4"/>
      <c r="W44" s="4"/>
    </row>
    <row r="45" spans="1:23" ht="24.75" customHeight="1">
      <c r="A45" s="32" t="s">
        <v>168</v>
      </c>
      <c r="B45" s="33" t="s">
        <v>60</v>
      </c>
      <c r="C45" s="34" t="s">
        <v>194</v>
      </c>
      <c r="D45" s="35">
        <v>846</v>
      </c>
      <c r="E45" s="36"/>
      <c r="F45" s="36"/>
      <c r="G45" s="36"/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12</v>
      </c>
      <c r="Q45" s="36">
        <v>0.96</v>
      </c>
      <c r="R45" s="38" t="str">
        <f t="shared" si="8"/>
        <v>SI</v>
      </c>
      <c r="S45" s="38" t="str">
        <f t="shared" si="9"/>
        <v>Sin Riesgo</v>
      </c>
      <c r="T45" s="4"/>
      <c r="U45" s="4"/>
      <c r="V45" s="4"/>
      <c r="W45" s="4"/>
    </row>
    <row r="46" spans="1:23" ht="24.75" customHeight="1">
      <c r="A46" s="32" t="s">
        <v>168</v>
      </c>
      <c r="B46" s="33" t="s">
        <v>60</v>
      </c>
      <c r="C46" s="34" t="s">
        <v>241</v>
      </c>
      <c r="D46" s="35">
        <v>749</v>
      </c>
      <c r="E46" s="36"/>
      <c r="F46" s="36"/>
      <c r="G46" s="36"/>
      <c r="H46" s="36">
        <v>0</v>
      </c>
      <c r="I46" s="36">
        <v>0</v>
      </c>
      <c r="J46" s="36">
        <v>0.64</v>
      </c>
      <c r="K46" s="36">
        <v>9.09</v>
      </c>
      <c r="L46" s="36">
        <v>0</v>
      </c>
      <c r="M46" s="36">
        <v>17.2</v>
      </c>
      <c r="N46" s="36">
        <v>0</v>
      </c>
      <c r="O46" s="36">
        <v>0</v>
      </c>
      <c r="P46" s="36">
        <v>0</v>
      </c>
      <c r="Q46" s="36">
        <v>3.11</v>
      </c>
      <c r="R46" s="38" t="str">
        <f t="shared" si="8"/>
        <v>SI</v>
      </c>
      <c r="S46" s="38" t="str">
        <f t="shared" si="9"/>
        <v>Sin Riesgo</v>
      </c>
      <c r="T46" s="4"/>
      <c r="U46" s="4"/>
      <c r="V46" s="4"/>
      <c r="W46" s="4"/>
    </row>
    <row r="47" spans="1:23" ht="24.75" customHeight="1">
      <c r="A47" s="32" t="s">
        <v>168</v>
      </c>
      <c r="B47" s="33" t="s">
        <v>60</v>
      </c>
      <c r="C47" s="34" t="s">
        <v>195</v>
      </c>
      <c r="D47" s="35">
        <v>804</v>
      </c>
      <c r="E47" s="36"/>
      <c r="F47" s="36"/>
      <c r="G47" s="36"/>
      <c r="H47" s="36">
        <v>1.29</v>
      </c>
      <c r="I47" s="36">
        <v>0.79</v>
      </c>
      <c r="J47" s="36">
        <v>0.64</v>
      </c>
      <c r="K47" s="36">
        <v>0.64</v>
      </c>
      <c r="L47" s="36">
        <v>0</v>
      </c>
      <c r="M47" s="36">
        <v>0</v>
      </c>
      <c r="N47" s="36">
        <v>0.64</v>
      </c>
      <c r="O47" s="36">
        <v>0</v>
      </c>
      <c r="P47" s="36">
        <v>0</v>
      </c>
      <c r="Q47" s="36">
        <v>0.48</v>
      </c>
      <c r="R47" s="38" t="str">
        <f t="shared" si="8"/>
        <v>SI</v>
      </c>
      <c r="S47" s="38" t="str">
        <f t="shared" si="9"/>
        <v>Sin Riesgo</v>
      </c>
      <c r="T47" s="4"/>
      <c r="U47" s="4"/>
      <c r="V47" s="4"/>
      <c r="W47" s="4"/>
    </row>
    <row r="48" spans="1:23" ht="24.75" customHeight="1">
      <c r="A48" s="32" t="s">
        <v>168</v>
      </c>
      <c r="B48" s="33" t="s">
        <v>60</v>
      </c>
      <c r="C48" s="34" t="s">
        <v>196</v>
      </c>
      <c r="D48" s="35">
        <v>942</v>
      </c>
      <c r="E48" s="36"/>
      <c r="F48" s="36"/>
      <c r="G48" s="36"/>
      <c r="H48" s="36">
        <v>0.97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8.85</v>
      </c>
      <c r="O48" s="36">
        <v>0</v>
      </c>
      <c r="P48" s="36">
        <v>0</v>
      </c>
      <c r="Q48" s="36">
        <v>1.14</v>
      </c>
      <c r="R48" s="38" t="str">
        <f t="shared" si="8"/>
        <v>SI</v>
      </c>
      <c r="S48" s="38" t="str">
        <f t="shared" si="9"/>
        <v>Sin Riesgo</v>
      </c>
      <c r="T48" s="4"/>
      <c r="U48" s="4"/>
      <c r="V48" s="4"/>
      <c r="W48" s="4"/>
    </row>
    <row r="49" spans="1:23" ht="24.75" customHeight="1">
      <c r="A49" s="32" t="s">
        <v>167</v>
      </c>
      <c r="B49" s="33" t="s">
        <v>61</v>
      </c>
      <c r="C49" s="34" t="s">
        <v>242</v>
      </c>
      <c r="D49" s="35">
        <v>1999</v>
      </c>
      <c r="E49" s="36"/>
      <c r="F49" s="36"/>
      <c r="G49" s="36"/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3.87</v>
      </c>
      <c r="P49" s="36">
        <v>5.31</v>
      </c>
      <c r="Q49" s="36">
        <v>0.94</v>
      </c>
      <c r="R49" s="38" t="str">
        <f t="shared" si="8"/>
        <v>SI</v>
      </c>
      <c r="S49" s="38" t="str">
        <f t="shared" si="9"/>
        <v>Sin Riesgo</v>
      </c>
      <c r="T49" s="4"/>
      <c r="U49" s="4"/>
      <c r="V49" s="4"/>
      <c r="W49" s="4"/>
    </row>
    <row r="50" spans="1:23" ht="36" customHeight="1">
      <c r="A50" s="32" t="s">
        <v>165</v>
      </c>
      <c r="B50" s="32" t="s">
        <v>62</v>
      </c>
      <c r="C50" s="34" t="s">
        <v>243</v>
      </c>
      <c r="D50" s="35">
        <v>2322</v>
      </c>
      <c r="E50" s="36"/>
      <c r="F50" s="36"/>
      <c r="G50" s="36"/>
      <c r="H50" s="36">
        <v>98.06</v>
      </c>
      <c r="I50" s="36">
        <v>100</v>
      </c>
      <c r="J50" s="36">
        <v>100</v>
      </c>
      <c r="K50" s="36">
        <v>88</v>
      </c>
      <c r="L50" s="36">
        <v>86.79</v>
      </c>
      <c r="M50" s="36">
        <v>96.79</v>
      </c>
      <c r="N50" s="36">
        <v>86.79</v>
      </c>
      <c r="O50" s="36">
        <v>96.77</v>
      </c>
      <c r="P50" s="36">
        <v>85.59</v>
      </c>
      <c r="Q50" s="36">
        <v>91.44</v>
      </c>
      <c r="R50" s="38" t="str">
        <f t="shared" si="8"/>
        <v>NO</v>
      </c>
      <c r="S50" s="38" t="str">
        <f t="shared" si="9"/>
        <v>Inviable Sanitariamente</v>
      </c>
      <c r="T50" s="13"/>
      <c r="U50" s="4"/>
      <c r="V50" s="4"/>
      <c r="W50" s="4"/>
    </row>
    <row r="51" spans="1:23" ht="24.75" customHeight="1">
      <c r="A51" s="32" t="s">
        <v>164</v>
      </c>
      <c r="B51" s="32" t="s">
        <v>63</v>
      </c>
      <c r="C51" s="34" t="s">
        <v>14</v>
      </c>
      <c r="D51" s="35">
        <v>95</v>
      </c>
      <c r="E51" s="36"/>
      <c r="F51" s="36"/>
      <c r="G51" s="36"/>
      <c r="H51" s="36">
        <v>9.68</v>
      </c>
      <c r="I51" s="36">
        <v>0</v>
      </c>
      <c r="J51" s="36">
        <v>13.64</v>
      </c>
      <c r="K51" s="36">
        <v>0</v>
      </c>
      <c r="L51" s="36">
        <v>0</v>
      </c>
      <c r="M51" s="36">
        <v>9.09</v>
      </c>
      <c r="N51" s="36">
        <v>0</v>
      </c>
      <c r="O51" s="36">
        <v>15.54</v>
      </c>
      <c r="P51" s="36">
        <v>9.09</v>
      </c>
      <c r="Q51" s="37">
        <v>6.2</v>
      </c>
      <c r="R51" s="38" t="str">
        <f t="shared" si="8"/>
        <v>NO</v>
      </c>
      <c r="S51" s="38" t="str">
        <f t="shared" si="9"/>
        <v>Bajo</v>
      </c>
      <c r="T51" s="4"/>
      <c r="U51" s="4"/>
      <c r="V51" s="4"/>
      <c r="W51" s="4"/>
    </row>
    <row r="52" spans="1:23" ht="24.75" customHeight="1">
      <c r="A52" s="32" t="s">
        <v>164</v>
      </c>
      <c r="B52" s="32" t="s">
        <v>63</v>
      </c>
      <c r="C52" s="34" t="s">
        <v>28</v>
      </c>
      <c r="D52" s="35">
        <v>4411</v>
      </c>
      <c r="E52" s="36"/>
      <c r="F52" s="36"/>
      <c r="G52" s="36"/>
      <c r="H52" s="36">
        <v>0</v>
      </c>
      <c r="I52" s="36">
        <v>6.37</v>
      </c>
      <c r="J52" s="36">
        <v>21.1</v>
      </c>
      <c r="K52" s="36">
        <v>9.09</v>
      </c>
      <c r="L52" s="36">
        <v>2.58</v>
      </c>
      <c r="M52" s="36">
        <v>0</v>
      </c>
      <c r="N52" s="36">
        <v>0</v>
      </c>
      <c r="O52" s="36">
        <v>0</v>
      </c>
      <c r="P52" s="36">
        <v>19.09</v>
      </c>
      <c r="Q52" s="37">
        <v>6.1</v>
      </c>
      <c r="R52" s="38" t="str">
        <f t="shared" si="8"/>
        <v>NO</v>
      </c>
      <c r="S52" s="38" t="str">
        <f t="shared" si="9"/>
        <v>Bajo</v>
      </c>
      <c r="T52" s="4"/>
      <c r="U52" s="4"/>
      <c r="V52" s="4"/>
      <c r="W52" s="4"/>
    </row>
    <row r="53" spans="1:23" ht="31.5" customHeight="1">
      <c r="A53" s="32" t="s">
        <v>164</v>
      </c>
      <c r="B53" s="32" t="s">
        <v>63</v>
      </c>
      <c r="C53" s="34" t="s">
        <v>197</v>
      </c>
      <c r="D53" s="35">
        <v>209</v>
      </c>
      <c r="E53" s="36"/>
      <c r="F53" s="36"/>
      <c r="G53" s="36"/>
      <c r="H53" s="36">
        <v>79.57</v>
      </c>
      <c r="I53" s="36">
        <v>30.92</v>
      </c>
      <c r="J53" s="36">
        <v>10.26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7">
        <v>13.4</v>
      </c>
      <c r="R53" s="38" t="str">
        <f t="shared" si="8"/>
        <v>NO</v>
      </c>
      <c r="S53" s="38" t="str">
        <f t="shared" si="9"/>
        <v>Bajo</v>
      </c>
      <c r="T53" s="4"/>
      <c r="U53" s="4"/>
      <c r="V53" s="4"/>
      <c r="W53" s="4"/>
    </row>
    <row r="54" spans="1:23" ht="24.75" customHeight="1">
      <c r="A54" s="32" t="s">
        <v>162</v>
      </c>
      <c r="B54" s="33" t="s">
        <v>64</v>
      </c>
      <c r="C54" s="34" t="s">
        <v>198</v>
      </c>
      <c r="D54" s="35">
        <v>1458</v>
      </c>
      <c r="E54" s="36"/>
      <c r="F54" s="36"/>
      <c r="G54" s="36"/>
      <c r="H54" s="36">
        <v>0</v>
      </c>
      <c r="I54" s="36"/>
      <c r="J54" s="36">
        <v>6.5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7">
        <v>1</v>
      </c>
      <c r="R54" s="38" t="str">
        <f t="shared" si="8"/>
        <v>SI</v>
      </c>
      <c r="S54" s="38" t="str">
        <f t="shared" si="9"/>
        <v>Sin Riesgo</v>
      </c>
      <c r="T54" s="4"/>
      <c r="U54" s="4"/>
      <c r="V54" s="4"/>
      <c r="W54" s="4"/>
    </row>
    <row r="55" spans="1:23" ht="24.75" customHeight="1">
      <c r="A55" s="32" t="s">
        <v>162</v>
      </c>
      <c r="B55" s="33" t="s">
        <v>65</v>
      </c>
      <c r="C55" s="34" t="s">
        <v>199</v>
      </c>
      <c r="D55" s="35">
        <v>614</v>
      </c>
      <c r="E55" s="36"/>
      <c r="F55" s="36"/>
      <c r="G55" s="36"/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8" t="str">
        <f t="shared" si="8"/>
        <v>SI</v>
      </c>
      <c r="S55" s="38" t="str">
        <f t="shared" si="9"/>
        <v>Sin Riesgo</v>
      </c>
      <c r="T55" s="4"/>
      <c r="U55" s="4"/>
      <c r="V55" s="4"/>
      <c r="W55" s="4"/>
    </row>
    <row r="56" spans="1:23" ht="24.75" customHeight="1">
      <c r="A56" s="32" t="s">
        <v>164</v>
      </c>
      <c r="B56" s="33" t="s">
        <v>66</v>
      </c>
      <c r="C56" s="34" t="s">
        <v>200</v>
      </c>
      <c r="D56" s="35">
        <v>2186</v>
      </c>
      <c r="E56" s="36"/>
      <c r="F56" s="36"/>
      <c r="G56" s="36"/>
      <c r="H56" s="36">
        <v>0.97</v>
      </c>
      <c r="I56" s="36">
        <v>0</v>
      </c>
      <c r="J56" s="36">
        <v>3.87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0.39</v>
      </c>
      <c r="R56" s="38" t="str">
        <f t="shared" si="8"/>
        <v>SI</v>
      </c>
      <c r="S56" s="38" t="str">
        <f t="shared" si="9"/>
        <v>Sin Riesgo</v>
      </c>
      <c r="T56" s="4"/>
      <c r="U56" s="4"/>
      <c r="V56" s="4"/>
      <c r="W56" s="4"/>
    </row>
    <row r="57" spans="1:23" ht="24.75" customHeight="1">
      <c r="A57" s="32" t="s">
        <v>159</v>
      </c>
      <c r="B57" s="33" t="s">
        <v>67</v>
      </c>
      <c r="C57" s="34" t="s">
        <v>201</v>
      </c>
      <c r="D57" s="35">
        <v>14140</v>
      </c>
      <c r="E57" s="36"/>
      <c r="F57" s="36"/>
      <c r="G57" s="36"/>
      <c r="H57" s="36"/>
      <c r="I57" s="36">
        <v>0</v>
      </c>
      <c r="J57" s="36">
        <v>0</v>
      </c>
      <c r="K57" s="36">
        <v>1.11</v>
      </c>
      <c r="L57" s="36">
        <v>5.31</v>
      </c>
      <c r="M57" s="36">
        <v>0</v>
      </c>
      <c r="N57" s="36">
        <v>0</v>
      </c>
      <c r="O57" s="36">
        <v>0</v>
      </c>
      <c r="P57" s="36">
        <v>0</v>
      </c>
      <c r="Q57" s="36">
        <v>0.9</v>
      </c>
      <c r="R57" s="38" t="str">
        <f t="shared" si="8"/>
        <v>SI</v>
      </c>
      <c r="S57" s="38" t="str">
        <f t="shared" si="9"/>
        <v>Sin Riesgo</v>
      </c>
      <c r="T57" s="4"/>
      <c r="U57" s="4"/>
      <c r="V57" s="4"/>
      <c r="W57" s="4"/>
    </row>
    <row r="58" spans="1:23" ht="31.5" customHeight="1">
      <c r="A58" s="32" t="s">
        <v>163</v>
      </c>
      <c r="B58" s="33" t="s">
        <v>68</v>
      </c>
      <c r="C58" s="34" t="s">
        <v>237</v>
      </c>
      <c r="D58" s="35">
        <v>2985</v>
      </c>
      <c r="E58" s="36"/>
      <c r="F58" s="36"/>
      <c r="G58" s="36"/>
      <c r="H58" s="36">
        <v>0</v>
      </c>
      <c r="I58" s="36">
        <v>0</v>
      </c>
      <c r="J58" s="36">
        <v>36.36</v>
      </c>
      <c r="K58" s="36">
        <v>0</v>
      </c>
      <c r="L58" s="36">
        <v>0</v>
      </c>
      <c r="M58" s="36">
        <v>0</v>
      </c>
      <c r="N58" s="36">
        <v>6.45</v>
      </c>
      <c r="O58" s="36">
        <v>0</v>
      </c>
      <c r="P58" s="36">
        <v>0</v>
      </c>
      <c r="Q58" s="36">
        <v>3.84</v>
      </c>
      <c r="R58" s="38" t="str">
        <f t="shared" si="8"/>
        <v>SI</v>
      </c>
      <c r="S58" s="38" t="str">
        <f t="shared" si="9"/>
        <v>Sin Riesgo</v>
      </c>
      <c r="T58" s="4"/>
      <c r="U58" s="4"/>
      <c r="V58" s="4"/>
      <c r="W58" s="4"/>
    </row>
    <row r="59" spans="1:23" ht="30.75" customHeight="1">
      <c r="A59" s="32" t="s">
        <v>163</v>
      </c>
      <c r="B59" s="33" t="s">
        <v>68</v>
      </c>
      <c r="C59" s="34" t="s">
        <v>244</v>
      </c>
      <c r="D59" s="35">
        <v>116</v>
      </c>
      <c r="E59" s="36"/>
      <c r="F59" s="36"/>
      <c r="G59" s="36"/>
      <c r="H59" s="36">
        <v>49.03</v>
      </c>
      <c r="I59" s="36">
        <v>33.3</v>
      </c>
      <c r="J59" s="36">
        <v>70.96</v>
      </c>
      <c r="K59" s="36">
        <v>6.45</v>
      </c>
      <c r="L59" s="36">
        <v>17.09</v>
      </c>
      <c r="M59" s="36">
        <v>0</v>
      </c>
      <c r="N59" s="36">
        <v>9.09</v>
      </c>
      <c r="O59" s="36">
        <v>16.49</v>
      </c>
      <c r="P59" s="36">
        <v>0</v>
      </c>
      <c r="Q59" s="36">
        <v>18.82</v>
      </c>
      <c r="R59" s="38" t="str">
        <f t="shared" si="8"/>
        <v>NO</v>
      </c>
      <c r="S59" s="38" t="str">
        <f t="shared" si="9"/>
        <v>Medio</v>
      </c>
      <c r="T59" s="4"/>
      <c r="U59" s="4"/>
      <c r="V59" s="4"/>
      <c r="W59" s="4"/>
    </row>
    <row r="60" spans="1:23" ht="24.75" customHeight="1">
      <c r="A60" s="32" t="s">
        <v>166</v>
      </c>
      <c r="B60" s="33" t="s">
        <v>69</v>
      </c>
      <c r="C60" s="34" t="s">
        <v>245</v>
      </c>
      <c r="D60" s="35">
        <v>632</v>
      </c>
      <c r="E60" s="36"/>
      <c r="F60" s="36"/>
      <c r="G60" s="36"/>
      <c r="H60" s="36"/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8.85</v>
      </c>
      <c r="Q60" s="36">
        <v>1.15</v>
      </c>
      <c r="R60" s="38" t="str">
        <f t="shared" si="8"/>
        <v>SI</v>
      </c>
      <c r="S60" s="38" t="str">
        <f aca="true" t="shared" si="10" ref="S60:S110">IF(Q60&lt;=5,"Sin Riesgo",IF(Q60&lt;=14,"Bajo",IF(Q60&lt;=35,"Medio",IF(Q60&lt;=80,"Alto","Inviable Sanitariamente"))))</f>
        <v>Sin Riesgo</v>
      </c>
      <c r="T60" s="4"/>
      <c r="U60" s="4"/>
      <c r="V60" s="4"/>
      <c r="W60" s="4"/>
    </row>
    <row r="61" spans="1:23" ht="24.75" customHeight="1">
      <c r="A61" s="32" t="s">
        <v>163</v>
      </c>
      <c r="B61" s="33" t="s">
        <v>70</v>
      </c>
      <c r="C61" s="34" t="s">
        <v>202</v>
      </c>
      <c r="D61" s="35">
        <v>4993</v>
      </c>
      <c r="E61" s="36"/>
      <c r="F61" s="36"/>
      <c r="G61" s="36"/>
      <c r="H61" s="36">
        <v>0</v>
      </c>
      <c r="I61" s="36"/>
      <c r="J61" s="36">
        <v>0</v>
      </c>
      <c r="K61" s="36">
        <v>9.09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1.19</v>
      </c>
      <c r="R61" s="38" t="str">
        <f aca="true" t="shared" si="11" ref="R61:R120">IF(Q61&lt;=5,"SI","NO")</f>
        <v>SI</v>
      </c>
      <c r="S61" s="38" t="str">
        <f t="shared" si="10"/>
        <v>Sin Riesgo</v>
      </c>
      <c r="T61" s="4"/>
      <c r="U61" s="4"/>
      <c r="V61" s="4"/>
      <c r="W61" s="4"/>
    </row>
    <row r="62" spans="1:23" ht="32.25" customHeight="1">
      <c r="A62" s="32" t="s">
        <v>168</v>
      </c>
      <c r="B62" s="33" t="s">
        <v>71</v>
      </c>
      <c r="C62" s="34" t="s">
        <v>246</v>
      </c>
      <c r="D62" s="35">
        <v>5813</v>
      </c>
      <c r="E62" s="36"/>
      <c r="F62" s="36"/>
      <c r="G62" s="36"/>
      <c r="H62" s="36">
        <v>82</v>
      </c>
      <c r="I62" s="36">
        <v>90.02</v>
      </c>
      <c r="J62" s="36">
        <v>90.4</v>
      </c>
      <c r="K62" s="36">
        <v>99.2</v>
      </c>
      <c r="L62" s="36">
        <v>72.8</v>
      </c>
      <c r="M62" s="36">
        <v>96.14</v>
      </c>
      <c r="N62" s="36">
        <v>65.6</v>
      </c>
      <c r="O62" s="36">
        <v>82.88</v>
      </c>
      <c r="P62" s="36">
        <v>99.52</v>
      </c>
      <c r="Q62" s="36">
        <v>86</v>
      </c>
      <c r="R62" s="38" t="str">
        <f t="shared" si="11"/>
        <v>NO</v>
      </c>
      <c r="S62" s="38" t="str">
        <f t="shared" si="10"/>
        <v>Inviable Sanitariamente</v>
      </c>
      <c r="T62" s="4"/>
      <c r="U62" s="4"/>
      <c r="V62" s="4"/>
      <c r="W62" s="4"/>
    </row>
    <row r="63" spans="1:23" ht="24.75" customHeight="1">
      <c r="A63" s="32" t="s">
        <v>168</v>
      </c>
      <c r="B63" s="33" t="s">
        <v>71</v>
      </c>
      <c r="C63" s="34" t="s">
        <v>203</v>
      </c>
      <c r="D63" s="35">
        <v>348</v>
      </c>
      <c r="E63" s="36"/>
      <c r="F63" s="36"/>
      <c r="G63" s="36"/>
      <c r="H63" s="36">
        <v>32</v>
      </c>
      <c r="I63" s="36">
        <v>25</v>
      </c>
      <c r="J63" s="36">
        <v>0</v>
      </c>
      <c r="K63" s="36">
        <v>0</v>
      </c>
      <c r="L63" s="36">
        <v>13.3</v>
      </c>
      <c r="M63" s="36">
        <v>12.5</v>
      </c>
      <c r="N63" s="36">
        <v>17.73</v>
      </c>
      <c r="O63" s="36">
        <v>0</v>
      </c>
      <c r="P63" s="36">
        <v>0</v>
      </c>
      <c r="Q63" s="36">
        <v>12.27</v>
      </c>
      <c r="R63" s="38" t="str">
        <f t="shared" si="11"/>
        <v>NO</v>
      </c>
      <c r="S63" s="38" t="str">
        <f t="shared" si="10"/>
        <v>Bajo</v>
      </c>
      <c r="T63" s="4"/>
      <c r="U63" s="4"/>
      <c r="V63" s="4"/>
      <c r="W63" s="4"/>
    </row>
    <row r="64" spans="1:23" ht="24.75" customHeight="1">
      <c r="A64" s="32" t="s">
        <v>162</v>
      </c>
      <c r="B64" s="33" t="s">
        <v>171</v>
      </c>
      <c r="C64" s="34" t="s">
        <v>204</v>
      </c>
      <c r="D64" s="35">
        <v>6153</v>
      </c>
      <c r="E64" s="36"/>
      <c r="F64" s="36"/>
      <c r="G64" s="36"/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7">
        <v>0</v>
      </c>
      <c r="R64" s="38" t="str">
        <f t="shared" si="11"/>
        <v>SI</v>
      </c>
      <c r="S64" s="38" t="str">
        <f t="shared" si="10"/>
        <v>Sin Riesgo</v>
      </c>
      <c r="T64" s="4"/>
      <c r="U64" s="4"/>
      <c r="V64" s="4"/>
      <c r="W64" s="4"/>
    </row>
    <row r="65" spans="1:23" ht="24.75" customHeight="1">
      <c r="A65" s="32" t="s">
        <v>162</v>
      </c>
      <c r="B65" s="33" t="s">
        <v>72</v>
      </c>
      <c r="C65" s="34" t="s">
        <v>245</v>
      </c>
      <c r="D65" s="35">
        <v>5128</v>
      </c>
      <c r="E65" s="36"/>
      <c r="F65" s="36"/>
      <c r="G65" s="36"/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7">
        <v>0</v>
      </c>
      <c r="R65" s="38" t="str">
        <f t="shared" si="11"/>
        <v>SI</v>
      </c>
      <c r="S65" s="38" t="str">
        <f t="shared" si="10"/>
        <v>Sin Riesgo</v>
      </c>
      <c r="T65" s="4"/>
      <c r="U65" s="4"/>
      <c r="V65" s="4"/>
      <c r="W65" s="4"/>
    </row>
    <row r="66" spans="1:23" ht="28.5" customHeight="1">
      <c r="A66" s="32" t="s">
        <v>166</v>
      </c>
      <c r="B66" s="33" t="s">
        <v>73</v>
      </c>
      <c r="C66" s="34" t="s">
        <v>205</v>
      </c>
      <c r="D66" s="35">
        <v>1083</v>
      </c>
      <c r="E66" s="36"/>
      <c r="F66" s="36"/>
      <c r="G66" s="36"/>
      <c r="H66" s="36"/>
      <c r="I66" s="36">
        <v>1.76</v>
      </c>
      <c r="J66" s="36">
        <v>9.03</v>
      </c>
      <c r="K66" s="36">
        <v>0</v>
      </c>
      <c r="L66" s="36">
        <v>8.82</v>
      </c>
      <c r="M66" s="36">
        <v>0</v>
      </c>
      <c r="N66" s="36">
        <v>0</v>
      </c>
      <c r="O66" s="36">
        <v>0.91</v>
      </c>
      <c r="P66" s="36">
        <v>0</v>
      </c>
      <c r="Q66" s="36">
        <v>2.72</v>
      </c>
      <c r="R66" s="38" t="str">
        <f t="shared" si="11"/>
        <v>SI</v>
      </c>
      <c r="S66" s="38" t="str">
        <f t="shared" si="10"/>
        <v>Sin Riesgo</v>
      </c>
      <c r="T66" s="4"/>
      <c r="U66" s="4"/>
      <c r="V66" s="4"/>
      <c r="W66" s="4"/>
    </row>
    <row r="67" spans="1:23" ht="24.75" customHeight="1">
      <c r="A67" s="32" t="s">
        <v>159</v>
      </c>
      <c r="B67" s="33" t="s">
        <v>74</v>
      </c>
      <c r="C67" s="34" t="s">
        <v>185</v>
      </c>
      <c r="D67" s="35">
        <v>53161</v>
      </c>
      <c r="E67" s="36"/>
      <c r="F67" s="36"/>
      <c r="G67" s="36"/>
      <c r="H67" s="36"/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8" t="str">
        <f t="shared" si="11"/>
        <v>SI</v>
      </c>
      <c r="S67" s="38" t="str">
        <f t="shared" si="10"/>
        <v>Sin Riesgo</v>
      </c>
      <c r="T67" s="4"/>
      <c r="U67" s="4"/>
      <c r="V67" s="4"/>
      <c r="W67" s="4"/>
    </row>
    <row r="68" spans="1:23" ht="24.75" customHeight="1">
      <c r="A68" s="32" t="s">
        <v>164</v>
      </c>
      <c r="B68" s="33" t="s">
        <v>75</v>
      </c>
      <c r="C68" s="34" t="s">
        <v>206</v>
      </c>
      <c r="D68" s="35">
        <v>2421</v>
      </c>
      <c r="E68" s="36"/>
      <c r="F68" s="36"/>
      <c r="G68" s="36"/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8" t="str">
        <f t="shared" si="11"/>
        <v>SI</v>
      </c>
      <c r="S68" s="38" t="str">
        <f t="shared" si="10"/>
        <v>Sin Riesgo</v>
      </c>
      <c r="T68" s="4"/>
      <c r="U68" s="4"/>
      <c r="V68" s="4"/>
      <c r="W68" s="4"/>
    </row>
    <row r="69" spans="1:23" ht="32.25" customHeight="1">
      <c r="A69" s="32" t="s">
        <v>163</v>
      </c>
      <c r="B69" s="33" t="s">
        <v>76</v>
      </c>
      <c r="C69" s="34" t="s">
        <v>207</v>
      </c>
      <c r="D69" s="35">
        <v>1095</v>
      </c>
      <c r="E69" s="36"/>
      <c r="F69" s="36"/>
      <c r="G69" s="36"/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23.6</v>
      </c>
      <c r="N69" s="36">
        <v>0</v>
      </c>
      <c r="O69" s="36">
        <v>0</v>
      </c>
      <c r="P69" s="36">
        <v>0</v>
      </c>
      <c r="Q69" s="36">
        <v>2.83</v>
      </c>
      <c r="R69" s="38" t="str">
        <f t="shared" si="11"/>
        <v>SI</v>
      </c>
      <c r="S69" s="38" t="str">
        <f t="shared" si="10"/>
        <v>Sin Riesgo</v>
      </c>
      <c r="T69" s="4"/>
      <c r="U69" s="4"/>
      <c r="V69" s="4"/>
      <c r="W69" s="4"/>
    </row>
    <row r="70" spans="1:23" ht="30.75" customHeight="1">
      <c r="A70" s="32" t="s">
        <v>163</v>
      </c>
      <c r="B70" s="33" t="s">
        <v>76</v>
      </c>
      <c r="C70" s="34" t="s">
        <v>208</v>
      </c>
      <c r="D70" s="35">
        <v>1043</v>
      </c>
      <c r="E70" s="36"/>
      <c r="F70" s="36"/>
      <c r="G70" s="36"/>
      <c r="H70" s="36">
        <v>0</v>
      </c>
      <c r="I70" s="36">
        <v>0</v>
      </c>
      <c r="J70" s="36">
        <v>0</v>
      </c>
      <c r="K70" s="36">
        <v>0</v>
      </c>
      <c r="L70" s="36">
        <v>2.58</v>
      </c>
      <c r="M70" s="36">
        <v>0</v>
      </c>
      <c r="N70" s="36">
        <v>0</v>
      </c>
      <c r="O70" s="36">
        <v>0</v>
      </c>
      <c r="P70" s="36">
        <v>0</v>
      </c>
      <c r="Q70" s="36">
        <v>0.29</v>
      </c>
      <c r="R70" s="38" t="str">
        <f t="shared" si="11"/>
        <v>SI</v>
      </c>
      <c r="S70" s="38" t="str">
        <f t="shared" si="10"/>
        <v>Sin Riesgo</v>
      </c>
      <c r="T70" s="4"/>
      <c r="U70" s="4"/>
      <c r="V70" s="4"/>
      <c r="W70" s="4"/>
    </row>
    <row r="71" spans="1:23" ht="33" customHeight="1">
      <c r="A71" s="32" t="s">
        <v>163</v>
      </c>
      <c r="B71" s="33" t="s">
        <v>77</v>
      </c>
      <c r="C71" s="34" t="s">
        <v>247</v>
      </c>
      <c r="D71" s="35">
        <v>340</v>
      </c>
      <c r="E71" s="36"/>
      <c r="F71" s="36"/>
      <c r="G71" s="36"/>
      <c r="H71" s="36">
        <v>0</v>
      </c>
      <c r="I71" s="36">
        <v>6.37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0.8</v>
      </c>
      <c r="R71" s="38" t="str">
        <f t="shared" si="11"/>
        <v>SI</v>
      </c>
      <c r="S71" s="38" t="str">
        <f t="shared" si="10"/>
        <v>Sin Riesgo</v>
      </c>
      <c r="T71" s="4"/>
      <c r="U71" s="4"/>
      <c r="V71" s="4"/>
      <c r="W71" s="4"/>
    </row>
    <row r="72" spans="1:23" ht="24.75" customHeight="1">
      <c r="A72" s="32" t="s">
        <v>159</v>
      </c>
      <c r="B72" s="33" t="s">
        <v>78</v>
      </c>
      <c r="C72" s="34" t="s">
        <v>185</v>
      </c>
      <c r="D72" s="35">
        <v>7198</v>
      </c>
      <c r="E72" s="36"/>
      <c r="F72" s="36"/>
      <c r="G72" s="36"/>
      <c r="H72" s="36"/>
      <c r="I72" s="36">
        <v>0</v>
      </c>
      <c r="J72" s="36">
        <v>6.5</v>
      </c>
      <c r="K72" s="36">
        <v>0</v>
      </c>
      <c r="L72" s="36"/>
      <c r="M72" s="36"/>
      <c r="N72" s="36"/>
      <c r="O72" s="36"/>
      <c r="P72" s="36"/>
      <c r="Q72" s="37">
        <v>3.9</v>
      </c>
      <c r="R72" s="38" t="str">
        <f t="shared" si="11"/>
        <v>SI</v>
      </c>
      <c r="S72" s="38" t="str">
        <f t="shared" si="10"/>
        <v>Sin Riesgo</v>
      </c>
      <c r="T72" s="4"/>
      <c r="U72" s="4"/>
      <c r="V72" s="4"/>
      <c r="W72" s="4"/>
    </row>
    <row r="73" spans="1:23" ht="24.75" customHeight="1">
      <c r="A73" s="32" t="s">
        <v>166</v>
      </c>
      <c r="B73" s="33" t="s">
        <v>79</v>
      </c>
      <c r="C73" s="34" t="s">
        <v>234</v>
      </c>
      <c r="D73" s="35">
        <v>1514</v>
      </c>
      <c r="E73" s="36"/>
      <c r="F73" s="36"/>
      <c r="G73" s="36"/>
      <c r="H73" s="36"/>
      <c r="I73" s="36">
        <v>47.05</v>
      </c>
      <c r="J73" s="36">
        <v>0</v>
      </c>
      <c r="K73" s="36">
        <v>9.09</v>
      </c>
      <c r="L73" s="36">
        <v>5.88</v>
      </c>
      <c r="M73" s="36">
        <v>0</v>
      </c>
      <c r="N73" s="36">
        <v>0</v>
      </c>
      <c r="O73" s="36">
        <v>5.88</v>
      </c>
      <c r="P73" s="36">
        <v>0</v>
      </c>
      <c r="Q73" s="36">
        <v>4.98</v>
      </c>
      <c r="R73" s="38" t="str">
        <f t="shared" si="11"/>
        <v>SI</v>
      </c>
      <c r="S73" s="38" t="str">
        <f t="shared" si="10"/>
        <v>Sin Riesgo</v>
      </c>
      <c r="T73" s="4"/>
      <c r="U73" s="4"/>
      <c r="V73" s="4"/>
      <c r="W73" s="4"/>
    </row>
    <row r="74" spans="1:23" ht="24.75" customHeight="1">
      <c r="A74" s="32" t="s">
        <v>162</v>
      </c>
      <c r="B74" s="33" t="s">
        <v>80</v>
      </c>
      <c r="C74" s="34" t="s">
        <v>209</v>
      </c>
      <c r="D74" s="35">
        <v>2266</v>
      </c>
      <c r="E74" s="36"/>
      <c r="F74" s="36"/>
      <c r="G74" s="36"/>
      <c r="H74" s="36">
        <v>14.6</v>
      </c>
      <c r="I74" s="36">
        <v>0.59</v>
      </c>
      <c r="J74" s="36">
        <v>7.1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2.27</v>
      </c>
      <c r="R74" s="38" t="str">
        <f t="shared" si="11"/>
        <v>SI</v>
      </c>
      <c r="S74" s="38" t="str">
        <f t="shared" si="10"/>
        <v>Sin Riesgo</v>
      </c>
      <c r="T74" s="4"/>
      <c r="U74" s="4"/>
      <c r="V74" s="4"/>
      <c r="W74" s="4"/>
    </row>
    <row r="75" spans="1:23" ht="24.75" customHeight="1">
      <c r="A75" s="32" t="s">
        <v>166</v>
      </c>
      <c r="B75" s="33" t="s">
        <v>81</v>
      </c>
      <c r="C75" s="34" t="s">
        <v>248</v>
      </c>
      <c r="D75" s="35">
        <v>550</v>
      </c>
      <c r="E75" s="36"/>
      <c r="F75" s="36"/>
      <c r="G75" s="36"/>
      <c r="H75" s="36"/>
      <c r="I75" s="36">
        <v>0</v>
      </c>
      <c r="J75" s="36">
        <v>0</v>
      </c>
      <c r="K75" s="36">
        <v>6.45</v>
      </c>
      <c r="L75" s="36">
        <v>5.88</v>
      </c>
      <c r="M75" s="36">
        <v>0</v>
      </c>
      <c r="N75" s="36">
        <v>0.64</v>
      </c>
      <c r="O75" s="36">
        <v>0</v>
      </c>
      <c r="P75" s="36">
        <v>0</v>
      </c>
      <c r="Q75" s="36">
        <v>1.85</v>
      </c>
      <c r="R75" s="38" t="str">
        <f t="shared" si="11"/>
        <v>SI</v>
      </c>
      <c r="S75" s="38" t="str">
        <f t="shared" si="10"/>
        <v>Sin Riesgo</v>
      </c>
      <c r="T75" s="4"/>
      <c r="U75" s="4"/>
      <c r="V75" s="4"/>
      <c r="W75" s="4"/>
    </row>
    <row r="76" spans="1:23" ht="24.75" customHeight="1">
      <c r="A76" s="32" t="s">
        <v>162</v>
      </c>
      <c r="B76" s="33" t="s">
        <v>82</v>
      </c>
      <c r="C76" s="34" t="s">
        <v>249</v>
      </c>
      <c r="D76" s="35">
        <v>3703</v>
      </c>
      <c r="E76" s="36"/>
      <c r="F76" s="36"/>
      <c r="G76" s="36"/>
      <c r="H76" s="36">
        <v>0</v>
      </c>
      <c r="I76" s="36"/>
      <c r="J76" s="36">
        <v>0</v>
      </c>
      <c r="K76" s="36">
        <v>0.6</v>
      </c>
      <c r="L76" s="36">
        <v>0</v>
      </c>
      <c r="M76" s="36"/>
      <c r="N76" s="36"/>
      <c r="O76" s="36">
        <v>0</v>
      </c>
      <c r="P76" s="36">
        <v>0</v>
      </c>
      <c r="Q76" s="36">
        <v>0.2</v>
      </c>
      <c r="R76" s="38" t="str">
        <f t="shared" si="11"/>
        <v>SI</v>
      </c>
      <c r="S76" s="38" t="str">
        <f t="shared" si="10"/>
        <v>Sin Riesgo</v>
      </c>
      <c r="T76" s="4"/>
      <c r="U76" s="4"/>
      <c r="V76" s="4"/>
      <c r="W76" s="4"/>
    </row>
    <row r="77" spans="1:23" ht="24.75" customHeight="1">
      <c r="A77" s="32" t="s">
        <v>162</v>
      </c>
      <c r="B77" s="33" t="s">
        <v>83</v>
      </c>
      <c r="C77" s="34" t="s">
        <v>210</v>
      </c>
      <c r="D77" s="35">
        <v>1373</v>
      </c>
      <c r="E77" s="36"/>
      <c r="F77" s="36"/>
      <c r="G77" s="36"/>
      <c r="H77" s="36">
        <v>0</v>
      </c>
      <c r="I77" s="36">
        <v>0</v>
      </c>
      <c r="J77" s="36">
        <v>26.23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3.42</v>
      </c>
      <c r="R77" s="38" t="str">
        <f t="shared" si="11"/>
        <v>SI</v>
      </c>
      <c r="S77" s="38" t="str">
        <f t="shared" si="10"/>
        <v>Sin Riesgo</v>
      </c>
      <c r="T77" s="4"/>
      <c r="U77" s="4"/>
      <c r="V77" s="4"/>
      <c r="W77" s="4"/>
    </row>
    <row r="78" spans="1:23" ht="24.75" customHeight="1">
      <c r="A78" s="32" t="s">
        <v>163</v>
      </c>
      <c r="B78" s="33" t="s">
        <v>84</v>
      </c>
      <c r="C78" s="34" t="s">
        <v>18</v>
      </c>
      <c r="D78" s="35">
        <v>749</v>
      </c>
      <c r="E78" s="36"/>
      <c r="F78" s="36"/>
      <c r="G78" s="36"/>
      <c r="H78" s="36">
        <v>0</v>
      </c>
      <c r="I78" s="36">
        <v>0</v>
      </c>
      <c r="J78" s="36">
        <v>6.45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12</v>
      </c>
      <c r="Q78" s="36">
        <v>1.73</v>
      </c>
      <c r="R78" s="38" t="str">
        <f t="shared" si="11"/>
        <v>SI</v>
      </c>
      <c r="S78" s="38" t="str">
        <f t="shared" si="10"/>
        <v>Sin Riesgo</v>
      </c>
      <c r="T78" s="4"/>
      <c r="U78" s="4"/>
      <c r="V78" s="4"/>
      <c r="W78" s="4"/>
    </row>
    <row r="79" spans="1:23" ht="24.75" customHeight="1">
      <c r="A79" s="32" t="s">
        <v>164</v>
      </c>
      <c r="B79" s="33" t="s">
        <v>85</v>
      </c>
      <c r="C79" s="34" t="s">
        <v>19</v>
      </c>
      <c r="D79" s="35">
        <v>899</v>
      </c>
      <c r="E79" s="36"/>
      <c r="F79" s="36"/>
      <c r="G79" s="36"/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9.09</v>
      </c>
      <c r="P79" s="36">
        <v>0</v>
      </c>
      <c r="Q79" s="36">
        <v>1.14</v>
      </c>
      <c r="R79" s="38" t="str">
        <f t="shared" si="11"/>
        <v>SI</v>
      </c>
      <c r="S79" s="38" t="str">
        <f t="shared" si="10"/>
        <v>Sin Riesgo</v>
      </c>
      <c r="T79" s="4"/>
      <c r="U79" s="4"/>
      <c r="V79" s="4"/>
      <c r="W79" s="4"/>
    </row>
    <row r="80" spans="1:23" ht="24.75" customHeight="1">
      <c r="A80" s="32" t="s">
        <v>159</v>
      </c>
      <c r="B80" s="32" t="s">
        <v>86</v>
      </c>
      <c r="C80" s="34" t="s">
        <v>211</v>
      </c>
      <c r="D80" s="35">
        <v>62032</v>
      </c>
      <c r="E80" s="36"/>
      <c r="F80" s="36"/>
      <c r="G80" s="36"/>
      <c r="H80" s="36"/>
      <c r="I80" s="36">
        <v>0</v>
      </c>
      <c r="J80" s="36">
        <v>7.39</v>
      </c>
      <c r="K80" s="36">
        <v>8.18</v>
      </c>
      <c r="L80" s="36">
        <v>2.48</v>
      </c>
      <c r="M80" s="36">
        <v>0</v>
      </c>
      <c r="N80" s="36">
        <v>0</v>
      </c>
      <c r="O80" s="36">
        <v>0</v>
      </c>
      <c r="P80" s="36">
        <v>0</v>
      </c>
      <c r="Q80" s="36">
        <v>2.51</v>
      </c>
      <c r="R80" s="38" t="str">
        <f t="shared" si="11"/>
        <v>SI</v>
      </c>
      <c r="S80" s="38" t="str">
        <f t="shared" si="10"/>
        <v>Sin Riesgo</v>
      </c>
      <c r="T80" s="4"/>
      <c r="U80" s="4"/>
      <c r="V80" s="4"/>
      <c r="W80" s="4"/>
    </row>
    <row r="81" spans="1:23" ht="33" customHeight="1">
      <c r="A81" s="32" t="s">
        <v>166</v>
      </c>
      <c r="B81" s="33" t="s">
        <v>87</v>
      </c>
      <c r="C81" s="39" t="s">
        <v>250</v>
      </c>
      <c r="D81" s="40">
        <v>1608</v>
      </c>
      <c r="E81" s="36"/>
      <c r="F81" s="36"/>
      <c r="G81" s="36"/>
      <c r="H81" s="36"/>
      <c r="I81" s="36">
        <v>0</v>
      </c>
      <c r="J81" s="36">
        <v>0</v>
      </c>
      <c r="K81" s="36">
        <v>8.85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1.21</v>
      </c>
      <c r="R81" s="38" t="str">
        <f t="shared" si="11"/>
        <v>SI</v>
      </c>
      <c r="S81" s="38" t="str">
        <f t="shared" si="10"/>
        <v>Sin Riesgo</v>
      </c>
      <c r="T81" s="4"/>
      <c r="U81" s="4"/>
      <c r="V81" s="4"/>
      <c r="W81" s="4"/>
    </row>
    <row r="82" spans="1:23" ht="24.75" customHeight="1">
      <c r="A82" s="32" t="s">
        <v>164</v>
      </c>
      <c r="B82" s="33" t="s">
        <v>88</v>
      </c>
      <c r="C82" s="34" t="s">
        <v>212</v>
      </c>
      <c r="D82" s="35">
        <v>2191</v>
      </c>
      <c r="E82" s="36"/>
      <c r="F82" s="36"/>
      <c r="G82" s="36"/>
      <c r="H82" s="36">
        <v>0</v>
      </c>
      <c r="I82" s="36">
        <v>0</v>
      </c>
      <c r="J82" s="36">
        <v>0</v>
      </c>
      <c r="K82" s="36">
        <v>0</v>
      </c>
      <c r="L82" s="36">
        <v>9.68</v>
      </c>
      <c r="M82" s="36">
        <v>0</v>
      </c>
      <c r="N82" s="36">
        <v>0</v>
      </c>
      <c r="O82" s="36">
        <v>0</v>
      </c>
      <c r="P82" s="36">
        <v>0</v>
      </c>
      <c r="Q82" s="36">
        <v>1.21</v>
      </c>
      <c r="R82" s="38" t="str">
        <f t="shared" si="11"/>
        <v>SI</v>
      </c>
      <c r="S82" s="38" t="str">
        <f t="shared" si="10"/>
        <v>Sin Riesgo</v>
      </c>
      <c r="T82" s="4"/>
      <c r="U82" s="4"/>
      <c r="V82" s="4"/>
      <c r="W82" s="4"/>
    </row>
    <row r="83" spans="1:23" ht="24.75" customHeight="1">
      <c r="A83" s="32" t="s">
        <v>164</v>
      </c>
      <c r="B83" s="33" t="s">
        <v>89</v>
      </c>
      <c r="C83" s="34" t="s">
        <v>238</v>
      </c>
      <c r="D83" s="35">
        <v>2241</v>
      </c>
      <c r="E83" s="36"/>
      <c r="F83" s="36"/>
      <c r="G83" s="36"/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6.45</v>
      </c>
      <c r="O83" s="36">
        <v>6.45</v>
      </c>
      <c r="P83" s="36">
        <v>0</v>
      </c>
      <c r="Q83" s="36">
        <v>1.49</v>
      </c>
      <c r="R83" s="38" t="str">
        <f t="shared" si="11"/>
        <v>SI</v>
      </c>
      <c r="S83" s="38" t="str">
        <f t="shared" si="10"/>
        <v>Sin Riesgo</v>
      </c>
      <c r="T83" s="4"/>
      <c r="U83" s="4"/>
      <c r="V83" s="4"/>
      <c r="W83" s="4"/>
    </row>
    <row r="84" spans="1:23" ht="32.25" customHeight="1">
      <c r="A84" s="32" t="s">
        <v>162</v>
      </c>
      <c r="B84" s="33" t="s">
        <v>90</v>
      </c>
      <c r="C84" s="34" t="s">
        <v>213</v>
      </c>
      <c r="D84" s="35">
        <v>7158</v>
      </c>
      <c r="E84" s="36"/>
      <c r="F84" s="36"/>
      <c r="G84" s="36"/>
      <c r="H84" s="36">
        <v>0</v>
      </c>
      <c r="I84" s="36">
        <v>3.23</v>
      </c>
      <c r="J84" s="36">
        <v>0</v>
      </c>
      <c r="K84" s="36">
        <v>3.87</v>
      </c>
      <c r="L84" s="36">
        <v>0</v>
      </c>
      <c r="M84" s="36">
        <v>0</v>
      </c>
      <c r="N84" s="36">
        <v>3.23</v>
      </c>
      <c r="O84" s="36">
        <v>0</v>
      </c>
      <c r="P84" s="36">
        <v>0</v>
      </c>
      <c r="Q84" s="36">
        <v>1.45</v>
      </c>
      <c r="R84" s="38" t="str">
        <f t="shared" si="11"/>
        <v>SI</v>
      </c>
      <c r="S84" s="38" t="str">
        <f t="shared" si="10"/>
        <v>Sin Riesgo</v>
      </c>
      <c r="T84" s="4"/>
      <c r="U84" s="4"/>
      <c r="V84" s="4"/>
      <c r="W84" s="4"/>
    </row>
    <row r="85" spans="1:23" ht="39.75" customHeight="1">
      <c r="A85" s="32" t="s">
        <v>162</v>
      </c>
      <c r="B85" s="33" t="s">
        <v>90</v>
      </c>
      <c r="C85" s="34" t="s">
        <v>214</v>
      </c>
      <c r="D85" s="35">
        <v>1375</v>
      </c>
      <c r="E85" s="36"/>
      <c r="F85" s="36"/>
      <c r="G85" s="36"/>
      <c r="H85" s="36">
        <v>0</v>
      </c>
      <c r="I85" s="36">
        <v>13.64</v>
      </c>
      <c r="J85" s="36">
        <v>0</v>
      </c>
      <c r="K85" s="36">
        <v>0</v>
      </c>
      <c r="L85" s="36">
        <v>0</v>
      </c>
      <c r="M85" s="36">
        <v>0</v>
      </c>
      <c r="N85" s="36">
        <v>9.09</v>
      </c>
      <c r="O85" s="36">
        <v>13.64</v>
      </c>
      <c r="P85" s="36">
        <v>0</v>
      </c>
      <c r="Q85" s="36">
        <v>3.72</v>
      </c>
      <c r="R85" s="38" t="str">
        <f t="shared" si="11"/>
        <v>SI</v>
      </c>
      <c r="S85" s="38" t="str">
        <f t="shared" si="10"/>
        <v>Sin Riesgo</v>
      </c>
      <c r="T85" s="4"/>
      <c r="U85" s="4"/>
      <c r="V85" s="4"/>
      <c r="W85" s="4"/>
    </row>
    <row r="86" spans="1:23" ht="35.25" customHeight="1">
      <c r="A86" s="32" t="s">
        <v>162</v>
      </c>
      <c r="B86" s="33" t="s">
        <v>90</v>
      </c>
      <c r="C86" s="34" t="s">
        <v>215</v>
      </c>
      <c r="D86" s="35">
        <v>975</v>
      </c>
      <c r="E86" s="36"/>
      <c r="F86" s="36"/>
      <c r="G86" s="36"/>
      <c r="H86" s="36">
        <v>0</v>
      </c>
      <c r="I86" s="36">
        <v>0</v>
      </c>
      <c r="J86" s="36">
        <v>9.03</v>
      </c>
      <c r="K86" s="36">
        <v>0</v>
      </c>
      <c r="L86" s="36">
        <v>0</v>
      </c>
      <c r="M86" s="36">
        <v>6.45</v>
      </c>
      <c r="N86" s="36">
        <v>9.09</v>
      </c>
      <c r="O86" s="36">
        <v>23.31</v>
      </c>
      <c r="P86" s="36">
        <v>0</v>
      </c>
      <c r="Q86" s="36">
        <v>5</v>
      </c>
      <c r="R86" s="38" t="str">
        <f t="shared" si="11"/>
        <v>SI</v>
      </c>
      <c r="S86" s="38" t="str">
        <f t="shared" si="10"/>
        <v>Sin Riesgo</v>
      </c>
      <c r="T86" s="4"/>
      <c r="U86" s="4"/>
      <c r="V86" s="4"/>
      <c r="W86" s="4"/>
    </row>
    <row r="87" spans="1:23" ht="27" customHeight="1">
      <c r="A87" s="32" t="s">
        <v>159</v>
      </c>
      <c r="B87" s="33" t="s">
        <v>91</v>
      </c>
      <c r="C87" s="34" t="s">
        <v>185</v>
      </c>
      <c r="D87" s="35">
        <v>7243</v>
      </c>
      <c r="E87" s="36"/>
      <c r="F87" s="36"/>
      <c r="G87" s="36"/>
      <c r="H87" s="36"/>
      <c r="I87" s="36">
        <v>0</v>
      </c>
      <c r="J87" s="36">
        <v>0.39</v>
      </c>
      <c r="K87" s="36">
        <v>5.45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0.86</v>
      </c>
      <c r="R87" s="38" t="str">
        <f t="shared" si="11"/>
        <v>SI</v>
      </c>
      <c r="S87" s="38" t="str">
        <f t="shared" si="10"/>
        <v>Sin Riesgo</v>
      </c>
      <c r="T87" s="4"/>
      <c r="U87" s="4"/>
      <c r="V87" s="4"/>
      <c r="W87" s="4"/>
    </row>
    <row r="88" spans="1:23" ht="24.75" customHeight="1">
      <c r="A88" s="32" t="s">
        <v>164</v>
      </c>
      <c r="B88" s="33" t="s">
        <v>92</v>
      </c>
      <c r="C88" s="34" t="s">
        <v>216</v>
      </c>
      <c r="D88" s="35">
        <v>400</v>
      </c>
      <c r="E88" s="36"/>
      <c r="F88" s="36"/>
      <c r="G88" s="36"/>
      <c r="H88" s="36"/>
      <c r="I88" s="36">
        <v>0</v>
      </c>
      <c r="J88" s="36">
        <v>33.3</v>
      </c>
      <c r="K88" s="36">
        <v>18.18</v>
      </c>
      <c r="L88" s="36">
        <v>8</v>
      </c>
      <c r="M88" s="36">
        <v>33.3</v>
      </c>
      <c r="N88" s="36">
        <v>9.09</v>
      </c>
      <c r="O88" s="36">
        <v>35.92</v>
      </c>
      <c r="P88" s="36">
        <v>13.64</v>
      </c>
      <c r="Q88" s="36">
        <v>21.67</v>
      </c>
      <c r="R88" s="38" t="str">
        <f t="shared" si="11"/>
        <v>NO</v>
      </c>
      <c r="S88" s="38" t="str">
        <f t="shared" si="10"/>
        <v>Medio</v>
      </c>
      <c r="T88" s="4"/>
      <c r="U88" s="4"/>
      <c r="V88" s="4"/>
      <c r="W88" s="4"/>
    </row>
    <row r="89" spans="1:23" ht="28.5" customHeight="1">
      <c r="A89" s="32" t="s">
        <v>164</v>
      </c>
      <c r="B89" s="33" t="s">
        <v>92</v>
      </c>
      <c r="C89" s="34" t="s">
        <v>217</v>
      </c>
      <c r="D89" s="35">
        <v>1182</v>
      </c>
      <c r="E89" s="36"/>
      <c r="F89" s="36"/>
      <c r="G89" s="36"/>
      <c r="H89" s="36">
        <v>82</v>
      </c>
      <c r="I89" s="36">
        <v>100</v>
      </c>
      <c r="J89" s="36">
        <v>91.2</v>
      </c>
      <c r="K89" s="36">
        <v>88</v>
      </c>
      <c r="L89" s="36">
        <v>88</v>
      </c>
      <c r="M89" s="36">
        <v>88</v>
      </c>
      <c r="N89" s="36">
        <v>96</v>
      </c>
      <c r="O89" s="36">
        <v>91</v>
      </c>
      <c r="P89" s="36">
        <v>82</v>
      </c>
      <c r="Q89" s="36">
        <v>89.92</v>
      </c>
      <c r="R89" s="38" t="str">
        <f t="shared" si="11"/>
        <v>NO</v>
      </c>
      <c r="S89" s="38" t="str">
        <f t="shared" si="10"/>
        <v>Inviable Sanitariamente</v>
      </c>
      <c r="T89" s="4"/>
      <c r="U89" s="4"/>
      <c r="V89" s="4"/>
      <c r="W89" s="4"/>
    </row>
    <row r="90" spans="1:23" ht="32.25" customHeight="1">
      <c r="A90" s="32" t="s">
        <v>162</v>
      </c>
      <c r="B90" s="33" t="s">
        <v>93</v>
      </c>
      <c r="C90" s="34" t="s">
        <v>218</v>
      </c>
      <c r="D90" s="35">
        <v>2401</v>
      </c>
      <c r="E90" s="36"/>
      <c r="F90" s="36"/>
      <c r="G90" s="36"/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/>
      <c r="Q90" s="36">
        <v>0</v>
      </c>
      <c r="R90" s="38" t="str">
        <f t="shared" si="11"/>
        <v>SI</v>
      </c>
      <c r="S90" s="38" t="str">
        <f t="shared" si="10"/>
        <v>Sin Riesgo</v>
      </c>
      <c r="T90" s="4"/>
      <c r="U90" s="4"/>
      <c r="V90" s="4"/>
      <c r="W90" s="4"/>
    </row>
    <row r="91" spans="1:23" ht="38.25" customHeight="1">
      <c r="A91" s="32" t="s">
        <v>163</v>
      </c>
      <c r="B91" s="33" t="s">
        <v>94</v>
      </c>
      <c r="C91" s="34" t="s">
        <v>219</v>
      </c>
      <c r="D91" s="35">
        <v>639</v>
      </c>
      <c r="E91" s="36"/>
      <c r="F91" s="36"/>
      <c r="G91" s="36"/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15.3</v>
      </c>
      <c r="O91" s="36">
        <v>0</v>
      </c>
      <c r="P91" s="36">
        <v>9.73</v>
      </c>
      <c r="Q91" s="36">
        <v>3</v>
      </c>
      <c r="R91" s="38" t="str">
        <f t="shared" si="11"/>
        <v>SI</v>
      </c>
      <c r="S91" s="38" t="str">
        <f t="shared" si="10"/>
        <v>Sin Riesgo</v>
      </c>
      <c r="T91" s="4"/>
      <c r="U91" s="4"/>
      <c r="V91" s="4"/>
      <c r="W91" s="4"/>
    </row>
    <row r="92" spans="1:23" ht="24.75" customHeight="1">
      <c r="A92" s="32" t="s">
        <v>169</v>
      </c>
      <c r="B92" s="33" t="s">
        <v>95</v>
      </c>
      <c r="C92" s="34" t="s">
        <v>251</v>
      </c>
      <c r="D92" s="35">
        <v>818</v>
      </c>
      <c r="E92" s="36"/>
      <c r="F92" s="36"/>
      <c r="G92" s="36"/>
      <c r="H92" s="36"/>
      <c r="I92" s="36">
        <v>0.98</v>
      </c>
      <c r="J92" s="36">
        <v>0</v>
      </c>
      <c r="K92" s="36">
        <v>0</v>
      </c>
      <c r="L92" s="36">
        <v>0</v>
      </c>
      <c r="M92" s="36">
        <v>1.3</v>
      </c>
      <c r="N92" s="36">
        <v>0</v>
      </c>
      <c r="O92" s="36">
        <v>0</v>
      </c>
      <c r="P92" s="36">
        <v>0</v>
      </c>
      <c r="Q92" s="36">
        <v>0.2</v>
      </c>
      <c r="R92" s="38" t="str">
        <f t="shared" si="11"/>
        <v>SI</v>
      </c>
      <c r="S92" s="38" t="str">
        <f t="shared" si="10"/>
        <v>Sin Riesgo</v>
      </c>
      <c r="T92" s="4"/>
      <c r="U92" s="4"/>
      <c r="V92" s="4"/>
      <c r="W92" s="4"/>
    </row>
    <row r="93" spans="1:23" ht="30" customHeight="1">
      <c r="A93" s="32" t="s">
        <v>162</v>
      </c>
      <c r="B93" s="33" t="s">
        <v>96</v>
      </c>
      <c r="C93" s="34" t="s">
        <v>242</v>
      </c>
      <c r="D93" s="35">
        <v>8656</v>
      </c>
      <c r="E93" s="36"/>
      <c r="F93" s="36"/>
      <c r="G93" s="36"/>
      <c r="H93" s="36">
        <v>0</v>
      </c>
      <c r="I93" s="36">
        <v>0</v>
      </c>
      <c r="J93" s="36">
        <v>5.45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0.72</v>
      </c>
      <c r="R93" s="38" t="str">
        <f t="shared" si="11"/>
        <v>SI</v>
      </c>
      <c r="S93" s="38" t="str">
        <f t="shared" si="10"/>
        <v>Sin Riesgo</v>
      </c>
      <c r="T93" s="4"/>
      <c r="U93" s="4"/>
      <c r="V93" s="4"/>
      <c r="W93" s="4"/>
    </row>
    <row r="94" spans="1:23" ht="34.5" customHeight="1">
      <c r="A94" s="32" t="s">
        <v>162</v>
      </c>
      <c r="B94" s="33" t="s">
        <v>96</v>
      </c>
      <c r="C94" s="34" t="s">
        <v>220</v>
      </c>
      <c r="D94" s="35">
        <v>854</v>
      </c>
      <c r="E94" s="36"/>
      <c r="F94" s="36"/>
      <c r="G94" s="36"/>
      <c r="H94" s="36">
        <v>0</v>
      </c>
      <c r="I94" s="36">
        <v>9.09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0.97</v>
      </c>
      <c r="P94" s="36">
        <v>0</v>
      </c>
      <c r="Q94" s="36">
        <v>1.27</v>
      </c>
      <c r="R94" s="38" t="str">
        <f t="shared" si="11"/>
        <v>SI</v>
      </c>
      <c r="S94" s="38" t="str">
        <f t="shared" si="10"/>
        <v>Sin Riesgo</v>
      </c>
      <c r="T94" s="4"/>
      <c r="U94" s="4"/>
      <c r="V94" s="4"/>
      <c r="W94" s="4"/>
    </row>
    <row r="95" spans="1:23" ht="24.75" customHeight="1">
      <c r="A95" s="32" t="s">
        <v>159</v>
      </c>
      <c r="B95" s="33" t="s">
        <v>97</v>
      </c>
      <c r="C95" s="34" t="s">
        <v>252</v>
      </c>
      <c r="D95" s="35">
        <v>827165</v>
      </c>
      <c r="E95" s="36">
        <v>0.57</v>
      </c>
      <c r="F95" s="36">
        <v>0.13</v>
      </c>
      <c r="G95" s="36">
        <v>0.06</v>
      </c>
      <c r="H95" s="36">
        <v>0.59</v>
      </c>
      <c r="I95" s="36">
        <v>0.65</v>
      </c>
      <c r="J95" s="36">
        <v>0.26</v>
      </c>
      <c r="K95" s="36">
        <v>1.24</v>
      </c>
      <c r="L95" s="36">
        <v>0.62</v>
      </c>
      <c r="M95" s="36">
        <v>0.62</v>
      </c>
      <c r="N95" s="36">
        <v>0.24</v>
      </c>
      <c r="O95" s="36">
        <v>0.28</v>
      </c>
      <c r="P95" s="36">
        <v>0</v>
      </c>
      <c r="Q95" s="36">
        <v>0.4</v>
      </c>
      <c r="R95" s="38" t="str">
        <f t="shared" si="11"/>
        <v>SI</v>
      </c>
      <c r="S95" s="38" t="str">
        <f t="shared" si="10"/>
        <v>Sin Riesgo</v>
      </c>
      <c r="T95" s="4"/>
      <c r="U95" s="4"/>
      <c r="V95" s="4"/>
      <c r="W95" s="4"/>
    </row>
    <row r="96" spans="1:23" ht="24.75" customHeight="1">
      <c r="A96" s="32" t="s">
        <v>164</v>
      </c>
      <c r="B96" s="33" t="s">
        <v>98</v>
      </c>
      <c r="C96" s="34" t="s">
        <v>20</v>
      </c>
      <c r="D96" s="35">
        <v>535</v>
      </c>
      <c r="E96" s="36"/>
      <c r="F96" s="36"/>
      <c r="G96" s="36"/>
      <c r="H96" s="36">
        <v>0</v>
      </c>
      <c r="I96" s="36">
        <v>0</v>
      </c>
      <c r="J96" s="36">
        <v>0</v>
      </c>
      <c r="K96" s="36">
        <v>0</v>
      </c>
      <c r="L96" s="36">
        <v>12.9</v>
      </c>
      <c r="M96" s="36">
        <v>0</v>
      </c>
      <c r="N96" s="36">
        <v>0</v>
      </c>
      <c r="O96" s="36">
        <v>0</v>
      </c>
      <c r="P96" s="36">
        <v>0</v>
      </c>
      <c r="Q96" s="36">
        <v>1.6</v>
      </c>
      <c r="R96" s="38" t="str">
        <f t="shared" si="11"/>
        <v>SI</v>
      </c>
      <c r="S96" s="38" t="str">
        <f t="shared" si="10"/>
        <v>Sin Riesgo</v>
      </c>
      <c r="T96" s="4"/>
      <c r="U96" s="4"/>
      <c r="V96" s="4"/>
      <c r="W96" s="4"/>
    </row>
    <row r="97" spans="1:23" ht="24.75" customHeight="1">
      <c r="A97" s="32" t="s">
        <v>167</v>
      </c>
      <c r="B97" s="33" t="s">
        <v>99</v>
      </c>
      <c r="C97" s="34" t="s">
        <v>253</v>
      </c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8" t="s">
        <v>232</v>
      </c>
      <c r="S97" s="38" t="s">
        <v>232</v>
      </c>
      <c r="T97" s="4"/>
      <c r="U97" s="4"/>
      <c r="V97" s="4"/>
      <c r="W97" s="4"/>
    </row>
    <row r="98" spans="1:23" ht="24.75" customHeight="1">
      <c r="A98" s="32" t="s">
        <v>167</v>
      </c>
      <c r="B98" s="33" t="s">
        <v>100</v>
      </c>
      <c r="C98" s="34" t="s">
        <v>254</v>
      </c>
      <c r="D98" s="35">
        <v>889</v>
      </c>
      <c r="E98" s="36"/>
      <c r="F98" s="36"/>
      <c r="G98" s="36"/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6.1</v>
      </c>
      <c r="P98" s="36">
        <v>0.88</v>
      </c>
      <c r="Q98" s="36">
        <v>0.87</v>
      </c>
      <c r="R98" s="38" t="str">
        <f>IF(Q98&lt;=5,"SI","NO")</f>
        <v>SI</v>
      </c>
      <c r="S98" s="38" t="str">
        <f>IF(Q98&lt;=5,"Sin Riesgo",IF(Q98&lt;=14,"Bajo",IF(Q98&lt;=35,"Medio",IF(Q98&lt;=80,"Alto","Inviable Sanitariamente"))))</f>
        <v>Sin Riesgo</v>
      </c>
      <c r="T98" s="4"/>
      <c r="U98" s="4"/>
      <c r="V98" s="4"/>
      <c r="W98" s="4"/>
    </row>
    <row r="99" spans="1:23" ht="24.75" customHeight="1">
      <c r="A99" s="32" t="s">
        <v>167</v>
      </c>
      <c r="B99" s="33" t="s">
        <v>100</v>
      </c>
      <c r="C99" s="34" t="s">
        <v>255</v>
      </c>
      <c r="D99" s="35">
        <v>610</v>
      </c>
      <c r="E99" s="36"/>
      <c r="F99" s="36"/>
      <c r="G99" s="36"/>
      <c r="H99" s="36">
        <v>7.74</v>
      </c>
      <c r="I99" s="36">
        <v>40.77</v>
      </c>
      <c r="J99" s="36">
        <v>0</v>
      </c>
      <c r="K99" s="36">
        <v>17.7</v>
      </c>
      <c r="L99" s="36">
        <v>5.8</v>
      </c>
      <c r="M99" s="36">
        <v>0</v>
      </c>
      <c r="N99" s="36">
        <v>0</v>
      </c>
      <c r="O99" s="36">
        <v>18.73</v>
      </c>
      <c r="P99" s="36">
        <v>0</v>
      </c>
      <c r="Q99" s="36">
        <v>12.82</v>
      </c>
      <c r="R99" s="38" t="str">
        <f t="shared" si="11"/>
        <v>NO</v>
      </c>
      <c r="S99" s="38" t="str">
        <f t="shared" si="10"/>
        <v>Bajo</v>
      </c>
      <c r="T99" s="4"/>
      <c r="U99" s="4"/>
      <c r="V99" s="4"/>
      <c r="W99" s="4"/>
    </row>
    <row r="100" spans="1:23" ht="35.25" customHeight="1">
      <c r="A100" s="32" t="s">
        <v>162</v>
      </c>
      <c r="B100" s="41" t="s">
        <v>101</v>
      </c>
      <c r="C100" s="34" t="s">
        <v>256</v>
      </c>
      <c r="D100" s="35">
        <v>667</v>
      </c>
      <c r="E100" s="36"/>
      <c r="F100" s="36"/>
      <c r="G100" s="36"/>
      <c r="H100" s="36"/>
      <c r="I100" s="36">
        <v>13.6</v>
      </c>
      <c r="J100" s="36"/>
      <c r="K100" s="36">
        <v>6.5</v>
      </c>
      <c r="L100" s="36">
        <v>23.6</v>
      </c>
      <c r="M100" s="36">
        <v>49.7</v>
      </c>
      <c r="N100" s="36">
        <v>0</v>
      </c>
      <c r="O100" s="36">
        <v>0</v>
      </c>
      <c r="P100" s="36">
        <v>0</v>
      </c>
      <c r="Q100" s="37">
        <v>13.4</v>
      </c>
      <c r="R100" s="38" t="str">
        <f t="shared" si="11"/>
        <v>NO</v>
      </c>
      <c r="S100" s="38" t="str">
        <f t="shared" si="10"/>
        <v>Bajo</v>
      </c>
      <c r="T100" s="4"/>
      <c r="U100" s="4"/>
      <c r="V100" s="4"/>
      <c r="W100" s="4"/>
    </row>
    <row r="101" spans="1:23" ht="24.75" customHeight="1">
      <c r="A101" s="32" t="s">
        <v>168</v>
      </c>
      <c r="B101" s="33" t="s">
        <v>102</v>
      </c>
      <c r="C101" s="34" t="s">
        <v>221</v>
      </c>
      <c r="D101" s="35">
        <v>1793</v>
      </c>
      <c r="E101" s="36"/>
      <c r="F101" s="36"/>
      <c r="G101" s="36"/>
      <c r="H101" s="36"/>
      <c r="I101" s="36">
        <v>0</v>
      </c>
      <c r="J101" s="36">
        <v>13.64</v>
      </c>
      <c r="K101" s="36">
        <v>0.64</v>
      </c>
      <c r="L101" s="36">
        <v>13.64</v>
      </c>
      <c r="M101" s="36">
        <v>9.09</v>
      </c>
      <c r="N101" s="36">
        <v>13.64</v>
      </c>
      <c r="O101" s="36">
        <v>0</v>
      </c>
      <c r="P101" s="36">
        <v>19.35</v>
      </c>
      <c r="Q101" s="36">
        <v>7.67</v>
      </c>
      <c r="R101" s="38" t="str">
        <f t="shared" si="11"/>
        <v>NO</v>
      </c>
      <c r="S101" s="38" t="str">
        <f t="shared" si="10"/>
        <v>Bajo</v>
      </c>
      <c r="T101" s="4"/>
      <c r="U101" s="4"/>
      <c r="V101" s="4"/>
      <c r="W101" s="4"/>
    </row>
    <row r="102" spans="1:23" ht="24.75" customHeight="1">
      <c r="A102" s="32" t="s">
        <v>167</v>
      </c>
      <c r="B102" s="33" t="s">
        <v>103</v>
      </c>
      <c r="C102" s="34" t="s">
        <v>257</v>
      </c>
      <c r="D102" s="35">
        <v>2241</v>
      </c>
      <c r="E102" s="36"/>
      <c r="F102" s="36"/>
      <c r="G102" s="36"/>
      <c r="H102" s="36">
        <v>0</v>
      </c>
      <c r="I102" s="36">
        <v>0</v>
      </c>
      <c r="J102" s="36">
        <v>1.53</v>
      </c>
      <c r="K102" s="36">
        <v>1.53</v>
      </c>
      <c r="L102" s="36">
        <v>10.94</v>
      </c>
      <c r="M102" s="36">
        <v>0.88</v>
      </c>
      <c r="N102" s="36">
        <v>25.13</v>
      </c>
      <c r="O102" s="36">
        <v>2.65</v>
      </c>
      <c r="P102" s="36">
        <v>0</v>
      </c>
      <c r="Q102" s="36">
        <v>5.22</v>
      </c>
      <c r="R102" s="38" t="str">
        <f t="shared" si="11"/>
        <v>NO</v>
      </c>
      <c r="S102" s="38" t="str">
        <f t="shared" si="10"/>
        <v>Bajo</v>
      </c>
      <c r="T102" s="4"/>
      <c r="U102" s="4"/>
      <c r="V102" s="4"/>
      <c r="W102" s="4"/>
    </row>
    <row r="103" spans="1:23" ht="24.75" customHeight="1">
      <c r="A103" s="32" t="s">
        <v>163</v>
      </c>
      <c r="B103" s="33" t="s">
        <v>104</v>
      </c>
      <c r="C103" s="34" t="s">
        <v>258</v>
      </c>
      <c r="D103" s="35">
        <v>62</v>
      </c>
      <c r="E103" s="36"/>
      <c r="F103" s="36"/>
      <c r="G103" s="36"/>
      <c r="H103" s="36">
        <v>13.64</v>
      </c>
      <c r="I103" s="36">
        <v>0</v>
      </c>
      <c r="J103" s="36">
        <v>0</v>
      </c>
      <c r="K103" s="36">
        <v>21.99</v>
      </c>
      <c r="L103" s="36">
        <v>0</v>
      </c>
      <c r="M103" s="36">
        <v>0</v>
      </c>
      <c r="N103" s="36">
        <v>39.84</v>
      </c>
      <c r="O103" s="36">
        <v>0</v>
      </c>
      <c r="P103" s="36">
        <v>6.45</v>
      </c>
      <c r="Q103" s="36">
        <v>8.93</v>
      </c>
      <c r="R103" s="38" t="str">
        <f t="shared" si="11"/>
        <v>NO</v>
      </c>
      <c r="S103" s="38" t="str">
        <f t="shared" si="10"/>
        <v>Bajo</v>
      </c>
      <c r="T103" s="4"/>
      <c r="U103" s="4"/>
      <c r="V103" s="4"/>
      <c r="W103" s="4"/>
    </row>
    <row r="104" spans="1:23" ht="24.75" customHeight="1">
      <c r="A104" s="32" t="s">
        <v>162</v>
      </c>
      <c r="B104" s="33" t="s">
        <v>105</v>
      </c>
      <c r="C104" s="34" t="s">
        <v>21</v>
      </c>
      <c r="D104" s="35">
        <v>2921</v>
      </c>
      <c r="E104" s="36"/>
      <c r="F104" s="36"/>
      <c r="G104" s="36"/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8" t="str">
        <f t="shared" si="11"/>
        <v>SI</v>
      </c>
      <c r="S104" s="38" t="str">
        <f t="shared" si="10"/>
        <v>Sin Riesgo</v>
      </c>
      <c r="T104" s="4"/>
      <c r="U104" s="4"/>
      <c r="V104" s="4"/>
      <c r="W104" s="4"/>
    </row>
    <row r="105" spans="1:23" ht="24.75" customHeight="1">
      <c r="A105" s="32" t="s">
        <v>163</v>
      </c>
      <c r="B105" s="33" t="s">
        <v>106</v>
      </c>
      <c r="C105" s="34" t="s">
        <v>222</v>
      </c>
      <c r="D105" s="35">
        <v>408</v>
      </c>
      <c r="E105" s="36"/>
      <c r="F105" s="36"/>
      <c r="G105" s="36"/>
      <c r="H105" s="36">
        <v>0</v>
      </c>
      <c r="I105" s="36">
        <v>8.92</v>
      </c>
      <c r="J105" s="36">
        <v>0</v>
      </c>
      <c r="K105" s="36">
        <v>18.18</v>
      </c>
      <c r="L105" s="36">
        <v>0</v>
      </c>
      <c r="M105" s="36">
        <v>0</v>
      </c>
      <c r="N105" s="36">
        <v>15.3</v>
      </c>
      <c r="O105" s="36">
        <v>0</v>
      </c>
      <c r="P105" s="36">
        <v>13.27</v>
      </c>
      <c r="Q105" s="36">
        <v>6.68</v>
      </c>
      <c r="R105" s="38" t="str">
        <f t="shared" si="11"/>
        <v>NO</v>
      </c>
      <c r="S105" s="38" t="str">
        <f t="shared" si="10"/>
        <v>Bajo</v>
      </c>
      <c r="T105" s="4"/>
      <c r="U105" s="4"/>
      <c r="V105" s="4"/>
      <c r="W105" s="4"/>
    </row>
    <row r="106" spans="1:23" ht="30.75" customHeight="1">
      <c r="A106" s="32" t="s">
        <v>164</v>
      </c>
      <c r="B106" s="33" t="s">
        <v>107</v>
      </c>
      <c r="C106" s="34" t="s">
        <v>259</v>
      </c>
      <c r="D106" s="35">
        <v>1278</v>
      </c>
      <c r="E106" s="36"/>
      <c r="F106" s="36"/>
      <c r="G106" s="36"/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7.1</v>
      </c>
      <c r="O106" s="36">
        <v>0</v>
      </c>
      <c r="P106" s="36">
        <v>0.88</v>
      </c>
      <c r="Q106" s="36">
        <v>1.14</v>
      </c>
      <c r="R106" s="38" t="str">
        <f t="shared" si="11"/>
        <v>SI</v>
      </c>
      <c r="S106" s="38" t="str">
        <f t="shared" si="10"/>
        <v>Sin Riesgo</v>
      </c>
      <c r="T106" s="4"/>
      <c r="U106" s="4"/>
      <c r="V106" s="4"/>
      <c r="W106" s="4"/>
    </row>
    <row r="107" spans="1:23" ht="24.75" customHeight="1">
      <c r="A107" s="32" t="s">
        <v>169</v>
      </c>
      <c r="B107" s="33" t="s">
        <v>108</v>
      </c>
      <c r="C107" s="34" t="s">
        <v>242</v>
      </c>
      <c r="D107" s="35">
        <v>9227</v>
      </c>
      <c r="E107" s="36"/>
      <c r="F107" s="36"/>
      <c r="G107" s="36"/>
      <c r="H107" s="36"/>
      <c r="I107" s="36">
        <v>17.65</v>
      </c>
      <c r="J107" s="36">
        <v>6.82</v>
      </c>
      <c r="K107" s="36">
        <v>0</v>
      </c>
      <c r="L107" s="36">
        <v>5.31</v>
      </c>
      <c r="M107" s="36">
        <v>3.87</v>
      </c>
      <c r="N107" s="36">
        <v>3.87</v>
      </c>
      <c r="O107" s="36">
        <v>0</v>
      </c>
      <c r="P107" s="36">
        <v>0</v>
      </c>
      <c r="Q107" s="36">
        <v>3.24</v>
      </c>
      <c r="R107" s="38" t="str">
        <f t="shared" si="11"/>
        <v>SI</v>
      </c>
      <c r="S107" s="38" t="str">
        <f t="shared" si="10"/>
        <v>Sin Riesgo</v>
      </c>
      <c r="T107" s="4"/>
      <c r="U107" s="4"/>
      <c r="V107" s="4"/>
      <c r="W107" s="4"/>
    </row>
    <row r="108" spans="1:23" ht="24.75" customHeight="1">
      <c r="A108" s="32" t="s">
        <v>169</v>
      </c>
      <c r="B108" s="33" t="s">
        <v>109</v>
      </c>
      <c r="C108" s="34" t="s">
        <v>223</v>
      </c>
      <c r="D108" s="35">
        <v>1726</v>
      </c>
      <c r="E108" s="36"/>
      <c r="F108" s="36"/>
      <c r="G108" s="36"/>
      <c r="H108" s="36">
        <v>0</v>
      </c>
      <c r="I108" s="36">
        <v>4.84</v>
      </c>
      <c r="J108" s="36">
        <v>0</v>
      </c>
      <c r="K108" s="36">
        <v>0</v>
      </c>
      <c r="L108" s="36">
        <v>6.25</v>
      </c>
      <c r="M108" s="36">
        <v>0</v>
      </c>
      <c r="N108" s="36">
        <v>0</v>
      </c>
      <c r="O108" s="36">
        <v>0</v>
      </c>
      <c r="P108" s="36">
        <v>0</v>
      </c>
      <c r="Q108" s="36">
        <v>1.58</v>
      </c>
      <c r="R108" s="38" t="str">
        <f t="shared" si="11"/>
        <v>SI</v>
      </c>
      <c r="S108" s="38" t="str">
        <f t="shared" si="10"/>
        <v>Sin Riesgo</v>
      </c>
      <c r="T108" s="4"/>
      <c r="U108" s="4"/>
      <c r="V108" s="4"/>
      <c r="W108" s="4"/>
    </row>
    <row r="109" spans="1:23" ht="24.75" customHeight="1">
      <c r="A109" s="32" t="s">
        <v>169</v>
      </c>
      <c r="B109" s="41" t="s">
        <v>110</v>
      </c>
      <c r="C109" s="39" t="s">
        <v>183</v>
      </c>
      <c r="D109" s="40">
        <v>979</v>
      </c>
      <c r="E109" s="36"/>
      <c r="F109" s="36"/>
      <c r="G109" s="36"/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13.64</v>
      </c>
      <c r="P109" s="36">
        <v>0</v>
      </c>
      <c r="Q109" s="36">
        <v>1.19</v>
      </c>
      <c r="R109" s="38" t="str">
        <f t="shared" si="11"/>
        <v>SI</v>
      </c>
      <c r="S109" s="38" t="str">
        <f t="shared" si="10"/>
        <v>Sin Riesgo</v>
      </c>
      <c r="T109" s="4"/>
      <c r="U109" s="4"/>
      <c r="V109" s="4"/>
      <c r="W109" s="4"/>
    </row>
    <row r="110" spans="1:23" ht="24.75" customHeight="1">
      <c r="A110" s="32" t="s">
        <v>165</v>
      </c>
      <c r="B110" s="41" t="s">
        <v>111</v>
      </c>
      <c r="C110" s="34" t="s">
        <v>260</v>
      </c>
      <c r="D110" s="24">
        <v>2219</v>
      </c>
      <c r="E110" s="36"/>
      <c r="F110" s="36"/>
      <c r="G110" s="36"/>
      <c r="H110" s="36">
        <v>0</v>
      </c>
      <c r="I110" s="36">
        <v>0</v>
      </c>
      <c r="J110" s="36">
        <v>9.68</v>
      </c>
      <c r="K110" s="36">
        <v>33.3</v>
      </c>
      <c r="L110" s="36">
        <v>0</v>
      </c>
      <c r="M110" s="36">
        <v>0</v>
      </c>
      <c r="N110" s="36">
        <v>0</v>
      </c>
      <c r="O110" s="36">
        <v>0</v>
      </c>
      <c r="P110" s="36">
        <v>13.64</v>
      </c>
      <c r="Q110" s="36">
        <v>5.24</v>
      </c>
      <c r="R110" s="38" t="str">
        <f t="shared" si="11"/>
        <v>NO</v>
      </c>
      <c r="S110" s="38" t="str">
        <f t="shared" si="10"/>
        <v>Bajo</v>
      </c>
      <c r="T110" s="4"/>
      <c r="U110" s="4"/>
      <c r="V110" s="4"/>
      <c r="W110" s="4"/>
    </row>
    <row r="111" spans="1:23" ht="24.75" customHeight="1">
      <c r="A111" s="32" t="s">
        <v>162</v>
      </c>
      <c r="B111" s="33" t="s">
        <v>172</v>
      </c>
      <c r="C111" s="34" t="s">
        <v>22</v>
      </c>
      <c r="D111" s="35">
        <v>2030</v>
      </c>
      <c r="E111" s="36"/>
      <c r="F111" s="36"/>
      <c r="G111" s="36"/>
      <c r="H111" s="36">
        <v>28.43</v>
      </c>
      <c r="I111" s="36">
        <v>0</v>
      </c>
      <c r="J111" s="36">
        <v>0</v>
      </c>
      <c r="K111" s="36">
        <v>0</v>
      </c>
      <c r="L111" s="36">
        <v>6.25</v>
      </c>
      <c r="M111" s="36">
        <v>0</v>
      </c>
      <c r="N111" s="36">
        <v>0</v>
      </c>
      <c r="O111" s="36">
        <v>0</v>
      </c>
      <c r="P111" s="36">
        <v>0</v>
      </c>
      <c r="Q111" s="36">
        <v>3.49</v>
      </c>
      <c r="R111" s="38" t="str">
        <f t="shared" si="11"/>
        <v>SI</v>
      </c>
      <c r="S111" s="38" t="str">
        <f aca="true" t="shared" si="12" ref="S111:S157">IF(Q111&lt;=5,"Sin Riesgo",IF(Q111&lt;=14,"Bajo",IF(Q111&lt;=35,"Medio",IF(Q111&lt;=80,"Alto","Inviable Sanitariamente"))))</f>
        <v>Sin Riesgo</v>
      </c>
      <c r="T111" s="4"/>
      <c r="U111" s="4"/>
      <c r="V111" s="4"/>
      <c r="W111" s="4"/>
    </row>
    <row r="112" spans="1:23" ht="24.75" customHeight="1">
      <c r="A112" s="32" t="s">
        <v>162</v>
      </c>
      <c r="B112" s="33" t="s">
        <v>172</v>
      </c>
      <c r="C112" s="34" t="s">
        <v>261</v>
      </c>
      <c r="D112" s="35">
        <v>295</v>
      </c>
      <c r="E112" s="36"/>
      <c r="F112" s="36"/>
      <c r="G112" s="36"/>
      <c r="H112" s="36">
        <v>9.68</v>
      </c>
      <c r="I112" s="36">
        <v>0</v>
      </c>
      <c r="J112" s="36">
        <v>0</v>
      </c>
      <c r="K112" s="36">
        <v>9.09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2.45</v>
      </c>
      <c r="R112" s="38" t="str">
        <f t="shared" si="11"/>
        <v>SI</v>
      </c>
      <c r="S112" s="38" t="str">
        <f t="shared" si="12"/>
        <v>Sin Riesgo</v>
      </c>
      <c r="T112" s="4"/>
      <c r="U112" s="4"/>
      <c r="V112" s="4"/>
      <c r="W112" s="4"/>
    </row>
    <row r="113" spans="1:23" ht="24.75" customHeight="1">
      <c r="A113" s="32" t="s">
        <v>162</v>
      </c>
      <c r="B113" s="33" t="s">
        <v>112</v>
      </c>
      <c r="C113" s="34" t="s">
        <v>262</v>
      </c>
      <c r="D113" s="35">
        <v>22450</v>
      </c>
      <c r="E113" s="36"/>
      <c r="F113" s="36"/>
      <c r="G113" s="36"/>
      <c r="H113" s="36">
        <v>6.82</v>
      </c>
      <c r="I113" s="36">
        <v>0</v>
      </c>
      <c r="J113" s="36">
        <v>6.82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1.47</v>
      </c>
      <c r="R113" s="38" t="str">
        <f t="shared" si="11"/>
        <v>SI</v>
      </c>
      <c r="S113" s="38" t="str">
        <f t="shared" si="12"/>
        <v>Sin Riesgo</v>
      </c>
      <c r="T113" s="4"/>
      <c r="U113" s="4"/>
      <c r="V113" s="4"/>
      <c r="W113" s="4"/>
    </row>
    <row r="114" spans="1:23" ht="33.75" customHeight="1">
      <c r="A114" s="32" t="s">
        <v>163</v>
      </c>
      <c r="B114" s="33" t="s">
        <v>113</v>
      </c>
      <c r="C114" s="34" t="s">
        <v>224</v>
      </c>
      <c r="D114" s="35">
        <v>705</v>
      </c>
      <c r="E114" s="36"/>
      <c r="F114" s="36"/>
      <c r="G114" s="36"/>
      <c r="H114" s="36">
        <v>13.55</v>
      </c>
      <c r="I114" s="36">
        <v>43.41</v>
      </c>
      <c r="J114" s="36">
        <v>32.99</v>
      </c>
      <c r="K114" s="36">
        <v>0</v>
      </c>
      <c r="L114" s="36">
        <v>0</v>
      </c>
      <c r="M114" s="36">
        <v>0</v>
      </c>
      <c r="N114" s="36">
        <v>8.85</v>
      </c>
      <c r="O114" s="36">
        <v>35.48</v>
      </c>
      <c r="P114" s="36">
        <v>0</v>
      </c>
      <c r="Q114" s="36">
        <v>15.18</v>
      </c>
      <c r="R114" s="38" t="str">
        <f t="shared" si="11"/>
        <v>NO</v>
      </c>
      <c r="S114" s="38" t="str">
        <f t="shared" si="12"/>
        <v>Medio</v>
      </c>
      <c r="T114" s="4"/>
      <c r="U114" s="4"/>
      <c r="V114" s="4"/>
      <c r="W114" s="4"/>
    </row>
    <row r="115" spans="1:23" ht="24.75" customHeight="1">
      <c r="A115" s="32" t="s">
        <v>159</v>
      </c>
      <c r="B115" s="33" t="s">
        <v>114</v>
      </c>
      <c r="C115" s="34" t="s">
        <v>9</v>
      </c>
      <c r="D115" s="35">
        <v>11003</v>
      </c>
      <c r="E115" s="36"/>
      <c r="F115" s="36"/>
      <c r="G115" s="36">
        <v>0</v>
      </c>
      <c r="H115" s="36">
        <v>0</v>
      </c>
      <c r="I115" s="36">
        <v>17.7</v>
      </c>
      <c r="J115" s="36">
        <v>3.9</v>
      </c>
      <c r="K115" s="36"/>
      <c r="L115" s="36">
        <v>0</v>
      </c>
      <c r="M115" s="36">
        <v>0</v>
      </c>
      <c r="N115" s="36">
        <v>9.2</v>
      </c>
      <c r="O115" s="36">
        <v>3.9</v>
      </c>
      <c r="P115" s="36">
        <v>7.7</v>
      </c>
      <c r="Q115" s="36">
        <v>3.8</v>
      </c>
      <c r="R115" s="38" t="str">
        <f t="shared" si="11"/>
        <v>SI</v>
      </c>
      <c r="S115" s="38" t="str">
        <f t="shared" si="12"/>
        <v>Sin Riesgo</v>
      </c>
      <c r="T115" s="4"/>
      <c r="U115" s="4"/>
      <c r="V115" s="4"/>
      <c r="W115" s="4"/>
    </row>
    <row r="116" spans="1:23" ht="24.75" customHeight="1">
      <c r="A116" s="32" t="s">
        <v>164</v>
      </c>
      <c r="B116" s="33" t="s">
        <v>115</v>
      </c>
      <c r="C116" s="34" t="s">
        <v>263</v>
      </c>
      <c r="D116" s="35">
        <v>1814</v>
      </c>
      <c r="E116" s="36"/>
      <c r="F116" s="36"/>
      <c r="G116" s="36"/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8" t="str">
        <f t="shared" si="11"/>
        <v>SI</v>
      </c>
      <c r="S116" s="38" t="str">
        <f t="shared" si="12"/>
        <v>Sin Riesgo</v>
      </c>
      <c r="T116" s="4"/>
      <c r="U116" s="4"/>
      <c r="V116" s="4"/>
      <c r="W116" s="4"/>
    </row>
    <row r="117" spans="1:23" ht="24.75" customHeight="1">
      <c r="A117" s="32" t="s">
        <v>166</v>
      </c>
      <c r="B117" s="33" t="s">
        <v>116</v>
      </c>
      <c r="C117" s="34" t="s">
        <v>237</v>
      </c>
      <c r="D117" s="35">
        <v>672</v>
      </c>
      <c r="E117" s="36"/>
      <c r="F117" s="36"/>
      <c r="G117" s="36"/>
      <c r="H117" s="36"/>
      <c r="I117" s="36">
        <v>38.71</v>
      </c>
      <c r="J117" s="36">
        <v>0</v>
      </c>
      <c r="K117" s="36">
        <v>9.03</v>
      </c>
      <c r="L117" s="36">
        <v>15.3</v>
      </c>
      <c r="M117" s="36">
        <v>15.3</v>
      </c>
      <c r="N117" s="36">
        <v>15.3</v>
      </c>
      <c r="O117" s="36">
        <v>0</v>
      </c>
      <c r="P117" s="36">
        <v>0</v>
      </c>
      <c r="Q117" s="36">
        <v>10.17</v>
      </c>
      <c r="R117" s="38" t="str">
        <f t="shared" si="11"/>
        <v>NO</v>
      </c>
      <c r="S117" s="38" t="str">
        <f t="shared" si="12"/>
        <v>Bajo</v>
      </c>
      <c r="T117" s="4"/>
      <c r="U117" s="4"/>
      <c r="V117" s="4"/>
      <c r="W117" s="4"/>
    </row>
    <row r="118" spans="1:23" ht="24.75" customHeight="1">
      <c r="A118" s="32" t="s">
        <v>162</v>
      </c>
      <c r="B118" s="33" t="s">
        <v>117</v>
      </c>
      <c r="C118" s="34" t="s">
        <v>264</v>
      </c>
      <c r="D118" s="35">
        <v>2365</v>
      </c>
      <c r="E118" s="36"/>
      <c r="F118" s="36"/>
      <c r="G118" s="36"/>
      <c r="H118" s="36">
        <v>0</v>
      </c>
      <c r="I118" s="36">
        <v>0.64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0.09</v>
      </c>
      <c r="R118" s="38" t="str">
        <f t="shared" si="11"/>
        <v>SI</v>
      </c>
      <c r="S118" s="38" t="str">
        <f t="shared" si="12"/>
        <v>Sin Riesgo</v>
      </c>
      <c r="T118" s="4"/>
      <c r="U118" s="4"/>
      <c r="V118" s="4"/>
      <c r="W118" s="4"/>
    </row>
    <row r="119" spans="1:23" ht="24.75" customHeight="1">
      <c r="A119" s="32" t="s">
        <v>162</v>
      </c>
      <c r="B119" s="33" t="s">
        <v>118</v>
      </c>
      <c r="C119" s="34" t="s">
        <v>237</v>
      </c>
      <c r="D119" s="35">
        <v>598</v>
      </c>
      <c r="E119" s="36"/>
      <c r="F119" s="36"/>
      <c r="G119" s="36"/>
      <c r="H119" s="36">
        <v>0</v>
      </c>
      <c r="I119" s="36">
        <v>6.82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36.36</v>
      </c>
      <c r="P119" s="36">
        <v>0</v>
      </c>
      <c r="Q119" s="36">
        <v>4.55</v>
      </c>
      <c r="R119" s="38" t="str">
        <f t="shared" si="11"/>
        <v>SI</v>
      </c>
      <c r="S119" s="38" t="str">
        <f t="shared" si="12"/>
        <v>Sin Riesgo</v>
      </c>
      <c r="T119" s="4"/>
      <c r="U119" s="4"/>
      <c r="V119" s="4"/>
      <c r="W119" s="4"/>
    </row>
    <row r="120" spans="1:23" ht="24.75" customHeight="1">
      <c r="A120" s="32" t="s">
        <v>163</v>
      </c>
      <c r="B120" s="33" t="s">
        <v>119</v>
      </c>
      <c r="C120" s="34" t="s">
        <v>265</v>
      </c>
      <c r="D120" s="35">
        <v>1186</v>
      </c>
      <c r="E120" s="36"/>
      <c r="F120" s="36"/>
      <c r="G120" s="36"/>
      <c r="H120" s="36">
        <v>0</v>
      </c>
      <c r="I120" s="36">
        <v>0</v>
      </c>
      <c r="J120" s="36">
        <v>0</v>
      </c>
      <c r="K120" s="36">
        <v>0</v>
      </c>
      <c r="L120" s="36">
        <v>6.45</v>
      </c>
      <c r="M120" s="36">
        <v>0</v>
      </c>
      <c r="N120" s="36">
        <v>0</v>
      </c>
      <c r="O120" s="36">
        <v>0</v>
      </c>
      <c r="P120" s="36">
        <v>0</v>
      </c>
      <c r="Q120" s="36">
        <v>0.74</v>
      </c>
      <c r="R120" s="38" t="str">
        <f t="shared" si="11"/>
        <v>SI</v>
      </c>
      <c r="S120" s="38" t="str">
        <f t="shared" si="12"/>
        <v>Sin Riesgo</v>
      </c>
      <c r="T120" s="4"/>
      <c r="U120" s="4"/>
      <c r="V120" s="4"/>
      <c r="W120" s="4"/>
    </row>
    <row r="121" spans="1:23" ht="24.75" customHeight="1">
      <c r="A121" s="32" t="s">
        <v>173</v>
      </c>
      <c r="B121" s="33" t="s">
        <v>120</v>
      </c>
      <c r="C121" s="39" t="s">
        <v>184</v>
      </c>
      <c r="D121" s="40">
        <v>540</v>
      </c>
      <c r="E121" s="36"/>
      <c r="F121" s="36"/>
      <c r="G121" s="36"/>
      <c r="H121" s="36"/>
      <c r="I121" s="36">
        <v>0</v>
      </c>
      <c r="J121" s="36">
        <v>2.65</v>
      </c>
      <c r="K121" s="36">
        <v>9.09</v>
      </c>
      <c r="L121" s="36">
        <v>0</v>
      </c>
      <c r="M121" s="36">
        <v>0</v>
      </c>
      <c r="N121" s="36">
        <v>0</v>
      </c>
      <c r="O121" s="36">
        <v>4.12</v>
      </c>
      <c r="P121" s="36">
        <v>8.85</v>
      </c>
      <c r="Q121" s="36">
        <v>3.28</v>
      </c>
      <c r="R121" s="38" t="str">
        <f>IF(Q121&lt;=5,"SI","NO")</f>
        <v>SI</v>
      </c>
      <c r="S121" s="38" t="str">
        <f>IF(Q121&lt;=5,"Sin Riesgo",IF(Q121&lt;=14,"Bajo",IF(Q121&lt;=35,"Medio",IF(Q121&lt;=80,"Alto","Inviable Sanitariamente"))))</f>
        <v>Sin Riesgo</v>
      </c>
      <c r="T121" s="4"/>
      <c r="U121" s="4"/>
      <c r="V121" s="4"/>
      <c r="W121" s="4"/>
    </row>
    <row r="122" spans="1:23" ht="24.75" customHeight="1">
      <c r="A122" s="32" t="s">
        <v>167</v>
      </c>
      <c r="B122" s="33" t="s">
        <v>121</v>
      </c>
      <c r="C122" s="34" t="s">
        <v>253</v>
      </c>
      <c r="D122" s="35">
        <v>1094</v>
      </c>
      <c r="E122" s="36"/>
      <c r="F122" s="36"/>
      <c r="G122" s="36"/>
      <c r="H122" s="36">
        <v>100</v>
      </c>
      <c r="I122" s="36"/>
      <c r="J122" s="36"/>
      <c r="K122" s="36"/>
      <c r="L122" s="36"/>
      <c r="M122" s="36"/>
      <c r="N122" s="36"/>
      <c r="O122" s="36"/>
      <c r="P122" s="36"/>
      <c r="Q122" s="37">
        <v>100</v>
      </c>
      <c r="R122" s="38" t="str">
        <f aca="true" t="shared" si="13" ref="R122:R157">IF(Q122&lt;=5,"SI","NO")</f>
        <v>NO</v>
      </c>
      <c r="S122" s="38" t="str">
        <f t="shared" si="12"/>
        <v>Inviable Sanitariamente</v>
      </c>
      <c r="T122" s="4"/>
      <c r="U122" s="4"/>
      <c r="V122" s="4"/>
      <c r="W122" s="4"/>
    </row>
    <row r="123" spans="1:23" ht="36" customHeight="1">
      <c r="A123" s="32" t="s">
        <v>162</v>
      </c>
      <c r="B123" s="33" t="s">
        <v>122</v>
      </c>
      <c r="C123" s="34" t="s">
        <v>266</v>
      </c>
      <c r="D123" s="35">
        <v>550</v>
      </c>
      <c r="E123" s="36"/>
      <c r="F123" s="36"/>
      <c r="G123" s="36"/>
      <c r="H123" s="36">
        <v>0</v>
      </c>
      <c r="I123" s="36">
        <v>18.18</v>
      </c>
      <c r="J123" s="36">
        <v>6.45</v>
      </c>
      <c r="K123" s="36">
        <v>9.09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4.82</v>
      </c>
      <c r="R123" s="38" t="str">
        <f t="shared" si="13"/>
        <v>SI</v>
      </c>
      <c r="S123" s="38" t="str">
        <f t="shared" si="12"/>
        <v>Sin Riesgo</v>
      </c>
      <c r="T123" s="4"/>
      <c r="U123" s="4"/>
      <c r="V123" s="4"/>
      <c r="W123" s="4"/>
    </row>
    <row r="124" spans="1:23" ht="38.25" customHeight="1">
      <c r="A124" s="32" t="s">
        <v>162</v>
      </c>
      <c r="B124" s="33" t="s">
        <v>122</v>
      </c>
      <c r="C124" s="34" t="s">
        <v>267</v>
      </c>
      <c r="D124" s="35">
        <v>955</v>
      </c>
      <c r="E124" s="36"/>
      <c r="F124" s="36"/>
      <c r="G124" s="36"/>
      <c r="H124" s="36">
        <v>23.31</v>
      </c>
      <c r="I124" s="36">
        <v>9.09</v>
      </c>
      <c r="J124" s="36">
        <v>0</v>
      </c>
      <c r="K124" s="36">
        <v>11.67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4.95</v>
      </c>
      <c r="R124" s="38" t="str">
        <f t="shared" si="13"/>
        <v>SI</v>
      </c>
      <c r="S124" s="38" t="str">
        <f t="shared" si="12"/>
        <v>Sin Riesgo</v>
      </c>
      <c r="T124" s="4"/>
      <c r="U124" s="4"/>
      <c r="V124" s="4"/>
      <c r="W124" s="4"/>
    </row>
    <row r="125" spans="1:23" ht="24.75" customHeight="1">
      <c r="A125" s="32" t="s">
        <v>166</v>
      </c>
      <c r="B125" s="33" t="s">
        <v>123</v>
      </c>
      <c r="C125" s="39" t="s">
        <v>225</v>
      </c>
      <c r="D125" s="40">
        <v>2530</v>
      </c>
      <c r="E125" s="36"/>
      <c r="F125" s="36"/>
      <c r="G125" s="36"/>
      <c r="H125" s="36"/>
      <c r="I125" s="36">
        <v>17.86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0.81</v>
      </c>
      <c r="R125" s="38" t="str">
        <f t="shared" si="13"/>
        <v>SI</v>
      </c>
      <c r="S125" s="38" t="str">
        <f t="shared" si="12"/>
        <v>Sin Riesgo</v>
      </c>
      <c r="T125" s="4"/>
      <c r="U125" s="4"/>
      <c r="V125" s="4"/>
      <c r="W125" s="4"/>
    </row>
    <row r="126" spans="1:23" ht="24.75" customHeight="1">
      <c r="A126" s="32" t="s">
        <v>167</v>
      </c>
      <c r="B126" s="33" t="s">
        <v>124</v>
      </c>
      <c r="C126" s="34" t="s">
        <v>268</v>
      </c>
      <c r="D126" s="35">
        <v>2231</v>
      </c>
      <c r="E126" s="36"/>
      <c r="F126" s="36"/>
      <c r="G126" s="36"/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0.64</v>
      </c>
      <c r="O126" s="36">
        <v>27.14</v>
      </c>
      <c r="P126" s="36">
        <v>18.18</v>
      </c>
      <c r="Q126" s="36">
        <v>6.79</v>
      </c>
      <c r="R126" s="38" t="str">
        <f t="shared" si="13"/>
        <v>NO</v>
      </c>
      <c r="S126" s="38" t="str">
        <f t="shared" si="12"/>
        <v>Bajo</v>
      </c>
      <c r="T126" s="4"/>
      <c r="U126" s="4"/>
      <c r="V126" s="4"/>
      <c r="W126" s="4"/>
    </row>
    <row r="127" spans="1:23" ht="24.75" customHeight="1">
      <c r="A127" s="32" t="s">
        <v>162</v>
      </c>
      <c r="B127" s="33" t="s">
        <v>125</v>
      </c>
      <c r="C127" s="34" t="s">
        <v>269</v>
      </c>
      <c r="D127" s="35">
        <v>2024</v>
      </c>
      <c r="E127" s="36"/>
      <c r="F127" s="36"/>
      <c r="G127" s="36"/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8" t="str">
        <f t="shared" si="13"/>
        <v>SI</v>
      </c>
      <c r="S127" s="38" t="str">
        <f t="shared" si="12"/>
        <v>Sin Riesgo</v>
      </c>
      <c r="T127" s="4"/>
      <c r="U127" s="4"/>
      <c r="V127" s="4"/>
      <c r="W127" s="4"/>
    </row>
    <row r="128" spans="1:23" ht="24.75" customHeight="1">
      <c r="A128" s="32" t="s">
        <v>165</v>
      </c>
      <c r="B128" s="33" t="s">
        <v>126</v>
      </c>
      <c r="C128" s="34" t="s">
        <v>270</v>
      </c>
      <c r="D128" s="35">
        <v>1432</v>
      </c>
      <c r="E128" s="36"/>
      <c r="F128" s="36"/>
      <c r="G128" s="36"/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8" t="str">
        <f t="shared" si="13"/>
        <v>SI</v>
      </c>
      <c r="S128" s="38" t="str">
        <f t="shared" si="12"/>
        <v>Sin Riesgo</v>
      </c>
      <c r="T128" s="4"/>
      <c r="U128" s="4"/>
      <c r="V128" s="4"/>
      <c r="W128" s="4"/>
    </row>
    <row r="129" spans="1:23" ht="24.75" customHeight="1">
      <c r="A129" s="32" t="s">
        <v>162</v>
      </c>
      <c r="B129" s="33" t="s">
        <v>127</v>
      </c>
      <c r="C129" s="34" t="s">
        <v>15</v>
      </c>
      <c r="D129" s="35">
        <v>1773</v>
      </c>
      <c r="E129" s="36"/>
      <c r="F129" s="36"/>
      <c r="G129" s="36"/>
      <c r="H129" s="36">
        <v>0</v>
      </c>
      <c r="I129" s="36">
        <v>0.6</v>
      </c>
      <c r="J129" s="36">
        <v>0</v>
      </c>
      <c r="K129" s="36"/>
      <c r="L129" s="36">
        <v>0.5</v>
      </c>
      <c r="M129" s="36">
        <v>0</v>
      </c>
      <c r="N129" s="36">
        <v>0</v>
      </c>
      <c r="O129" s="36">
        <v>1</v>
      </c>
      <c r="P129" s="36">
        <v>0</v>
      </c>
      <c r="Q129" s="36">
        <v>0.28</v>
      </c>
      <c r="R129" s="38" t="str">
        <f t="shared" si="13"/>
        <v>SI</v>
      </c>
      <c r="S129" s="38" t="str">
        <f t="shared" si="12"/>
        <v>Sin Riesgo</v>
      </c>
      <c r="T129" s="4"/>
      <c r="U129" s="4"/>
      <c r="V129" s="4"/>
      <c r="W129" s="4"/>
    </row>
    <row r="130" spans="1:23" ht="24.75" customHeight="1">
      <c r="A130" s="32" t="s">
        <v>164</v>
      </c>
      <c r="B130" s="33" t="s">
        <v>128</v>
      </c>
      <c r="C130" s="34" t="s">
        <v>206</v>
      </c>
      <c r="D130" s="35">
        <v>3170</v>
      </c>
      <c r="E130" s="36"/>
      <c r="F130" s="36"/>
      <c r="G130" s="36"/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8" t="str">
        <f t="shared" si="13"/>
        <v>SI</v>
      </c>
      <c r="S130" s="38" t="str">
        <f t="shared" si="12"/>
        <v>Sin Riesgo</v>
      </c>
      <c r="T130" s="4"/>
      <c r="U130" s="4"/>
      <c r="V130" s="4"/>
      <c r="W130" s="4"/>
    </row>
    <row r="131" spans="1:23" ht="24.75" customHeight="1">
      <c r="A131" s="32" t="s">
        <v>166</v>
      </c>
      <c r="B131" s="33" t="s">
        <v>129</v>
      </c>
      <c r="C131" s="39" t="s">
        <v>184</v>
      </c>
      <c r="D131" s="40">
        <v>3662</v>
      </c>
      <c r="E131" s="36"/>
      <c r="F131" s="36"/>
      <c r="G131" s="36"/>
      <c r="H131" s="36"/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8" t="str">
        <f t="shared" si="13"/>
        <v>SI</v>
      </c>
      <c r="S131" s="38" t="str">
        <f t="shared" si="12"/>
        <v>Sin Riesgo</v>
      </c>
      <c r="T131" s="4"/>
      <c r="U131" s="4"/>
      <c r="V131" s="4"/>
      <c r="W131" s="4"/>
    </row>
    <row r="132" spans="1:23" ht="24.75" customHeight="1">
      <c r="A132" s="32" t="s">
        <v>163</v>
      </c>
      <c r="B132" s="33" t="s">
        <v>130</v>
      </c>
      <c r="C132" s="34" t="s">
        <v>242</v>
      </c>
      <c r="D132" s="35">
        <v>3749</v>
      </c>
      <c r="E132" s="36"/>
      <c r="F132" s="36"/>
      <c r="G132" s="36"/>
      <c r="H132" s="36">
        <v>0</v>
      </c>
      <c r="I132" s="36">
        <v>0</v>
      </c>
      <c r="J132" s="36">
        <v>6.45</v>
      </c>
      <c r="K132" s="36">
        <v>0</v>
      </c>
      <c r="L132" s="36">
        <v>0</v>
      </c>
      <c r="M132" s="36">
        <v>17.2</v>
      </c>
      <c r="N132" s="36">
        <v>0</v>
      </c>
      <c r="O132" s="36">
        <v>0</v>
      </c>
      <c r="P132" s="36">
        <v>0</v>
      </c>
      <c r="Q132" s="36">
        <v>2.73</v>
      </c>
      <c r="R132" s="38" t="str">
        <f t="shared" si="13"/>
        <v>SI</v>
      </c>
      <c r="S132" s="38" t="str">
        <f t="shared" si="12"/>
        <v>Sin Riesgo</v>
      </c>
      <c r="T132" s="4"/>
      <c r="U132" s="4"/>
      <c r="V132" s="4"/>
      <c r="W132" s="4"/>
    </row>
    <row r="133" spans="1:23" ht="34.5" customHeight="1">
      <c r="A133" s="32" t="s">
        <v>165</v>
      </c>
      <c r="B133" s="33" t="s">
        <v>131</v>
      </c>
      <c r="C133" s="34" t="s">
        <v>271</v>
      </c>
      <c r="D133" s="35">
        <v>951</v>
      </c>
      <c r="E133" s="36"/>
      <c r="F133" s="36"/>
      <c r="G133" s="36"/>
      <c r="H133" s="36">
        <v>0</v>
      </c>
      <c r="I133" s="36">
        <v>9.09</v>
      </c>
      <c r="J133" s="36">
        <v>0</v>
      </c>
      <c r="K133" s="36">
        <v>0</v>
      </c>
      <c r="L133" s="36">
        <v>2.58</v>
      </c>
      <c r="M133" s="36">
        <v>6.45</v>
      </c>
      <c r="N133" s="36">
        <v>0</v>
      </c>
      <c r="O133" s="36">
        <v>9.09</v>
      </c>
      <c r="P133" s="36">
        <v>9.09</v>
      </c>
      <c r="Q133" s="36">
        <v>4.36</v>
      </c>
      <c r="R133" s="38" t="str">
        <f t="shared" si="13"/>
        <v>SI</v>
      </c>
      <c r="S133" s="38" t="str">
        <f t="shared" si="12"/>
        <v>Sin Riesgo</v>
      </c>
      <c r="T133" s="4"/>
      <c r="U133" s="4"/>
      <c r="V133" s="4"/>
      <c r="W133" s="4"/>
    </row>
    <row r="134" spans="1:23" ht="24.75" customHeight="1">
      <c r="A134" s="32" t="s">
        <v>165</v>
      </c>
      <c r="B134" s="33" t="s">
        <v>132</v>
      </c>
      <c r="C134" s="34" t="s">
        <v>272</v>
      </c>
      <c r="D134" s="35">
        <v>5633</v>
      </c>
      <c r="E134" s="36"/>
      <c r="F134" s="36"/>
      <c r="G134" s="36"/>
      <c r="H134" s="36">
        <v>0</v>
      </c>
      <c r="I134" s="36">
        <v>0</v>
      </c>
      <c r="J134" s="36">
        <v>6.5</v>
      </c>
      <c r="K134" s="36">
        <v>0</v>
      </c>
      <c r="L134" s="36">
        <v>0</v>
      </c>
      <c r="M134" s="36">
        <v>12.9</v>
      </c>
      <c r="N134" s="36"/>
      <c r="O134" s="36">
        <v>4.8</v>
      </c>
      <c r="P134" s="36">
        <v>39</v>
      </c>
      <c r="Q134" s="36">
        <v>8.5</v>
      </c>
      <c r="R134" s="38" t="str">
        <f t="shared" si="13"/>
        <v>NO</v>
      </c>
      <c r="S134" s="38" t="str">
        <f t="shared" si="12"/>
        <v>Bajo</v>
      </c>
      <c r="T134" s="4"/>
      <c r="U134" s="4"/>
      <c r="V134" s="4"/>
      <c r="W134" s="4"/>
    </row>
    <row r="135" spans="1:23" ht="24.75" customHeight="1">
      <c r="A135" s="32" t="s">
        <v>162</v>
      </c>
      <c r="B135" s="39" t="s">
        <v>133</v>
      </c>
      <c r="C135" s="34" t="s">
        <v>242</v>
      </c>
      <c r="D135" s="35">
        <v>4803</v>
      </c>
      <c r="E135" s="36"/>
      <c r="F135" s="36"/>
      <c r="G135" s="36"/>
      <c r="H135" s="36"/>
      <c r="I135" s="36">
        <v>0</v>
      </c>
      <c r="J135" s="36">
        <v>0</v>
      </c>
      <c r="K135" s="36">
        <v>0</v>
      </c>
      <c r="L135" s="36">
        <v>1.17</v>
      </c>
      <c r="M135" s="36">
        <v>0</v>
      </c>
      <c r="N135" s="36">
        <v>0</v>
      </c>
      <c r="O135" s="36">
        <v>0</v>
      </c>
      <c r="P135" s="36">
        <v>0</v>
      </c>
      <c r="Q135" s="36">
        <v>0.16</v>
      </c>
      <c r="R135" s="38" t="str">
        <f t="shared" si="13"/>
        <v>SI</v>
      </c>
      <c r="S135" s="38" t="str">
        <f t="shared" si="12"/>
        <v>Sin Riesgo</v>
      </c>
      <c r="T135" s="4"/>
      <c r="U135" s="4"/>
      <c r="V135" s="4"/>
      <c r="W135" s="4"/>
    </row>
    <row r="136" spans="1:23" ht="24.75" customHeight="1">
      <c r="A136" s="32" t="s">
        <v>163</v>
      </c>
      <c r="B136" s="33" t="s">
        <v>134</v>
      </c>
      <c r="C136" s="34" t="s">
        <v>273</v>
      </c>
      <c r="D136" s="35">
        <v>1643</v>
      </c>
      <c r="E136" s="36"/>
      <c r="F136" s="36"/>
      <c r="G136" s="36"/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8" t="str">
        <f t="shared" si="13"/>
        <v>SI</v>
      </c>
      <c r="S136" s="38" t="str">
        <f t="shared" si="12"/>
        <v>Sin Riesgo</v>
      </c>
      <c r="T136" s="4"/>
      <c r="U136" s="4"/>
      <c r="V136" s="4"/>
      <c r="W136" s="4"/>
    </row>
    <row r="137" spans="1:23" ht="33.75" customHeight="1">
      <c r="A137" s="32" t="s">
        <v>164</v>
      </c>
      <c r="B137" s="33" t="s">
        <v>135</v>
      </c>
      <c r="C137" s="34" t="s">
        <v>274</v>
      </c>
      <c r="D137" s="35">
        <v>2145</v>
      </c>
      <c r="E137" s="36"/>
      <c r="F137" s="36"/>
      <c r="G137" s="36"/>
      <c r="H137" s="36">
        <v>0</v>
      </c>
      <c r="I137" s="36">
        <v>1.91</v>
      </c>
      <c r="J137" s="36">
        <v>23.3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2.09</v>
      </c>
      <c r="R137" s="38" t="str">
        <f t="shared" si="13"/>
        <v>SI</v>
      </c>
      <c r="S137" s="38" t="str">
        <f t="shared" si="12"/>
        <v>Sin Riesgo</v>
      </c>
      <c r="T137" s="4"/>
      <c r="U137" s="4"/>
      <c r="V137" s="4"/>
      <c r="W137" s="4"/>
    </row>
    <row r="138" spans="1:23" ht="24.75" customHeight="1">
      <c r="A138" s="32" t="s">
        <v>168</v>
      </c>
      <c r="B138" s="45" t="s">
        <v>136</v>
      </c>
      <c r="C138" s="34" t="s">
        <v>221</v>
      </c>
      <c r="D138" s="35">
        <v>3139</v>
      </c>
      <c r="E138" s="36"/>
      <c r="F138" s="36"/>
      <c r="G138" s="36"/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8" t="str">
        <f t="shared" si="13"/>
        <v>SI</v>
      </c>
      <c r="S138" s="38" t="str">
        <f t="shared" si="12"/>
        <v>Sin Riesgo</v>
      </c>
      <c r="T138" s="4"/>
      <c r="U138" s="4"/>
      <c r="V138" s="4"/>
      <c r="W138" s="4"/>
    </row>
    <row r="139" spans="1:23" ht="24.75" customHeight="1">
      <c r="A139" s="32" t="s">
        <v>164</v>
      </c>
      <c r="B139" s="33" t="s">
        <v>137</v>
      </c>
      <c r="C139" s="34" t="s">
        <v>275</v>
      </c>
      <c r="D139" s="35">
        <v>838</v>
      </c>
      <c r="E139" s="36"/>
      <c r="F139" s="36"/>
      <c r="G139" s="36"/>
      <c r="H139" s="36">
        <v>13.6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1.05</v>
      </c>
      <c r="R139" s="38" t="str">
        <f t="shared" si="13"/>
        <v>SI</v>
      </c>
      <c r="S139" s="38" t="str">
        <f t="shared" si="12"/>
        <v>Sin Riesgo</v>
      </c>
      <c r="T139" s="4"/>
      <c r="U139" s="4"/>
      <c r="V139" s="4"/>
      <c r="W139" s="4"/>
    </row>
    <row r="140" spans="1:23" ht="24.75" customHeight="1">
      <c r="A140" s="32" t="s">
        <v>164</v>
      </c>
      <c r="B140" s="33" t="s">
        <v>138</v>
      </c>
      <c r="C140" s="39" t="s">
        <v>184</v>
      </c>
      <c r="D140" s="40">
        <v>1349</v>
      </c>
      <c r="E140" s="36"/>
      <c r="F140" s="36"/>
      <c r="G140" s="36"/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8" t="str">
        <f t="shared" si="13"/>
        <v>SI</v>
      </c>
      <c r="S140" s="38" t="str">
        <f t="shared" si="12"/>
        <v>Sin Riesgo</v>
      </c>
      <c r="T140" s="4"/>
      <c r="U140" s="4"/>
      <c r="V140" s="4"/>
      <c r="W140" s="4"/>
    </row>
    <row r="141" spans="1:23" ht="34.5" customHeight="1">
      <c r="A141" s="32" t="s">
        <v>164</v>
      </c>
      <c r="B141" s="33" t="s">
        <v>138</v>
      </c>
      <c r="C141" s="39" t="s">
        <v>276</v>
      </c>
      <c r="D141" s="40">
        <v>76</v>
      </c>
      <c r="E141" s="36"/>
      <c r="F141" s="36"/>
      <c r="G141" s="36"/>
      <c r="H141" s="36">
        <v>0</v>
      </c>
      <c r="I141" s="36">
        <v>0</v>
      </c>
      <c r="J141" s="36">
        <v>0</v>
      </c>
      <c r="K141" s="36">
        <v>0</v>
      </c>
      <c r="L141" s="36">
        <v>8.85</v>
      </c>
      <c r="M141" s="36">
        <v>0</v>
      </c>
      <c r="N141" s="36">
        <v>0</v>
      </c>
      <c r="O141" s="36">
        <v>0</v>
      </c>
      <c r="P141" s="36">
        <v>0</v>
      </c>
      <c r="Q141" s="36">
        <v>1.11</v>
      </c>
      <c r="R141" s="38" t="str">
        <f t="shared" si="13"/>
        <v>SI</v>
      </c>
      <c r="S141" s="38" t="str">
        <f t="shared" si="12"/>
        <v>Sin Riesgo</v>
      </c>
      <c r="T141" s="4"/>
      <c r="U141" s="4"/>
      <c r="V141" s="4"/>
      <c r="W141" s="4"/>
    </row>
    <row r="142" spans="1:23" ht="34.5" customHeight="1">
      <c r="A142" s="32" t="s">
        <v>164</v>
      </c>
      <c r="B142" s="33" t="s">
        <v>138</v>
      </c>
      <c r="C142" s="39" t="s">
        <v>226</v>
      </c>
      <c r="D142" s="40">
        <v>121</v>
      </c>
      <c r="E142" s="36"/>
      <c r="F142" s="36"/>
      <c r="G142" s="36"/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6.45</v>
      </c>
      <c r="N142" s="36">
        <v>0</v>
      </c>
      <c r="O142" s="36">
        <v>0</v>
      </c>
      <c r="P142" s="36">
        <v>8.85</v>
      </c>
      <c r="Q142" s="36">
        <v>1.77</v>
      </c>
      <c r="R142" s="38" t="str">
        <f>IF(Q142&lt;=5,"SI","NO")</f>
        <v>SI</v>
      </c>
      <c r="S142" s="38" t="str">
        <f>IF(Q142&lt;=5,"Sin Riesgo",IF(Q142&lt;=14,"Bajo",IF(Q142&lt;=35,"Medio",IF(Q142&lt;=80,"Alto","Inviable Sanitariamente"))))</f>
        <v>Sin Riesgo</v>
      </c>
      <c r="T142" s="4"/>
      <c r="U142" s="4"/>
      <c r="V142" s="4"/>
      <c r="W142" s="4"/>
    </row>
    <row r="143" spans="1:23" ht="24.75" customHeight="1">
      <c r="A143" s="32" t="s">
        <v>166</v>
      </c>
      <c r="B143" s="33" t="s">
        <v>139</v>
      </c>
      <c r="C143" s="34" t="s">
        <v>234</v>
      </c>
      <c r="D143" s="35">
        <v>391</v>
      </c>
      <c r="E143" s="36"/>
      <c r="F143" s="36"/>
      <c r="G143" s="36"/>
      <c r="H143" s="36"/>
      <c r="I143" s="36">
        <v>84.15</v>
      </c>
      <c r="J143" s="36">
        <v>97.34</v>
      </c>
      <c r="K143" s="36">
        <v>48.89</v>
      </c>
      <c r="L143" s="36">
        <v>75.4</v>
      </c>
      <c r="M143" s="36">
        <v>82.59</v>
      </c>
      <c r="N143" s="36">
        <v>63.04</v>
      </c>
      <c r="O143" s="36">
        <v>39.93</v>
      </c>
      <c r="P143" s="36">
        <v>53.09</v>
      </c>
      <c r="Q143" s="36">
        <v>65.35</v>
      </c>
      <c r="R143" s="38" t="str">
        <f t="shared" si="13"/>
        <v>NO</v>
      </c>
      <c r="S143" s="38" t="str">
        <f t="shared" si="12"/>
        <v>Alto</v>
      </c>
      <c r="T143" s="4"/>
      <c r="U143" s="4"/>
      <c r="V143" s="4"/>
      <c r="W143" s="4"/>
    </row>
    <row r="144" spans="1:23" ht="24.75" customHeight="1">
      <c r="A144" s="32" t="s">
        <v>167</v>
      </c>
      <c r="B144" s="33" t="s">
        <v>140</v>
      </c>
      <c r="C144" s="34" t="s">
        <v>242</v>
      </c>
      <c r="D144" s="35">
        <v>7974</v>
      </c>
      <c r="E144" s="36"/>
      <c r="F144" s="36"/>
      <c r="G144" s="36"/>
      <c r="H144" s="36">
        <v>0</v>
      </c>
      <c r="I144" s="36">
        <v>14.54</v>
      </c>
      <c r="J144" s="36">
        <v>0</v>
      </c>
      <c r="K144" s="36">
        <v>0</v>
      </c>
      <c r="L144" s="36">
        <v>0</v>
      </c>
      <c r="M144" s="36">
        <v>23.72</v>
      </c>
      <c r="N144" s="36">
        <v>0</v>
      </c>
      <c r="O144" s="36">
        <v>0</v>
      </c>
      <c r="P144" s="36">
        <v>35.4</v>
      </c>
      <c r="Q144" s="36">
        <v>7.94</v>
      </c>
      <c r="R144" s="38" t="str">
        <f t="shared" si="13"/>
        <v>NO</v>
      </c>
      <c r="S144" s="38" t="str">
        <f t="shared" si="12"/>
        <v>Bajo</v>
      </c>
      <c r="T144" s="4"/>
      <c r="U144" s="4"/>
      <c r="V144" s="4"/>
      <c r="W144" s="4"/>
    </row>
    <row r="145" spans="1:23" ht="35.25" customHeight="1">
      <c r="A145" s="32" t="s">
        <v>163</v>
      </c>
      <c r="B145" s="33" t="s">
        <v>141</v>
      </c>
      <c r="C145" s="34" t="s">
        <v>227</v>
      </c>
      <c r="D145" s="35">
        <v>603</v>
      </c>
      <c r="E145" s="36"/>
      <c r="F145" s="36"/>
      <c r="G145" s="36"/>
      <c r="H145" s="36"/>
      <c r="I145" s="36">
        <v>42.52</v>
      </c>
      <c r="J145" s="36">
        <v>100</v>
      </c>
      <c r="K145" s="36">
        <v>56.59</v>
      </c>
      <c r="L145" s="36">
        <v>0</v>
      </c>
      <c r="M145" s="36">
        <v>0</v>
      </c>
      <c r="N145" s="36">
        <v>64.95</v>
      </c>
      <c r="O145" s="36">
        <v>37.61</v>
      </c>
      <c r="P145" s="36">
        <v>0</v>
      </c>
      <c r="Q145" s="36">
        <v>34.13</v>
      </c>
      <c r="R145" s="38" t="str">
        <f t="shared" si="13"/>
        <v>NO</v>
      </c>
      <c r="S145" s="38" t="str">
        <f t="shared" si="12"/>
        <v>Medio</v>
      </c>
      <c r="T145" s="4"/>
      <c r="U145" s="4"/>
      <c r="V145" s="4"/>
      <c r="W145" s="4"/>
    </row>
    <row r="146" spans="1:23" ht="36.75" customHeight="1">
      <c r="A146" s="32" t="s">
        <v>163</v>
      </c>
      <c r="B146" s="33" t="s">
        <v>141</v>
      </c>
      <c r="C146" s="34" t="s">
        <v>228</v>
      </c>
      <c r="D146" s="35">
        <v>87</v>
      </c>
      <c r="E146" s="36"/>
      <c r="F146" s="36"/>
      <c r="G146" s="36"/>
      <c r="H146" s="36">
        <v>0</v>
      </c>
      <c r="I146" s="36">
        <v>25</v>
      </c>
      <c r="J146" s="36">
        <v>0</v>
      </c>
      <c r="K146" s="36">
        <v>56.65</v>
      </c>
      <c r="L146" s="36">
        <v>64.25</v>
      </c>
      <c r="M146" s="36">
        <v>88.55</v>
      </c>
      <c r="N146" s="36">
        <v>73.98</v>
      </c>
      <c r="O146" s="36">
        <v>64.95</v>
      </c>
      <c r="P146" s="36">
        <v>58.35</v>
      </c>
      <c r="Q146" s="36">
        <v>48.53</v>
      </c>
      <c r="R146" s="38" t="str">
        <f t="shared" si="13"/>
        <v>NO</v>
      </c>
      <c r="S146" s="38" t="str">
        <f t="shared" si="12"/>
        <v>Alto</v>
      </c>
      <c r="T146" s="4"/>
      <c r="U146" s="4"/>
      <c r="V146" s="4"/>
      <c r="W146" s="4"/>
    </row>
    <row r="147" spans="1:23" ht="24.75" customHeight="1">
      <c r="A147" s="32" t="s">
        <v>164</v>
      </c>
      <c r="B147" s="33" t="s">
        <v>142</v>
      </c>
      <c r="C147" s="34" t="s">
        <v>229</v>
      </c>
      <c r="D147" s="35">
        <v>4201</v>
      </c>
      <c r="E147" s="36"/>
      <c r="F147" s="36"/>
      <c r="G147" s="36"/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8" t="str">
        <f t="shared" si="13"/>
        <v>SI</v>
      </c>
      <c r="S147" s="38" t="str">
        <f t="shared" si="12"/>
        <v>Sin Riesgo</v>
      </c>
      <c r="T147" s="4"/>
      <c r="U147" s="4"/>
      <c r="V147" s="4"/>
      <c r="W147" s="4"/>
    </row>
    <row r="148" spans="1:23" ht="32.25" customHeight="1">
      <c r="A148" s="32" t="s">
        <v>166</v>
      </c>
      <c r="B148" s="33" t="s">
        <v>143</v>
      </c>
      <c r="C148" s="34" t="s">
        <v>277</v>
      </c>
      <c r="D148" s="35">
        <v>876</v>
      </c>
      <c r="E148" s="36"/>
      <c r="F148" s="36"/>
      <c r="G148" s="36"/>
      <c r="H148" s="36"/>
      <c r="I148" s="36">
        <v>13.6</v>
      </c>
      <c r="J148" s="36">
        <v>13.64</v>
      </c>
      <c r="K148" s="36">
        <v>0</v>
      </c>
      <c r="L148" s="36">
        <v>8.85</v>
      </c>
      <c r="M148" s="36">
        <v>8.85</v>
      </c>
      <c r="N148" s="36">
        <v>0</v>
      </c>
      <c r="O148" s="36">
        <v>0</v>
      </c>
      <c r="P148" s="36">
        <v>0</v>
      </c>
      <c r="Q148" s="36">
        <v>4.89</v>
      </c>
      <c r="R148" s="38" t="str">
        <f t="shared" si="13"/>
        <v>SI</v>
      </c>
      <c r="S148" s="38" t="str">
        <f t="shared" si="12"/>
        <v>Sin Riesgo</v>
      </c>
      <c r="T148" s="4"/>
      <c r="U148" s="4"/>
      <c r="V148" s="4"/>
      <c r="W148" s="4"/>
    </row>
    <row r="149" spans="1:23" ht="34.5" customHeight="1">
      <c r="A149" s="32" t="s">
        <v>164</v>
      </c>
      <c r="B149" s="41" t="s">
        <v>144</v>
      </c>
      <c r="C149" s="34" t="s">
        <v>278</v>
      </c>
      <c r="D149" s="35">
        <v>1067</v>
      </c>
      <c r="E149" s="36"/>
      <c r="F149" s="36"/>
      <c r="G149" s="36"/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9.09</v>
      </c>
      <c r="O149" s="36">
        <v>0</v>
      </c>
      <c r="P149" s="36">
        <v>6.45</v>
      </c>
      <c r="Q149" s="36">
        <v>1.79</v>
      </c>
      <c r="R149" s="38" t="str">
        <f t="shared" si="13"/>
        <v>SI</v>
      </c>
      <c r="S149" s="38" t="str">
        <f t="shared" si="12"/>
        <v>Sin Riesgo</v>
      </c>
      <c r="T149" s="4"/>
      <c r="U149" s="4"/>
      <c r="V149" s="4"/>
      <c r="W149" s="4"/>
    </row>
    <row r="150" spans="1:23" ht="24.75" customHeight="1">
      <c r="A150" s="32" t="s">
        <v>165</v>
      </c>
      <c r="B150" s="33" t="s">
        <v>145</v>
      </c>
      <c r="C150" s="34" t="s">
        <v>279</v>
      </c>
      <c r="D150" s="35">
        <v>1870</v>
      </c>
      <c r="E150" s="36"/>
      <c r="F150" s="36"/>
      <c r="G150" s="36"/>
      <c r="H150" s="36"/>
      <c r="I150" s="36">
        <v>0</v>
      </c>
      <c r="J150" s="36">
        <v>9.09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1.95</v>
      </c>
      <c r="R150" s="38" t="str">
        <f t="shared" si="13"/>
        <v>SI</v>
      </c>
      <c r="S150" s="38" t="str">
        <f t="shared" si="12"/>
        <v>Sin Riesgo</v>
      </c>
      <c r="T150" s="4"/>
      <c r="U150" s="4"/>
      <c r="V150" s="4"/>
      <c r="W150" s="4"/>
    </row>
    <row r="151" spans="1:23" s="6" customFormat="1" ht="24.75" customHeight="1">
      <c r="A151" s="46" t="s">
        <v>164</v>
      </c>
      <c r="B151" s="41" t="s">
        <v>146</v>
      </c>
      <c r="C151" s="39" t="s">
        <v>230</v>
      </c>
      <c r="D151" s="40">
        <v>1594</v>
      </c>
      <c r="E151" s="36"/>
      <c r="F151" s="36"/>
      <c r="G151" s="36"/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8" t="str">
        <f t="shared" si="13"/>
        <v>SI</v>
      </c>
      <c r="S151" s="38" t="str">
        <f t="shared" si="12"/>
        <v>Sin Riesgo</v>
      </c>
      <c r="T151" s="4"/>
      <c r="U151" s="4"/>
      <c r="V151" s="4"/>
      <c r="W151" s="4"/>
    </row>
    <row r="152" spans="1:23" ht="24.75" customHeight="1">
      <c r="A152" s="32" t="s">
        <v>167</v>
      </c>
      <c r="B152" s="33" t="s">
        <v>147</v>
      </c>
      <c r="C152" s="34" t="s">
        <v>253</v>
      </c>
      <c r="D152" s="3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8" t="s">
        <v>232</v>
      </c>
      <c r="S152" s="38" t="s">
        <v>232</v>
      </c>
      <c r="T152" s="4"/>
      <c r="U152" s="4"/>
      <c r="V152" s="4"/>
      <c r="W152" s="4"/>
    </row>
    <row r="153" spans="1:23" ht="24.75" customHeight="1">
      <c r="A153" s="32" t="s">
        <v>165</v>
      </c>
      <c r="B153" s="33" t="s">
        <v>148</v>
      </c>
      <c r="C153" s="39" t="s">
        <v>225</v>
      </c>
      <c r="D153" s="40">
        <v>917</v>
      </c>
      <c r="E153" s="36"/>
      <c r="F153" s="36"/>
      <c r="G153" s="36"/>
      <c r="H153" s="36"/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8" t="str">
        <f t="shared" si="13"/>
        <v>SI</v>
      </c>
      <c r="S153" s="38" t="str">
        <f t="shared" si="12"/>
        <v>Sin Riesgo</v>
      </c>
      <c r="T153" s="4"/>
      <c r="U153" s="4"/>
      <c r="V153" s="4"/>
      <c r="W153" s="4"/>
    </row>
    <row r="154" spans="1:23" ht="24.75" customHeight="1">
      <c r="A154" s="32" t="s">
        <v>166</v>
      </c>
      <c r="B154" s="41" t="s">
        <v>149</v>
      </c>
      <c r="C154" s="34" t="s">
        <v>231</v>
      </c>
      <c r="D154" s="35">
        <v>6284</v>
      </c>
      <c r="E154" s="36"/>
      <c r="F154" s="36"/>
      <c r="G154" s="36"/>
      <c r="H154" s="36"/>
      <c r="I154" s="36">
        <v>0</v>
      </c>
      <c r="J154" s="36">
        <v>6.23</v>
      </c>
      <c r="K154" s="36">
        <v>0.39</v>
      </c>
      <c r="L154" s="36">
        <v>0.53</v>
      </c>
      <c r="M154" s="36">
        <v>0.77</v>
      </c>
      <c r="N154" s="36">
        <v>0.77</v>
      </c>
      <c r="O154" s="36">
        <v>0.53</v>
      </c>
      <c r="P154" s="36">
        <v>0</v>
      </c>
      <c r="Q154" s="36">
        <v>1.28</v>
      </c>
      <c r="R154" s="38" t="str">
        <f t="shared" si="13"/>
        <v>SI</v>
      </c>
      <c r="S154" s="38" t="str">
        <f t="shared" si="12"/>
        <v>Sin Riesgo</v>
      </c>
      <c r="T154" s="13"/>
      <c r="U154" s="4"/>
      <c r="V154" s="4"/>
      <c r="W154" s="4"/>
    </row>
    <row r="155" spans="1:23" ht="24.75" customHeight="1">
      <c r="A155" s="32" t="s">
        <v>165</v>
      </c>
      <c r="B155" s="33" t="s">
        <v>150</v>
      </c>
      <c r="C155" s="34" t="s">
        <v>280</v>
      </c>
      <c r="D155" s="35">
        <v>1536</v>
      </c>
      <c r="E155" s="36"/>
      <c r="F155" s="36"/>
      <c r="G155" s="36"/>
      <c r="H155" s="36">
        <v>0</v>
      </c>
      <c r="I155" s="36">
        <v>9.09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4.84</v>
      </c>
      <c r="P155" s="36">
        <v>0</v>
      </c>
      <c r="Q155" s="36">
        <v>1.79</v>
      </c>
      <c r="R155" s="38" t="str">
        <f t="shared" si="13"/>
        <v>SI</v>
      </c>
      <c r="S155" s="38" t="str">
        <f t="shared" si="12"/>
        <v>Sin Riesgo</v>
      </c>
      <c r="T155" s="4"/>
      <c r="U155" s="4"/>
      <c r="V155" s="4"/>
      <c r="W155" s="4"/>
    </row>
    <row r="156" spans="1:23" ht="34.5" customHeight="1">
      <c r="A156" s="32" t="s">
        <v>169</v>
      </c>
      <c r="B156" s="33" t="s">
        <v>151</v>
      </c>
      <c r="C156" s="34" t="s">
        <v>281</v>
      </c>
      <c r="D156" s="35">
        <v>1434</v>
      </c>
      <c r="E156" s="36"/>
      <c r="F156" s="36"/>
      <c r="G156" s="36"/>
      <c r="H156" s="36"/>
      <c r="I156" s="36">
        <v>0</v>
      </c>
      <c r="J156" s="36">
        <v>13.6</v>
      </c>
      <c r="K156" s="36">
        <v>50</v>
      </c>
      <c r="L156" s="36">
        <v>3.9</v>
      </c>
      <c r="M156" s="36">
        <v>0</v>
      </c>
      <c r="N156" s="36"/>
      <c r="O156" s="36">
        <v>0</v>
      </c>
      <c r="P156" s="36">
        <v>0</v>
      </c>
      <c r="Q156" s="37">
        <v>7.5</v>
      </c>
      <c r="R156" s="38" t="str">
        <f t="shared" si="13"/>
        <v>NO</v>
      </c>
      <c r="S156" s="38" t="str">
        <f t="shared" si="12"/>
        <v>Bajo</v>
      </c>
      <c r="T156" s="4"/>
      <c r="U156" s="4"/>
      <c r="V156" s="4"/>
      <c r="W156" s="4"/>
    </row>
    <row r="157" spans="1:23" ht="24.75" customHeight="1">
      <c r="A157" s="32" t="s">
        <v>168</v>
      </c>
      <c r="B157" s="32" t="s">
        <v>160</v>
      </c>
      <c r="C157" s="34" t="s">
        <v>234</v>
      </c>
      <c r="D157" s="35">
        <v>2778</v>
      </c>
      <c r="E157" s="36"/>
      <c r="F157" s="36"/>
      <c r="G157" s="36"/>
      <c r="H157" s="36"/>
      <c r="I157" s="36">
        <v>10.6</v>
      </c>
      <c r="J157" s="36">
        <v>0</v>
      </c>
      <c r="K157" s="36">
        <v>0</v>
      </c>
      <c r="L157" s="36">
        <v>0.6</v>
      </c>
      <c r="M157" s="36">
        <v>0</v>
      </c>
      <c r="N157" s="36">
        <v>0</v>
      </c>
      <c r="O157" s="36">
        <v>0</v>
      </c>
      <c r="P157" s="36">
        <v>0</v>
      </c>
      <c r="Q157" s="37">
        <v>1</v>
      </c>
      <c r="R157" s="38" t="str">
        <f t="shared" si="13"/>
        <v>SI</v>
      </c>
      <c r="S157" s="38" t="str">
        <f t="shared" si="12"/>
        <v>Sin Riesgo</v>
      </c>
      <c r="T157" s="4"/>
      <c r="U157" s="4"/>
      <c r="V157" s="4"/>
      <c r="W157" s="4"/>
    </row>
    <row r="158" spans="2:6" ht="12.75">
      <c r="B158" s="10"/>
      <c r="C158" s="10"/>
      <c r="D158" s="10"/>
      <c r="E158" s="10"/>
      <c r="F158" s="10"/>
    </row>
    <row r="159" spans="1:19" ht="15">
      <c r="A159" s="31" t="s">
        <v>29</v>
      </c>
      <c r="B159" s="31"/>
      <c r="C159" s="31"/>
      <c r="D159" s="31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2:17" ht="12.75">
      <c r="B160" s="21"/>
      <c r="C160" s="12"/>
      <c r="D160" s="12"/>
      <c r="E160" s="11"/>
      <c r="F160" s="11"/>
      <c r="J160" s="14"/>
      <c r="K160" s="14"/>
      <c r="L160" s="14"/>
      <c r="M160" s="14"/>
      <c r="N160" s="14"/>
      <c r="O160" s="14"/>
      <c r="P160" s="14"/>
      <c r="Q160" s="7" t="s">
        <v>10</v>
      </c>
    </row>
    <row r="161" spans="2:6" ht="14.25">
      <c r="B161" s="57"/>
      <c r="C161" s="57"/>
      <c r="D161" s="57"/>
      <c r="E161" s="57"/>
      <c r="F161" s="57"/>
    </row>
    <row r="162" spans="2:1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2:1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2:1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2:1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2:1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2:16" ht="15.75">
      <c r="B167" s="10"/>
      <c r="C167" s="10"/>
      <c r="D167" s="55"/>
      <c r="E167" s="56"/>
      <c r="F167" s="56"/>
      <c r="G167" s="56"/>
      <c r="H167" s="56"/>
      <c r="I167" s="56"/>
      <c r="J167" s="56"/>
      <c r="K167" s="56"/>
      <c r="L167" s="56"/>
      <c r="M167" s="56"/>
      <c r="N167" s="10"/>
      <c r="O167" s="10"/>
      <c r="P167" s="10"/>
    </row>
    <row r="168" spans="2:16" ht="15">
      <c r="B168" s="10"/>
      <c r="C168" s="10"/>
      <c r="D168" s="51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10"/>
      <c r="P168" s="10"/>
    </row>
    <row r="169" spans="2:16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2:1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2:1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2:1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2:1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2:1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2:1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2:1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</sheetData>
  <sheetProtection/>
  <mergeCells count="36">
    <mergeCell ref="D5:E6"/>
    <mergeCell ref="F5:H6"/>
    <mergeCell ref="I5:K6"/>
    <mergeCell ref="L5:N6"/>
    <mergeCell ref="O5:Q6"/>
    <mergeCell ref="AI1:AI5"/>
    <mergeCell ref="Z1:Z5"/>
    <mergeCell ref="AA1:AA5"/>
    <mergeCell ref="AB1:AB5"/>
    <mergeCell ref="AC1:AC5"/>
    <mergeCell ref="AD1:AD5"/>
    <mergeCell ref="AE1:AE5"/>
    <mergeCell ref="X1:X5"/>
    <mergeCell ref="Y1:Y5"/>
    <mergeCell ref="AF1:AF5"/>
    <mergeCell ref="AG1:AG5"/>
    <mergeCell ref="AH1:AH5"/>
    <mergeCell ref="V1:V5"/>
    <mergeCell ref="U1:U5"/>
    <mergeCell ref="W1:W5"/>
    <mergeCell ref="R5:S6"/>
    <mergeCell ref="S8:S9"/>
    <mergeCell ref="E8:P8"/>
    <mergeCell ref="R8:R9"/>
    <mergeCell ref="B1:S1"/>
    <mergeCell ref="B2:S2"/>
    <mergeCell ref="B3:S3"/>
    <mergeCell ref="C5:C6"/>
    <mergeCell ref="D168:N168"/>
    <mergeCell ref="D8:D9"/>
    <mergeCell ref="D167:M167"/>
    <mergeCell ref="B161:F161"/>
    <mergeCell ref="Q8:Q9"/>
    <mergeCell ref="A8:A9"/>
    <mergeCell ref="B8:B9"/>
    <mergeCell ref="C8:C9"/>
  </mergeCells>
  <conditionalFormatting sqref="E96:G97 J65:Q65 N72:Q72 E66:G66 E100:Q100 E156:Q157 E92:H94 E76:L76 E122:Q122 E115:L116 E134:L134 E10:G11 Q10 P11:Q11 E17:G18 E19:H19 E39:Q39 E20:G35 E36:H38 E41:Q41 E40:H40 E54:Q54 E42:G53 Q51:Q53 E64:Q64 E55:G63 E73:G75 E77:G91 E99:G99 E101:G114 E117:G121 E123:G124 E125:H130 E131:G133 E135:G141 E143:G155">
    <cfRule type="containsBlanks" priority="556" dxfId="2" stopIfTrue="1">
      <formula>LEN(TRIM(E10))=0</formula>
    </cfRule>
    <cfRule type="cellIs" priority="557" dxfId="1" operator="between" stopIfTrue="1">
      <formula>80.1</formula>
      <formula>100</formula>
    </cfRule>
    <cfRule type="cellIs" priority="558" dxfId="0" operator="between" stopIfTrue="1">
      <formula>35.1</formula>
      <formula>80</formula>
    </cfRule>
    <cfRule type="cellIs" priority="559" dxfId="56" operator="between" stopIfTrue="1">
      <formula>14.1</formula>
      <formula>35</formula>
    </cfRule>
    <cfRule type="cellIs" priority="560" dxfId="138" operator="between" stopIfTrue="1">
      <formula>5.1</formula>
      <formula>14</formula>
    </cfRule>
    <cfRule type="cellIs" priority="561" dxfId="55" operator="between" stopIfTrue="1">
      <formula>0</formula>
      <formula>5</formula>
    </cfRule>
    <cfRule type="containsBlanks" priority="562" dxfId="2" stopIfTrue="1">
      <formula>LEN(TRIM(E10))=0</formula>
    </cfRule>
  </conditionalFormatting>
  <conditionalFormatting sqref="S10:S39 S99:S141 S143:S157 S41:S97">
    <cfRule type="cellIs" priority="410" dxfId="59" operator="equal" stopIfTrue="1">
      <formula>"INVIABLE SANITARIAMENTE"</formula>
    </cfRule>
  </conditionalFormatting>
  <conditionalFormatting sqref="S10:S39 S99:S141 S143:S157 S41:S97">
    <cfRule type="containsText" priority="405" dxfId="1" operator="containsText" stopIfTrue="1" text="INVIABLE SANITARIAMENTE">
      <formula>NOT(ISERROR(SEARCH("INVIABLE SANITARIAMENTE",S10)))</formula>
    </cfRule>
    <cfRule type="containsText" priority="406" dxfId="0" operator="containsText" stopIfTrue="1" text="ALTO">
      <formula>NOT(ISERROR(SEARCH("ALTO",S10)))</formula>
    </cfRule>
    <cfRule type="containsText" priority="407" dxfId="56" operator="containsText" stopIfTrue="1" text="MEDIO">
      <formula>NOT(ISERROR(SEARCH("MEDIO",S10)))</formula>
    </cfRule>
    <cfRule type="containsText" priority="408" dxfId="138" operator="containsText" stopIfTrue="1" text="BAJO">
      <formula>NOT(ISERROR(SEARCH("BAJO",S10)))</formula>
    </cfRule>
    <cfRule type="containsText" priority="409" dxfId="139" operator="containsText" stopIfTrue="1" text="SIN RIESGO">
      <formula>NOT(ISERROR(SEARCH("SIN RIESGO",S10)))</formula>
    </cfRule>
  </conditionalFormatting>
  <conditionalFormatting sqref="S10:S39 S99:S141 S143:S157 S41:S97">
    <cfRule type="containsText" priority="404" dxfId="55" operator="containsText" stopIfTrue="1" text="SIN RIESGO">
      <formula>NOT(ISERROR(SEARCH("SIN RIESGO",S10)))</formula>
    </cfRule>
  </conditionalFormatting>
  <conditionalFormatting sqref="R10:R39 R99:R141 R143:R157 R41:R97">
    <cfRule type="cellIs" priority="402" dxfId="54" operator="equal" stopIfTrue="1">
      <formula>"NO"</formula>
    </cfRule>
  </conditionalFormatting>
  <conditionalFormatting sqref="E12:G16 Q12:Q14">
    <cfRule type="containsBlanks" priority="356" dxfId="2" stopIfTrue="1">
      <formula>LEN(TRIM(E12))=0</formula>
    </cfRule>
    <cfRule type="cellIs" priority="357" dxfId="1" operator="between" stopIfTrue="1">
      <formula>80.1</formula>
      <formula>100</formula>
    </cfRule>
    <cfRule type="cellIs" priority="358" dxfId="0" operator="between" stopIfTrue="1">
      <formula>35.1</formula>
      <formula>80</formula>
    </cfRule>
    <cfRule type="cellIs" priority="359" dxfId="56" operator="between" stopIfTrue="1">
      <formula>14.1</formula>
      <formula>35</formula>
    </cfRule>
    <cfRule type="cellIs" priority="360" dxfId="138" operator="between" stopIfTrue="1">
      <formula>5.1</formula>
      <formula>14</formula>
    </cfRule>
    <cfRule type="cellIs" priority="361" dxfId="55" operator="between" stopIfTrue="1">
      <formula>0</formula>
      <formula>5</formula>
    </cfRule>
    <cfRule type="containsBlanks" priority="362" dxfId="2" stopIfTrue="1">
      <formula>LEN(TRIM(E12))=0</formula>
    </cfRule>
  </conditionalFormatting>
  <conditionalFormatting sqref="E65:I65">
    <cfRule type="containsBlanks" priority="349" dxfId="2" stopIfTrue="1">
      <formula>LEN(TRIM(E65))=0</formula>
    </cfRule>
    <cfRule type="cellIs" priority="350" dxfId="1" operator="between" stopIfTrue="1">
      <formula>80.1</formula>
      <formula>100</formula>
    </cfRule>
    <cfRule type="cellIs" priority="351" dxfId="0" operator="between" stopIfTrue="1">
      <formula>35.1</formula>
      <formula>80</formula>
    </cfRule>
    <cfRule type="cellIs" priority="352" dxfId="56" operator="between" stopIfTrue="1">
      <formula>14.1</formula>
      <formula>35</formula>
    </cfRule>
    <cfRule type="cellIs" priority="353" dxfId="138" operator="between" stopIfTrue="1">
      <formula>5.1</formula>
      <formula>14</formula>
    </cfRule>
    <cfRule type="cellIs" priority="354" dxfId="55" operator="between" stopIfTrue="1">
      <formula>0</formula>
      <formula>5</formula>
    </cfRule>
    <cfRule type="containsBlanks" priority="355" dxfId="2" stopIfTrue="1">
      <formula>LEN(TRIM(E65))=0</formula>
    </cfRule>
  </conditionalFormatting>
  <conditionalFormatting sqref="E72:M72 E67:G71">
    <cfRule type="containsBlanks" priority="335" dxfId="2" stopIfTrue="1">
      <formula>LEN(TRIM(E67))=0</formula>
    </cfRule>
    <cfRule type="cellIs" priority="336" dxfId="1" operator="between" stopIfTrue="1">
      <formula>80.1</formula>
      <formula>100</formula>
    </cfRule>
    <cfRule type="cellIs" priority="337" dxfId="0" operator="between" stopIfTrue="1">
      <formula>35.1</formula>
      <formula>80</formula>
    </cfRule>
    <cfRule type="cellIs" priority="338" dxfId="56" operator="between" stopIfTrue="1">
      <formula>14.1</formula>
      <formula>35</formula>
    </cfRule>
    <cfRule type="cellIs" priority="339" dxfId="138" operator="between" stopIfTrue="1">
      <formula>5.1</formula>
      <formula>14</formula>
    </cfRule>
    <cfRule type="cellIs" priority="340" dxfId="55" operator="between" stopIfTrue="1">
      <formula>0</formula>
      <formula>5</formula>
    </cfRule>
    <cfRule type="containsBlanks" priority="341" dxfId="2" stopIfTrue="1">
      <formula>LEN(TRIM(E67))=0</formula>
    </cfRule>
  </conditionalFormatting>
  <conditionalFormatting sqref="E98:G98">
    <cfRule type="containsBlanks" priority="321" dxfId="2" stopIfTrue="1">
      <formula>LEN(TRIM(E98))=0</formula>
    </cfRule>
    <cfRule type="cellIs" priority="322" dxfId="1" operator="between" stopIfTrue="1">
      <formula>80.1</formula>
      <formula>100</formula>
    </cfRule>
    <cfRule type="cellIs" priority="323" dxfId="0" operator="between" stopIfTrue="1">
      <formula>35.1</formula>
      <formula>80</formula>
    </cfRule>
    <cfRule type="cellIs" priority="324" dxfId="56" operator="between" stopIfTrue="1">
      <formula>14.1</formula>
      <formula>35</formula>
    </cfRule>
    <cfRule type="cellIs" priority="325" dxfId="138" operator="between" stopIfTrue="1">
      <formula>5.1</formula>
      <formula>14</formula>
    </cfRule>
    <cfRule type="cellIs" priority="326" dxfId="55" operator="between" stopIfTrue="1">
      <formula>0</formula>
      <formula>5</formula>
    </cfRule>
    <cfRule type="containsBlanks" priority="327" dxfId="2" stopIfTrue="1">
      <formula>LEN(TRIM(E98))=0</formula>
    </cfRule>
  </conditionalFormatting>
  <conditionalFormatting sqref="S98">
    <cfRule type="cellIs" priority="320" dxfId="59" operator="equal" stopIfTrue="1">
      <formula>"INVIABLE SANITARIAMENTE"</formula>
    </cfRule>
  </conditionalFormatting>
  <conditionalFormatting sqref="S98">
    <cfRule type="containsText" priority="315" dxfId="1" operator="containsText" stopIfTrue="1" text="INVIABLE SANITARIAMENTE">
      <formula>NOT(ISERROR(SEARCH("INVIABLE SANITARIAMENTE",S98)))</formula>
    </cfRule>
    <cfRule type="containsText" priority="316" dxfId="0" operator="containsText" stopIfTrue="1" text="ALTO">
      <formula>NOT(ISERROR(SEARCH("ALTO",S98)))</formula>
    </cfRule>
    <cfRule type="containsText" priority="317" dxfId="56" operator="containsText" stopIfTrue="1" text="MEDIO">
      <formula>NOT(ISERROR(SEARCH("MEDIO",S98)))</formula>
    </cfRule>
    <cfRule type="containsText" priority="318" dxfId="138" operator="containsText" stopIfTrue="1" text="BAJO">
      <formula>NOT(ISERROR(SEARCH("BAJO",S98)))</formula>
    </cfRule>
    <cfRule type="containsText" priority="319" dxfId="139" operator="containsText" stopIfTrue="1" text="SIN RIESGO">
      <formula>NOT(ISERROR(SEARCH("SIN RIESGO",S98)))</formula>
    </cfRule>
  </conditionalFormatting>
  <conditionalFormatting sqref="S98">
    <cfRule type="containsText" priority="314" dxfId="55" operator="containsText" stopIfTrue="1" text="SIN RIESGO">
      <formula>NOT(ISERROR(SEARCH("SIN RIESGO",S98)))</formula>
    </cfRule>
  </conditionalFormatting>
  <conditionalFormatting sqref="R98">
    <cfRule type="cellIs" priority="313" dxfId="54" operator="equal" stopIfTrue="1">
      <formula>"NO"</formula>
    </cfRule>
  </conditionalFormatting>
  <conditionalFormatting sqref="E142:G142">
    <cfRule type="containsBlanks" priority="306" dxfId="2" stopIfTrue="1">
      <formula>LEN(TRIM(E142))=0</formula>
    </cfRule>
    <cfRule type="cellIs" priority="307" dxfId="1" operator="between" stopIfTrue="1">
      <formula>80.1</formula>
      <formula>100</formula>
    </cfRule>
    <cfRule type="cellIs" priority="308" dxfId="0" operator="between" stopIfTrue="1">
      <formula>35.1</formula>
      <formula>80</formula>
    </cfRule>
    <cfRule type="cellIs" priority="309" dxfId="56" operator="between" stopIfTrue="1">
      <formula>14.1</formula>
      <formula>35</formula>
    </cfRule>
    <cfRule type="cellIs" priority="310" dxfId="138" operator="between" stopIfTrue="1">
      <formula>5.1</formula>
      <formula>14</formula>
    </cfRule>
    <cfRule type="cellIs" priority="311" dxfId="55" operator="between" stopIfTrue="1">
      <formula>0</formula>
      <formula>5</formula>
    </cfRule>
    <cfRule type="containsBlanks" priority="312" dxfId="2" stopIfTrue="1">
      <formula>LEN(TRIM(E142))=0</formula>
    </cfRule>
  </conditionalFormatting>
  <conditionalFormatting sqref="S142">
    <cfRule type="cellIs" priority="305" dxfId="59" operator="equal" stopIfTrue="1">
      <formula>"INVIABLE SANITARIAMENTE"</formula>
    </cfRule>
  </conditionalFormatting>
  <conditionalFormatting sqref="S142">
    <cfRule type="containsText" priority="300" dxfId="1" operator="containsText" stopIfTrue="1" text="INVIABLE SANITARIAMENTE">
      <formula>NOT(ISERROR(SEARCH("INVIABLE SANITARIAMENTE",S142)))</formula>
    </cfRule>
    <cfRule type="containsText" priority="301" dxfId="0" operator="containsText" stopIfTrue="1" text="ALTO">
      <formula>NOT(ISERROR(SEARCH("ALTO",S142)))</formula>
    </cfRule>
    <cfRule type="containsText" priority="302" dxfId="56" operator="containsText" stopIfTrue="1" text="MEDIO">
      <formula>NOT(ISERROR(SEARCH("MEDIO",S142)))</formula>
    </cfRule>
    <cfRule type="containsText" priority="303" dxfId="138" operator="containsText" stopIfTrue="1" text="BAJO">
      <formula>NOT(ISERROR(SEARCH("BAJO",S142)))</formula>
    </cfRule>
    <cfRule type="containsText" priority="304" dxfId="139" operator="containsText" stopIfTrue="1" text="SIN RIESGO">
      <formula>NOT(ISERROR(SEARCH("SIN RIESGO",S142)))</formula>
    </cfRule>
  </conditionalFormatting>
  <conditionalFormatting sqref="S142">
    <cfRule type="containsText" priority="299" dxfId="55" operator="containsText" stopIfTrue="1" text="SIN RIESGO">
      <formula>NOT(ISERROR(SEARCH("SIN RIESGO",S142)))</formula>
    </cfRule>
  </conditionalFormatting>
  <conditionalFormatting sqref="R142">
    <cfRule type="cellIs" priority="298" dxfId="54" operator="equal" stopIfTrue="1">
      <formula>"NO"</formula>
    </cfRule>
  </conditionalFormatting>
  <conditionalFormatting sqref="M76:Q76">
    <cfRule type="containsBlanks" priority="291" dxfId="2" stopIfTrue="1">
      <formula>LEN(TRIM(M76))=0</formula>
    </cfRule>
    <cfRule type="cellIs" priority="292" dxfId="1" operator="between" stopIfTrue="1">
      <formula>80.1</formula>
      <formula>100</formula>
    </cfRule>
    <cfRule type="cellIs" priority="293" dxfId="0" operator="between" stopIfTrue="1">
      <formula>35.1</formula>
      <formula>80</formula>
    </cfRule>
    <cfRule type="cellIs" priority="294" dxfId="56" operator="between" stopIfTrue="1">
      <formula>14.1</formula>
      <formula>35</formula>
    </cfRule>
    <cfRule type="cellIs" priority="295" dxfId="138" operator="between" stopIfTrue="1">
      <formula>5.1</formula>
      <formula>14</formula>
    </cfRule>
    <cfRule type="cellIs" priority="296" dxfId="55" operator="between" stopIfTrue="1">
      <formula>0</formula>
      <formula>5</formula>
    </cfRule>
    <cfRule type="containsBlanks" priority="297" dxfId="2" stopIfTrue="1">
      <formula>LEN(TRIM(M76))=0</formula>
    </cfRule>
  </conditionalFormatting>
  <conditionalFormatting sqref="M115:Q115">
    <cfRule type="containsBlanks" priority="277" dxfId="2" stopIfTrue="1">
      <formula>LEN(TRIM(M115))=0</formula>
    </cfRule>
    <cfRule type="cellIs" priority="278" dxfId="1" operator="between" stopIfTrue="1">
      <formula>80.1</formula>
      <formula>100</formula>
    </cfRule>
    <cfRule type="cellIs" priority="279" dxfId="0" operator="between" stopIfTrue="1">
      <formula>35.1</formula>
      <formula>80</formula>
    </cfRule>
    <cfRule type="cellIs" priority="280" dxfId="56" operator="between" stopIfTrue="1">
      <formula>14.1</formula>
      <formula>35</formula>
    </cfRule>
    <cfRule type="cellIs" priority="281" dxfId="138" operator="between" stopIfTrue="1">
      <formula>5.1</formula>
      <formula>14</formula>
    </cfRule>
    <cfRule type="cellIs" priority="282" dxfId="55" operator="between" stopIfTrue="1">
      <formula>0</formula>
      <formula>5</formula>
    </cfRule>
    <cfRule type="containsBlanks" priority="283" dxfId="2" stopIfTrue="1">
      <formula>LEN(TRIM(M115))=0</formula>
    </cfRule>
  </conditionalFormatting>
  <conditionalFormatting sqref="M116:Q116">
    <cfRule type="containsBlanks" priority="270" dxfId="2" stopIfTrue="1">
      <formula>LEN(TRIM(M116))=0</formula>
    </cfRule>
    <cfRule type="cellIs" priority="271" dxfId="1" operator="between" stopIfTrue="1">
      <formula>80.1</formula>
      <formula>100</formula>
    </cfRule>
    <cfRule type="cellIs" priority="272" dxfId="0" operator="between" stopIfTrue="1">
      <formula>35.1</formula>
      <formula>80</formula>
    </cfRule>
    <cfRule type="cellIs" priority="273" dxfId="56" operator="between" stopIfTrue="1">
      <formula>14.1</formula>
      <formula>35</formula>
    </cfRule>
    <cfRule type="cellIs" priority="274" dxfId="138" operator="between" stopIfTrue="1">
      <formula>5.1</formula>
      <formula>14</formula>
    </cfRule>
    <cfRule type="cellIs" priority="275" dxfId="55" operator="between" stopIfTrue="1">
      <formula>0</formula>
      <formula>5</formula>
    </cfRule>
    <cfRule type="containsBlanks" priority="276" dxfId="2" stopIfTrue="1">
      <formula>LEN(TRIM(M116))=0</formula>
    </cfRule>
  </conditionalFormatting>
  <conditionalFormatting sqref="M134:Q134">
    <cfRule type="containsBlanks" priority="256" dxfId="2" stopIfTrue="1">
      <formula>LEN(TRIM(M134))=0</formula>
    </cfRule>
    <cfRule type="cellIs" priority="257" dxfId="1" operator="between" stopIfTrue="1">
      <formula>80.1</formula>
      <formula>100</formula>
    </cfRule>
    <cfRule type="cellIs" priority="258" dxfId="0" operator="between" stopIfTrue="1">
      <formula>35.1</formula>
      <formula>80</formula>
    </cfRule>
    <cfRule type="cellIs" priority="259" dxfId="56" operator="between" stopIfTrue="1">
      <formula>14.1</formula>
      <formula>35</formula>
    </cfRule>
    <cfRule type="cellIs" priority="260" dxfId="138" operator="between" stopIfTrue="1">
      <formula>5.1</formula>
      <formula>14</formula>
    </cfRule>
    <cfRule type="cellIs" priority="261" dxfId="55" operator="between" stopIfTrue="1">
      <formula>0</formula>
      <formula>5</formula>
    </cfRule>
    <cfRule type="containsBlanks" priority="262" dxfId="2" stopIfTrue="1">
      <formula>LEN(TRIM(M134))=0</formula>
    </cfRule>
  </conditionalFormatting>
  <conditionalFormatting sqref="H10:P10">
    <cfRule type="containsBlanks" priority="228" dxfId="2" stopIfTrue="1">
      <formula>LEN(TRIM(H10))=0</formula>
    </cfRule>
    <cfRule type="cellIs" priority="229" dxfId="1" operator="between" stopIfTrue="1">
      <formula>80.1</formula>
      <formula>100</formula>
    </cfRule>
    <cfRule type="cellIs" priority="230" dxfId="0" operator="between" stopIfTrue="1">
      <formula>35.1</formula>
      <formula>80</formula>
    </cfRule>
    <cfRule type="cellIs" priority="231" dxfId="56" operator="between" stopIfTrue="1">
      <formula>14.1</formula>
      <formula>35</formula>
    </cfRule>
    <cfRule type="cellIs" priority="232" dxfId="138" operator="between" stopIfTrue="1">
      <formula>5.1</formula>
      <formula>14</formula>
    </cfRule>
    <cfRule type="cellIs" priority="233" dxfId="55" operator="between" stopIfTrue="1">
      <formula>0</formula>
      <formula>5</formula>
    </cfRule>
    <cfRule type="containsBlanks" priority="234" dxfId="2" stopIfTrue="1">
      <formula>LEN(TRIM(H10))=0</formula>
    </cfRule>
  </conditionalFormatting>
  <conditionalFormatting sqref="H11:O11">
    <cfRule type="containsBlanks" priority="221" dxfId="2" stopIfTrue="1">
      <formula>LEN(TRIM(H11))=0</formula>
    </cfRule>
    <cfRule type="cellIs" priority="222" dxfId="1" operator="between" stopIfTrue="1">
      <formula>80.1</formula>
      <formula>100</formula>
    </cfRule>
    <cfRule type="cellIs" priority="223" dxfId="0" operator="between" stopIfTrue="1">
      <formula>35.1</formula>
      <formula>80</formula>
    </cfRule>
    <cfRule type="cellIs" priority="224" dxfId="56" operator="between" stopIfTrue="1">
      <formula>14.1</formula>
      <formula>35</formula>
    </cfRule>
    <cfRule type="cellIs" priority="225" dxfId="138" operator="between" stopIfTrue="1">
      <formula>5.1</formula>
      <formula>14</formula>
    </cfRule>
    <cfRule type="cellIs" priority="226" dxfId="55" operator="between" stopIfTrue="1">
      <formula>0</formula>
      <formula>5</formula>
    </cfRule>
    <cfRule type="containsBlanks" priority="227" dxfId="2" stopIfTrue="1">
      <formula>LEN(TRIM(H11))=0</formula>
    </cfRule>
  </conditionalFormatting>
  <conditionalFormatting sqref="H12:P14">
    <cfRule type="containsBlanks" priority="214" dxfId="2" stopIfTrue="1">
      <formula>LEN(TRIM(H12))=0</formula>
    </cfRule>
    <cfRule type="cellIs" priority="215" dxfId="1" operator="between" stopIfTrue="1">
      <formula>80.1</formula>
      <formula>100</formula>
    </cfRule>
    <cfRule type="cellIs" priority="216" dxfId="0" operator="between" stopIfTrue="1">
      <formula>35.1</formula>
      <formula>80</formula>
    </cfRule>
    <cfRule type="cellIs" priority="217" dxfId="56" operator="between" stopIfTrue="1">
      <formula>14.1</formula>
      <formula>35</formula>
    </cfRule>
    <cfRule type="cellIs" priority="218" dxfId="138" operator="between" stopIfTrue="1">
      <formula>5.1</formula>
      <formula>14</formula>
    </cfRule>
    <cfRule type="cellIs" priority="219" dxfId="55" operator="between" stopIfTrue="1">
      <formula>0</formula>
      <formula>5</formula>
    </cfRule>
    <cfRule type="containsBlanks" priority="220" dxfId="2" stopIfTrue="1">
      <formula>LEN(TRIM(H12))=0</formula>
    </cfRule>
  </conditionalFormatting>
  <conditionalFormatting sqref="H15:Q16">
    <cfRule type="containsBlanks" priority="207" dxfId="2" stopIfTrue="1">
      <formula>LEN(TRIM(H15))=0</formula>
    </cfRule>
    <cfRule type="cellIs" priority="208" dxfId="1" operator="between" stopIfTrue="1">
      <formula>80.1</formula>
      <formula>100</formula>
    </cfRule>
    <cfRule type="cellIs" priority="209" dxfId="0" operator="between" stopIfTrue="1">
      <formula>35.1</formula>
      <formula>80</formula>
    </cfRule>
    <cfRule type="cellIs" priority="210" dxfId="56" operator="between" stopIfTrue="1">
      <formula>14.1</formula>
      <formula>35</formula>
    </cfRule>
    <cfRule type="cellIs" priority="211" dxfId="138" operator="between" stopIfTrue="1">
      <formula>5.1</formula>
      <formula>14</formula>
    </cfRule>
    <cfRule type="cellIs" priority="212" dxfId="55" operator="between" stopIfTrue="1">
      <formula>0</formula>
      <formula>5</formula>
    </cfRule>
    <cfRule type="containsBlanks" priority="213" dxfId="2" stopIfTrue="1">
      <formula>LEN(TRIM(H15))=0</formula>
    </cfRule>
  </conditionalFormatting>
  <conditionalFormatting sqref="H17:Q18">
    <cfRule type="containsBlanks" priority="200" dxfId="2" stopIfTrue="1">
      <formula>LEN(TRIM(H17))=0</formula>
    </cfRule>
    <cfRule type="cellIs" priority="201" dxfId="1" operator="between" stopIfTrue="1">
      <formula>80.1</formula>
      <formula>100</formula>
    </cfRule>
    <cfRule type="cellIs" priority="202" dxfId="0" operator="between" stopIfTrue="1">
      <formula>35.1</formula>
      <formula>80</formula>
    </cfRule>
    <cfRule type="cellIs" priority="203" dxfId="56" operator="between" stopIfTrue="1">
      <formula>14.1</formula>
      <formula>35</formula>
    </cfRule>
    <cfRule type="cellIs" priority="204" dxfId="138" operator="between" stopIfTrue="1">
      <formula>5.1</formula>
      <formula>14</formula>
    </cfRule>
    <cfRule type="cellIs" priority="205" dxfId="55" operator="between" stopIfTrue="1">
      <formula>0</formula>
      <formula>5</formula>
    </cfRule>
    <cfRule type="containsBlanks" priority="206" dxfId="2" stopIfTrue="1">
      <formula>LEN(TRIM(H17))=0</formula>
    </cfRule>
  </conditionalFormatting>
  <conditionalFormatting sqref="I19:Q19">
    <cfRule type="containsBlanks" priority="193" dxfId="2" stopIfTrue="1">
      <formula>LEN(TRIM(I19))=0</formula>
    </cfRule>
    <cfRule type="cellIs" priority="194" dxfId="1" operator="between" stopIfTrue="1">
      <formula>80.1</formula>
      <formula>100</formula>
    </cfRule>
    <cfRule type="cellIs" priority="195" dxfId="0" operator="between" stopIfTrue="1">
      <formula>35.1</formula>
      <formula>80</formula>
    </cfRule>
    <cfRule type="cellIs" priority="196" dxfId="56" operator="between" stopIfTrue="1">
      <formula>14.1</formula>
      <formula>35</formula>
    </cfRule>
    <cfRule type="cellIs" priority="197" dxfId="138" operator="between" stopIfTrue="1">
      <formula>5.1</formula>
      <formula>14</formula>
    </cfRule>
    <cfRule type="cellIs" priority="198" dxfId="55" operator="between" stopIfTrue="1">
      <formula>0</formula>
      <formula>5</formula>
    </cfRule>
    <cfRule type="containsBlanks" priority="199" dxfId="2" stopIfTrue="1">
      <formula>LEN(TRIM(I19))=0</formula>
    </cfRule>
  </conditionalFormatting>
  <conditionalFormatting sqref="H20:Q25">
    <cfRule type="containsBlanks" priority="186" dxfId="2" stopIfTrue="1">
      <formula>LEN(TRIM(H20))=0</formula>
    </cfRule>
    <cfRule type="cellIs" priority="187" dxfId="1" operator="between" stopIfTrue="1">
      <formula>80.1</formula>
      <formula>100</formula>
    </cfRule>
    <cfRule type="cellIs" priority="188" dxfId="0" operator="between" stopIfTrue="1">
      <formula>35.1</formula>
      <formula>80</formula>
    </cfRule>
    <cfRule type="cellIs" priority="189" dxfId="56" operator="between" stopIfTrue="1">
      <formula>14.1</formula>
      <formula>35</formula>
    </cfRule>
    <cfRule type="cellIs" priority="190" dxfId="138" operator="between" stopIfTrue="1">
      <formula>5.1</formula>
      <formula>14</formula>
    </cfRule>
    <cfRule type="cellIs" priority="191" dxfId="55" operator="between" stopIfTrue="1">
      <formula>0</formula>
      <formula>5</formula>
    </cfRule>
    <cfRule type="containsBlanks" priority="192" dxfId="2" stopIfTrue="1">
      <formula>LEN(TRIM(H20))=0</formula>
    </cfRule>
  </conditionalFormatting>
  <conditionalFormatting sqref="H26:Q35">
    <cfRule type="containsBlanks" priority="179" dxfId="2" stopIfTrue="1">
      <formula>LEN(TRIM(H26))=0</formula>
    </cfRule>
    <cfRule type="cellIs" priority="180" dxfId="1" operator="between" stopIfTrue="1">
      <formula>80.1</formula>
      <formula>100</formula>
    </cfRule>
    <cfRule type="cellIs" priority="181" dxfId="0" operator="between" stopIfTrue="1">
      <formula>35.1</formula>
      <formula>80</formula>
    </cfRule>
    <cfRule type="cellIs" priority="182" dxfId="56" operator="between" stopIfTrue="1">
      <formula>14.1</formula>
      <formula>35</formula>
    </cfRule>
    <cfRule type="cellIs" priority="183" dxfId="138" operator="between" stopIfTrue="1">
      <formula>5.1</formula>
      <formula>14</formula>
    </cfRule>
    <cfRule type="cellIs" priority="184" dxfId="55" operator="between" stopIfTrue="1">
      <formula>0</formula>
      <formula>5</formula>
    </cfRule>
    <cfRule type="containsBlanks" priority="185" dxfId="2" stopIfTrue="1">
      <formula>LEN(TRIM(H26))=0</formula>
    </cfRule>
  </conditionalFormatting>
  <conditionalFormatting sqref="I36:Q38">
    <cfRule type="containsBlanks" priority="172" dxfId="2" stopIfTrue="1">
      <formula>LEN(TRIM(I36))=0</formula>
    </cfRule>
    <cfRule type="cellIs" priority="173" dxfId="1" operator="between" stopIfTrue="1">
      <formula>80.1</formula>
      <formula>100</formula>
    </cfRule>
    <cfRule type="cellIs" priority="174" dxfId="0" operator="between" stopIfTrue="1">
      <formula>35.1</formula>
      <formula>80</formula>
    </cfRule>
    <cfRule type="cellIs" priority="175" dxfId="56" operator="between" stopIfTrue="1">
      <formula>14.1</formula>
      <formula>35</formula>
    </cfRule>
    <cfRule type="cellIs" priority="176" dxfId="138" operator="between" stopIfTrue="1">
      <formula>5.1</formula>
      <formula>14</formula>
    </cfRule>
    <cfRule type="cellIs" priority="177" dxfId="55" operator="between" stopIfTrue="1">
      <formula>0</formula>
      <formula>5</formula>
    </cfRule>
    <cfRule type="containsBlanks" priority="178" dxfId="2" stopIfTrue="1">
      <formula>LEN(TRIM(I36))=0</formula>
    </cfRule>
  </conditionalFormatting>
  <conditionalFormatting sqref="I40:J40">
    <cfRule type="containsBlanks" priority="165" dxfId="2" stopIfTrue="1">
      <formula>LEN(TRIM(I40))=0</formula>
    </cfRule>
    <cfRule type="cellIs" priority="166" dxfId="1" operator="between" stopIfTrue="1">
      <formula>80.1</formula>
      <formula>100</formula>
    </cfRule>
    <cfRule type="cellIs" priority="167" dxfId="0" operator="between" stopIfTrue="1">
      <formula>35.1</formula>
      <formula>80</formula>
    </cfRule>
    <cfRule type="cellIs" priority="168" dxfId="56" operator="between" stopIfTrue="1">
      <formula>14.1</formula>
      <formula>35</formula>
    </cfRule>
    <cfRule type="cellIs" priority="169" dxfId="138" operator="between" stopIfTrue="1">
      <formula>5.1</formula>
      <formula>14</formula>
    </cfRule>
    <cfRule type="cellIs" priority="170" dxfId="55" operator="between" stopIfTrue="1">
      <formula>0</formula>
      <formula>5</formula>
    </cfRule>
    <cfRule type="containsBlanks" priority="171" dxfId="2" stopIfTrue="1">
      <formula>LEN(TRIM(I40))=0</formula>
    </cfRule>
  </conditionalFormatting>
  <conditionalFormatting sqref="S40">
    <cfRule type="cellIs" priority="134" dxfId="59" operator="equal" stopIfTrue="1">
      <formula>"INVIABLE SANITARIAMENTE"</formula>
    </cfRule>
  </conditionalFormatting>
  <conditionalFormatting sqref="S40">
    <cfRule type="containsText" priority="129" dxfId="1" operator="containsText" stopIfTrue="1" text="INVIABLE SANITARIAMENTE">
      <formula>NOT(ISERROR(SEARCH("INVIABLE SANITARIAMENTE",S40)))</formula>
    </cfRule>
    <cfRule type="containsText" priority="130" dxfId="0" operator="containsText" stopIfTrue="1" text="ALTO">
      <formula>NOT(ISERROR(SEARCH("ALTO",S40)))</formula>
    </cfRule>
    <cfRule type="containsText" priority="131" dxfId="56" operator="containsText" stopIfTrue="1" text="MEDIO">
      <formula>NOT(ISERROR(SEARCH("MEDIO",S40)))</formula>
    </cfRule>
    <cfRule type="containsText" priority="132" dxfId="138" operator="containsText" stopIfTrue="1" text="BAJO">
      <formula>NOT(ISERROR(SEARCH("BAJO",S40)))</formula>
    </cfRule>
    <cfRule type="containsText" priority="133" dxfId="139" operator="containsText" stopIfTrue="1" text="SIN RIESGO">
      <formula>NOT(ISERROR(SEARCH("SIN RIESGO",S40)))</formula>
    </cfRule>
  </conditionalFormatting>
  <conditionalFormatting sqref="S40">
    <cfRule type="containsText" priority="128" dxfId="55" operator="containsText" stopIfTrue="1" text="SIN RIESGO">
      <formula>NOT(ISERROR(SEARCH("SIN RIESGO",S40)))</formula>
    </cfRule>
  </conditionalFormatting>
  <conditionalFormatting sqref="R40">
    <cfRule type="cellIs" priority="127" dxfId="54" operator="equal" stopIfTrue="1">
      <formula>"NO"</formula>
    </cfRule>
  </conditionalFormatting>
  <conditionalFormatting sqref="K40:Q40">
    <cfRule type="containsBlanks" priority="120" dxfId="2" stopIfTrue="1">
      <formula>LEN(TRIM(K40))=0</formula>
    </cfRule>
    <cfRule type="cellIs" priority="121" dxfId="1" operator="between" stopIfTrue="1">
      <formula>80.1</formula>
      <formula>100</formula>
    </cfRule>
    <cfRule type="cellIs" priority="122" dxfId="0" operator="between" stopIfTrue="1">
      <formula>35.1</formula>
      <formula>80</formula>
    </cfRule>
    <cfRule type="cellIs" priority="123" dxfId="56" operator="between" stopIfTrue="1">
      <formula>14.1</formula>
      <formula>35</formula>
    </cfRule>
    <cfRule type="cellIs" priority="124" dxfId="138" operator="between" stopIfTrue="1">
      <formula>5.1</formula>
      <formula>14</formula>
    </cfRule>
    <cfRule type="cellIs" priority="125" dxfId="55" operator="between" stopIfTrue="1">
      <formula>0</formula>
      <formula>5</formula>
    </cfRule>
    <cfRule type="containsBlanks" priority="126" dxfId="2" stopIfTrue="1">
      <formula>LEN(TRIM(K40))=0</formula>
    </cfRule>
  </conditionalFormatting>
  <conditionalFormatting sqref="H42:Q50">
    <cfRule type="containsBlanks" priority="113" dxfId="2" stopIfTrue="1">
      <formula>LEN(TRIM(H42))=0</formula>
    </cfRule>
    <cfRule type="cellIs" priority="114" dxfId="1" operator="between" stopIfTrue="1">
      <formula>80.1</formula>
      <formula>100</formula>
    </cfRule>
    <cfRule type="cellIs" priority="115" dxfId="0" operator="between" stopIfTrue="1">
      <formula>35.1</formula>
      <formula>80</formula>
    </cfRule>
    <cfRule type="cellIs" priority="116" dxfId="56" operator="between" stopIfTrue="1">
      <formula>14.1</formula>
      <formula>35</formula>
    </cfRule>
    <cfRule type="cellIs" priority="117" dxfId="138" operator="between" stopIfTrue="1">
      <formula>5.1</formula>
      <formula>14</formula>
    </cfRule>
    <cfRule type="cellIs" priority="118" dxfId="55" operator="between" stopIfTrue="1">
      <formula>0</formula>
      <formula>5</formula>
    </cfRule>
    <cfRule type="containsBlanks" priority="119" dxfId="2" stopIfTrue="1">
      <formula>LEN(TRIM(H42))=0</formula>
    </cfRule>
  </conditionalFormatting>
  <conditionalFormatting sqref="H51:P53">
    <cfRule type="containsBlanks" priority="106" dxfId="2" stopIfTrue="1">
      <formula>LEN(TRIM(H51))=0</formula>
    </cfRule>
    <cfRule type="cellIs" priority="107" dxfId="1" operator="between" stopIfTrue="1">
      <formula>80.1</formula>
      <formula>100</formula>
    </cfRule>
    <cfRule type="cellIs" priority="108" dxfId="0" operator="between" stopIfTrue="1">
      <formula>35.1</formula>
      <formula>80</formula>
    </cfRule>
    <cfRule type="cellIs" priority="109" dxfId="56" operator="between" stopIfTrue="1">
      <formula>14.1</formula>
      <formula>35</formula>
    </cfRule>
    <cfRule type="cellIs" priority="110" dxfId="138" operator="between" stopIfTrue="1">
      <formula>5.1</formula>
      <formula>14</formula>
    </cfRule>
    <cfRule type="cellIs" priority="111" dxfId="55" operator="between" stopIfTrue="1">
      <formula>0</formula>
      <formula>5</formula>
    </cfRule>
    <cfRule type="containsBlanks" priority="112" dxfId="2" stopIfTrue="1">
      <formula>LEN(TRIM(H51))=0</formula>
    </cfRule>
  </conditionalFormatting>
  <conditionalFormatting sqref="H55:Q61">
    <cfRule type="containsBlanks" priority="99" dxfId="2" stopIfTrue="1">
      <formula>LEN(TRIM(H55))=0</formula>
    </cfRule>
    <cfRule type="cellIs" priority="100" dxfId="1" operator="between" stopIfTrue="1">
      <formula>80.1</formula>
      <formula>100</formula>
    </cfRule>
    <cfRule type="cellIs" priority="101" dxfId="0" operator="between" stopIfTrue="1">
      <formula>35.1</formula>
      <formula>80</formula>
    </cfRule>
    <cfRule type="cellIs" priority="102" dxfId="56" operator="between" stopIfTrue="1">
      <formula>14.1</formula>
      <formula>35</formula>
    </cfRule>
    <cfRule type="cellIs" priority="103" dxfId="138" operator="between" stopIfTrue="1">
      <formula>5.1</formula>
      <formula>14</formula>
    </cfRule>
    <cfRule type="cellIs" priority="104" dxfId="55" operator="between" stopIfTrue="1">
      <formula>0</formula>
      <formula>5</formula>
    </cfRule>
    <cfRule type="containsBlanks" priority="105" dxfId="2" stopIfTrue="1">
      <formula>LEN(TRIM(H55))=0</formula>
    </cfRule>
  </conditionalFormatting>
  <conditionalFormatting sqref="H62:Q63">
    <cfRule type="containsBlanks" priority="92" dxfId="2" stopIfTrue="1">
      <formula>LEN(TRIM(H62))=0</formula>
    </cfRule>
    <cfRule type="cellIs" priority="93" dxfId="1" operator="between" stopIfTrue="1">
      <formula>80.1</formula>
      <formula>100</formula>
    </cfRule>
    <cfRule type="cellIs" priority="94" dxfId="0" operator="between" stopIfTrue="1">
      <formula>35.1</formula>
      <formula>80</formula>
    </cfRule>
    <cfRule type="cellIs" priority="95" dxfId="56" operator="between" stopIfTrue="1">
      <formula>14.1</formula>
      <formula>35</formula>
    </cfRule>
    <cfRule type="cellIs" priority="96" dxfId="138" operator="between" stopIfTrue="1">
      <formula>5.1</formula>
      <formula>14</formula>
    </cfRule>
    <cfRule type="cellIs" priority="97" dxfId="55" operator="between" stopIfTrue="1">
      <formula>0</formula>
      <formula>5</formula>
    </cfRule>
    <cfRule type="containsBlanks" priority="98" dxfId="2" stopIfTrue="1">
      <formula>LEN(TRIM(H62))=0</formula>
    </cfRule>
  </conditionalFormatting>
  <conditionalFormatting sqref="H66:Q71">
    <cfRule type="containsBlanks" priority="85" dxfId="2" stopIfTrue="1">
      <formula>LEN(TRIM(H66))=0</formula>
    </cfRule>
    <cfRule type="cellIs" priority="86" dxfId="1" operator="between" stopIfTrue="1">
      <formula>80.1</formula>
      <formula>100</formula>
    </cfRule>
    <cfRule type="cellIs" priority="87" dxfId="0" operator="between" stopIfTrue="1">
      <formula>35.1</formula>
      <formula>80</formula>
    </cfRule>
    <cfRule type="cellIs" priority="88" dxfId="56" operator="between" stopIfTrue="1">
      <formula>14.1</formula>
      <formula>35</formula>
    </cfRule>
    <cfRule type="cellIs" priority="89" dxfId="138" operator="between" stopIfTrue="1">
      <formula>5.1</formula>
      <formula>14</formula>
    </cfRule>
    <cfRule type="cellIs" priority="90" dxfId="55" operator="between" stopIfTrue="1">
      <formula>0</formula>
      <formula>5</formula>
    </cfRule>
    <cfRule type="containsBlanks" priority="91" dxfId="2" stopIfTrue="1">
      <formula>LEN(TRIM(H66))=0</formula>
    </cfRule>
  </conditionalFormatting>
  <conditionalFormatting sqref="H73:Q75">
    <cfRule type="containsBlanks" priority="78" dxfId="2" stopIfTrue="1">
      <formula>LEN(TRIM(H73))=0</formula>
    </cfRule>
    <cfRule type="cellIs" priority="79" dxfId="1" operator="between" stopIfTrue="1">
      <formula>80.1</formula>
      <formula>100</formula>
    </cfRule>
    <cfRule type="cellIs" priority="80" dxfId="0" operator="between" stopIfTrue="1">
      <formula>35.1</formula>
      <formula>80</formula>
    </cfRule>
    <cfRule type="cellIs" priority="81" dxfId="56" operator="between" stopIfTrue="1">
      <formula>14.1</formula>
      <formula>35</formula>
    </cfRule>
    <cfRule type="cellIs" priority="82" dxfId="138" operator="between" stopIfTrue="1">
      <formula>5.1</formula>
      <formula>14</formula>
    </cfRule>
    <cfRule type="cellIs" priority="83" dxfId="55" operator="between" stopIfTrue="1">
      <formula>0</formula>
      <formula>5</formula>
    </cfRule>
    <cfRule type="containsBlanks" priority="84" dxfId="2" stopIfTrue="1">
      <formula>LEN(TRIM(H73))=0</formula>
    </cfRule>
  </conditionalFormatting>
  <conditionalFormatting sqref="H77:Q91">
    <cfRule type="containsBlanks" priority="71" dxfId="2" stopIfTrue="1">
      <formula>LEN(TRIM(H77))=0</formula>
    </cfRule>
    <cfRule type="cellIs" priority="72" dxfId="1" operator="between" stopIfTrue="1">
      <formula>80.1</formula>
      <formula>100</formula>
    </cfRule>
    <cfRule type="cellIs" priority="73" dxfId="0" operator="between" stopIfTrue="1">
      <formula>35.1</formula>
      <formula>80</formula>
    </cfRule>
    <cfRule type="cellIs" priority="74" dxfId="56" operator="between" stopIfTrue="1">
      <formula>14.1</formula>
      <formula>35</formula>
    </cfRule>
    <cfRule type="cellIs" priority="75" dxfId="138" operator="between" stopIfTrue="1">
      <formula>5.1</formula>
      <formula>14</formula>
    </cfRule>
    <cfRule type="cellIs" priority="76" dxfId="55" operator="between" stopIfTrue="1">
      <formula>0</formula>
      <formula>5</formula>
    </cfRule>
    <cfRule type="containsBlanks" priority="77" dxfId="2" stopIfTrue="1">
      <formula>LEN(TRIM(H77))=0</formula>
    </cfRule>
  </conditionalFormatting>
  <conditionalFormatting sqref="E95:Q95">
    <cfRule type="containsBlanks" priority="64" dxfId="2" stopIfTrue="1">
      <formula>LEN(TRIM(E95))=0</formula>
    </cfRule>
    <cfRule type="cellIs" priority="65" dxfId="1" operator="between" stopIfTrue="1">
      <formula>80.1</formula>
      <formula>100</formula>
    </cfRule>
    <cfRule type="cellIs" priority="66" dxfId="0" operator="between" stopIfTrue="1">
      <formula>35.1</formula>
      <formula>80</formula>
    </cfRule>
    <cfRule type="cellIs" priority="67" dxfId="56" operator="between" stopIfTrue="1">
      <formula>14.1</formula>
      <formula>35</formula>
    </cfRule>
    <cfRule type="cellIs" priority="68" dxfId="138" operator="between" stopIfTrue="1">
      <formula>5.1</formula>
      <formula>14</formula>
    </cfRule>
    <cfRule type="cellIs" priority="69" dxfId="55" operator="between" stopIfTrue="1">
      <formula>0</formula>
      <formula>5</formula>
    </cfRule>
    <cfRule type="containsBlanks" priority="70" dxfId="2" stopIfTrue="1">
      <formula>LEN(TRIM(E95))=0</formula>
    </cfRule>
  </conditionalFormatting>
  <conditionalFormatting sqref="I92:Q94">
    <cfRule type="containsBlanks" priority="57" dxfId="2" stopIfTrue="1">
      <formula>LEN(TRIM(I92))=0</formula>
    </cfRule>
    <cfRule type="cellIs" priority="58" dxfId="1" operator="between" stopIfTrue="1">
      <formula>80.1</formula>
      <formula>100</formula>
    </cfRule>
    <cfRule type="cellIs" priority="59" dxfId="0" operator="between" stopIfTrue="1">
      <formula>35.1</formula>
      <formula>80</formula>
    </cfRule>
    <cfRule type="cellIs" priority="60" dxfId="56" operator="between" stopIfTrue="1">
      <formula>14.1</formula>
      <formula>35</formula>
    </cfRule>
    <cfRule type="cellIs" priority="61" dxfId="138" operator="between" stopIfTrue="1">
      <formula>5.1</formula>
      <formula>14</formula>
    </cfRule>
    <cfRule type="cellIs" priority="62" dxfId="55" operator="between" stopIfTrue="1">
      <formula>0</formula>
      <formula>5</formula>
    </cfRule>
    <cfRule type="containsBlanks" priority="63" dxfId="2" stopIfTrue="1">
      <formula>LEN(TRIM(I92))=0</formula>
    </cfRule>
  </conditionalFormatting>
  <conditionalFormatting sqref="H96:Q99">
    <cfRule type="containsBlanks" priority="50" dxfId="2" stopIfTrue="1">
      <formula>LEN(TRIM(H96))=0</formula>
    </cfRule>
    <cfRule type="cellIs" priority="51" dxfId="1" operator="between" stopIfTrue="1">
      <formula>80.1</formula>
      <formula>100</formula>
    </cfRule>
    <cfRule type="cellIs" priority="52" dxfId="0" operator="between" stopIfTrue="1">
      <formula>35.1</formula>
      <formula>80</formula>
    </cfRule>
    <cfRule type="cellIs" priority="53" dxfId="56" operator="between" stopIfTrue="1">
      <formula>14.1</formula>
      <formula>35</formula>
    </cfRule>
    <cfRule type="cellIs" priority="54" dxfId="138" operator="between" stopIfTrue="1">
      <formula>5.1</formula>
      <formula>14</formula>
    </cfRule>
    <cfRule type="cellIs" priority="55" dxfId="55" operator="between" stopIfTrue="1">
      <formula>0</formula>
      <formula>5</formula>
    </cfRule>
    <cfRule type="containsBlanks" priority="56" dxfId="2" stopIfTrue="1">
      <formula>LEN(TRIM(H96))=0</formula>
    </cfRule>
  </conditionalFormatting>
  <conditionalFormatting sqref="H101:P114">
    <cfRule type="containsBlanks" priority="43" dxfId="2" stopIfTrue="1">
      <formula>LEN(TRIM(H101))=0</formula>
    </cfRule>
    <cfRule type="cellIs" priority="44" dxfId="1" operator="between" stopIfTrue="1">
      <formula>80.1</formula>
      <formula>100</formula>
    </cfRule>
    <cfRule type="cellIs" priority="45" dxfId="0" operator="between" stopIfTrue="1">
      <formula>35.1</formula>
      <formula>80</formula>
    </cfRule>
    <cfRule type="cellIs" priority="46" dxfId="56" operator="between" stopIfTrue="1">
      <formula>14.1</formula>
      <formula>35</formula>
    </cfRule>
    <cfRule type="cellIs" priority="47" dxfId="138" operator="between" stopIfTrue="1">
      <formula>5.1</formula>
      <formula>14</formula>
    </cfRule>
    <cfRule type="cellIs" priority="48" dxfId="55" operator="between" stopIfTrue="1">
      <formula>0</formula>
      <formula>5</formula>
    </cfRule>
    <cfRule type="containsBlanks" priority="49" dxfId="2" stopIfTrue="1">
      <formula>LEN(TRIM(H101))=0</formula>
    </cfRule>
  </conditionalFormatting>
  <conditionalFormatting sqref="Q101:Q114">
    <cfRule type="containsBlanks" priority="36" dxfId="2" stopIfTrue="1">
      <formula>LEN(TRIM(Q101))=0</formula>
    </cfRule>
    <cfRule type="cellIs" priority="37" dxfId="1" operator="between" stopIfTrue="1">
      <formula>80.1</formula>
      <formula>100</formula>
    </cfRule>
    <cfRule type="cellIs" priority="38" dxfId="0" operator="between" stopIfTrue="1">
      <formula>35.1</formula>
      <formula>80</formula>
    </cfRule>
    <cfRule type="cellIs" priority="39" dxfId="56" operator="between" stopIfTrue="1">
      <formula>14.1</formula>
      <formula>35</formula>
    </cfRule>
    <cfRule type="cellIs" priority="40" dxfId="138" operator="between" stopIfTrue="1">
      <formula>5.1</formula>
      <formula>14</formula>
    </cfRule>
    <cfRule type="cellIs" priority="41" dxfId="55" operator="between" stopIfTrue="1">
      <formula>0</formula>
      <formula>5</formula>
    </cfRule>
    <cfRule type="containsBlanks" priority="42" dxfId="2" stopIfTrue="1">
      <formula>LEN(TRIM(Q101))=0</formula>
    </cfRule>
  </conditionalFormatting>
  <conditionalFormatting sqref="H117:Q121">
    <cfRule type="containsBlanks" priority="29" dxfId="2" stopIfTrue="1">
      <formula>LEN(TRIM(H117))=0</formula>
    </cfRule>
    <cfRule type="cellIs" priority="30" dxfId="1" operator="between" stopIfTrue="1">
      <formula>80.1</formula>
      <formula>100</formula>
    </cfRule>
    <cfRule type="cellIs" priority="31" dxfId="0" operator="between" stopIfTrue="1">
      <formula>35.1</formula>
      <formula>80</formula>
    </cfRule>
    <cfRule type="cellIs" priority="32" dxfId="56" operator="between" stopIfTrue="1">
      <formula>14.1</formula>
      <formula>35</formula>
    </cfRule>
    <cfRule type="cellIs" priority="33" dxfId="138" operator="between" stopIfTrue="1">
      <formula>5.1</formula>
      <formula>14</formula>
    </cfRule>
    <cfRule type="cellIs" priority="34" dxfId="55" operator="between" stopIfTrue="1">
      <formula>0</formula>
      <formula>5</formula>
    </cfRule>
    <cfRule type="containsBlanks" priority="35" dxfId="2" stopIfTrue="1">
      <formula>LEN(TRIM(H117))=0</formula>
    </cfRule>
  </conditionalFormatting>
  <conditionalFormatting sqref="H123:Q124">
    <cfRule type="containsBlanks" priority="22" dxfId="2" stopIfTrue="1">
      <formula>LEN(TRIM(H123))=0</formula>
    </cfRule>
    <cfRule type="cellIs" priority="23" dxfId="1" operator="between" stopIfTrue="1">
      <formula>80.1</formula>
      <formula>100</formula>
    </cfRule>
    <cfRule type="cellIs" priority="24" dxfId="0" operator="between" stopIfTrue="1">
      <formula>35.1</formula>
      <formula>80</formula>
    </cfRule>
    <cfRule type="cellIs" priority="25" dxfId="56" operator="between" stopIfTrue="1">
      <formula>14.1</formula>
      <formula>35</formula>
    </cfRule>
    <cfRule type="cellIs" priority="26" dxfId="138" operator="between" stopIfTrue="1">
      <formula>5.1</formula>
      <formula>14</formula>
    </cfRule>
    <cfRule type="cellIs" priority="27" dxfId="55" operator="between" stopIfTrue="1">
      <formula>0</formula>
      <formula>5</formula>
    </cfRule>
    <cfRule type="containsBlanks" priority="28" dxfId="2" stopIfTrue="1">
      <formula>LEN(TRIM(H123))=0</formula>
    </cfRule>
  </conditionalFormatting>
  <conditionalFormatting sqref="I125:Q130">
    <cfRule type="containsBlanks" priority="15" dxfId="2" stopIfTrue="1">
      <formula>LEN(TRIM(I125))=0</formula>
    </cfRule>
    <cfRule type="cellIs" priority="16" dxfId="1" operator="between" stopIfTrue="1">
      <formula>80.1</formula>
      <formula>100</formula>
    </cfRule>
    <cfRule type="cellIs" priority="17" dxfId="0" operator="between" stopIfTrue="1">
      <formula>35.1</formula>
      <formula>80</formula>
    </cfRule>
    <cfRule type="cellIs" priority="18" dxfId="56" operator="between" stopIfTrue="1">
      <formula>14.1</formula>
      <formula>35</formula>
    </cfRule>
    <cfRule type="cellIs" priority="19" dxfId="138" operator="between" stopIfTrue="1">
      <formula>5.1</formula>
      <formula>14</formula>
    </cfRule>
    <cfRule type="cellIs" priority="20" dxfId="55" operator="between" stopIfTrue="1">
      <formula>0</formula>
      <formula>5</formula>
    </cfRule>
    <cfRule type="containsBlanks" priority="21" dxfId="2" stopIfTrue="1">
      <formula>LEN(TRIM(I125))=0</formula>
    </cfRule>
  </conditionalFormatting>
  <conditionalFormatting sqref="H131:Q133">
    <cfRule type="containsBlanks" priority="8" dxfId="2" stopIfTrue="1">
      <formula>LEN(TRIM(H131))=0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56" operator="between" stopIfTrue="1">
      <formula>14.1</formula>
      <formula>35</formula>
    </cfRule>
    <cfRule type="cellIs" priority="12" dxfId="138" operator="between" stopIfTrue="1">
      <formula>5.1</formula>
      <formula>14</formula>
    </cfRule>
    <cfRule type="cellIs" priority="13" dxfId="55" operator="between" stopIfTrue="1">
      <formula>0</formula>
      <formula>5</formula>
    </cfRule>
    <cfRule type="containsBlanks" priority="14" dxfId="2" stopIfTrue="1">
      <formula>LEN(TRIM(H131))=0</formula>
    </cfRule>
  </conditionalFormatting>
  <conditionalFormatting sqref="H135:Q155">
    <cfRule type="containsBlanks" priority="1" dxfId="2" stopIfTrue="1">
      <formula>LEN(TRIM(H135))=0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56" operator="between" stopIfTrue="1">
      <formula>14.1</formula>
      <formula>35</formula>
    </cfRule>
    <cfRule type="cellIs" priority="5" dxfId="138" operator="between" stopIfTrue="1">
      <formula>5.1</formula>
      <formula>14</formula>
    </cfRule>
    <cfRule type="cellIs" priority="6" dxfId="55" operator="between" stopIfTrue="1">
      <formula>0</formula>
      <formula>5</formula>
    </cfRule>
    <cfRule type="containsBlanks" priority="7" dxfId="2" stopIfTrue="1">
      <formula>LEN(TRIM(H135))=0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2"/>
  <headerFooter alignWithMargins="0">
    <oddFooter>&amp;L                                      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2018-04-20T16:34:18Z</dcterms:modified>
  <cp:category/>
  <cp:version/>
  <cp:contentType/>
  <cp:contentStatus/>
</cp:coreProperties>
</file>