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ml.chartshapes+xml"/>
  <Override PartName="/xl/charts/chart3.xml" ContentType="application/vnd.openxmlformats-officedocument.drawingml.chart+xml"/>
  <Override PartName="/xl/drawings/drawing1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1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HN TABARES\Documents\JOHN WILLIAM\INFORMACION PROYECTO AGUAS 2020\"/>
    </mc:Choice>
  </mc:AlternateContent>
  <bookViews>
    <workbookView xWindow="0" yWindow="0" windowWidth="28770" windowHeight="12300" tabRatio="686" firstSheet="4" activeTab="10"/>
  </bookViews>
  <sheets>
    <sheet name="VALLE DE ABURRA" sheetId="1" r:id="rId1"/>
    <sheet name="URABA" sheetId="2" r:id="rId2"/>
    <sheet name="NORTE" sheetId="3" r:id="rId3"/>
    <sheet name="OCCIDENTE" sheetId="4" r:id="rId4"/>
    <sheet name="SUROESTE" sheetId="5" r:id="rId5"/>
    <sheet name="BAJO CAUCA" sheetId="6" r:id="rId6"/>
    <sheet name="MAGDALENA MEDIO" sheetId="7" r:id="rId7"/>
    <sheet name="NORDESTE" sheetId="8" r:id="rId8"/>
    <sheet name="ORIENTE" sheetId="9" r:id="rId9"/>
    <sheet name="CONSOLIDADO-ACUEDUCTOSRURALES1" sheetId="10" r:id="rId10"/>
    <sheet name="CONSOLIDADO-ACUEDUCTOSRURALES2" sheetId="11" r:id="rId11"/>
    <sheet name="Hoja1" sheetId="12" r:id="rId12"/>
    <sheet name="Recuperado_Hoja9" sheetId="13" r:id="rId13"/>
  </sheets>
  <definedNames>
    <definedName name="_xlnm._FilterDatabase" localSheetId="5" hidden="1">'BAJO CAUCA'!$A$10:$W$71</definedName>
    <definedName name="_xlnm._FilterDatabase" localSheetId="6" hidden="1">'MAGDALENA MEDIO'!$A$10:$BR$81</definedName>
    <definedName name="_xlnm._FilterDatabase" localSheetId="7" hidden="1">NORDESTE!$A$11:$W$124</definedName>
    <definedName name="_xlnm._FilterDatabase" localSheetId="2" hidden="1">NORTE!$A$9:$W$268</definedName>
    <definedName name="_xlnm._FilterDatabase" localSheetId="3" hidden="1">OCCIDENTE!$A$9:$W$527</definedName>
    <definedName name="_xlnm._FilterDatabase" localSheetId="8" hidden="1">ORIENTE!$A$11:$W$568</definedName>
    <definedName name="_xlnm._FilterDatabase" localSheetId="4" hidden="1">SUROESTE!$A$10:$IV$521</definedName>
    <definedName name="_xlnm._FilterDatabase" localSheetId="1" hidden="1">URABA!$A$9:$W$119</definedName>
    <definedName name="_xlnm._FilterDatabase" localSheetId="0" hidden="1">'VALLE DE ABURRA'!$A$10:$W$211</definedName>
    <definedName name="_xlnm.Print_Titles" localSheetId="5">'BAJO CAUCA'!#REF!</definedName>
    <definedName name="_xlnm.Print_Titles" localSheetId="6">'MAGDALENA MEDIO'!$1:$7</definedName>
    <definedName name="_xlnm.Print_Titles" localSheetId="7">NORDESTE!#REF!</definedName>
    <definedName name="_xlnm.Print_Titles" localSheetId="2">NORTE!#REF!</definedName>
    <definedName name="_xlnm.Print_Titles" localSheetId="3">OCCIDENTE!#REF!</definedName>
    <definedName name="_xlnm.Print_Titles" localSheetId="8">ORIENTE!#REF!</definedName>
    <definedName name="_xlnm.Print_Titles" localSheetId="4">SUROESTE!#REF!</definedName>
    <definedName name="_xlnm.Print_Titles" localSheetId="1">URABA!#REF!</definedName>
    <definedName name="_xlnm.Print_Titles" localSheetId="0">'VALLE DE ABURRA'!#REF!</definedName>
    <definedName name="Z_0BC005E4_882D_482B_A17C_09999F9F8307_.wvu.FilterData" localSheetId="4" hidden="1">SUROESTE!$A$11:$W$113</definedName>
    <definedName name="Z_240BA642_90B5_4126_A4A9_99E737AC13D0_.wvu.FilterData" localSheetId="5" hidden="1">'BAJO CAUCA'!$A$10:$W$70</definedName>
    <definedName name="Z_240BA642_90B5_4126_A4A9_99E737AC13D0_.wvu.FilterData" localSheetId="6" hidden="1">'MAGDALENA MEDIO'!$A$10:$BR$81</definedName>
    <definedName name="Z_240BA642_90B5_4126_A4A9_99E737AC13D0_.wvu.FilterData" localSheetId="7" hidden="1">NORDESTE!$A$11:$W$123</definedName>
    <definedName name="Z_240BA642_90B5_4126_A4A9_99E737AC13D0_.wvu.FilterData" localSheetId="3" hidden="1">OCCIDENTE!$A$9:$W$527</definedName>
    <definedName name="Z_240BA642_90B5_4126_A4A9_99E737AC13D0_.wvu.FilterData" localSheetId="8" hidden="1">ORIENTE!$A$11:$W$568</definedName>
    <definedName name="Z_240BA642_90B5_4126_A4A9_99E737AC13D0_.wvu.FilterData" localSheetId="4" hidden="1">SUROESTE!$A$10:$IV$521</definedName>
    <definedName name="Z_240BA642_90B5_4126_A4A9_99E737AC13D0_.wvu.FilterData" localSheetId="0" hidden="1">'VALLE DE ABURRA'!$A$10:$W$211</definedName>
    <definedName name="Z_45AE7309_DF76_40FF_9BC6_30C0FE705437_.wvu.FilterData" localSheetId="4" hidden="1">SUROESTE!$A$11:$W$113</definedName>
    <definedName name="Z_45C8AF51_29EC_46A5_AB7F_1F0634E55D82_.wvu.Cols" localSheetId="5" hidden="1">'BAJO CAUCA'!$T:$XFD</definedName>
    <definedName name="Z_45C8AF51_29EC_46A5_AB7F_1F0634E55D82_.wvu.Cols" localSheetId="7" hidden="1">NORDESTE!$T:$XFD</definedName>
    <definedName name="Z_45C8AF51_29EC_46A5_AB7F_1F0634E55D82_.wvu.Cols" localSheetId="2" hidden="1">NORTE!$T:$XFD</definedName>
    <definedName name="Z_45C8AF51_29EC_46A5_AB7F_1F0634E55D82_.wvu.Cols" localSheetId="3" hidden="1">OCCIDENTE!$T:$XFD</definedName>
    <definedName name="Z_45C8AF51_29EC_46A5_AB7F_1F0634E55D82_.wvu.Cols" localSheetId="8" hidden="1">ORIENTE!$T:$XFD</definedName>
    <definedName name="Z_45C8AF51_29EC_46A5_AB7F_1F0634E55D82_.wvu.Cols" localSheetId="4" hidden="1">SUROESTE!$T:$XFD</definedName>
    <definedName name="Z_45C8AF51_29EC_46A5_AB7F_1F0634E55D82_.wvu.Cols" localSheetId="1" hidden="1">URABA!$T:$XFD</definedName>
    <definedName name="Z_45C8AF51_29EC_46A5_AB7F_1F0634E55D82_.wvu.Cols" localSheetId="0" hidden="1">'VALLE DE ABURRA'!$T:$XFD</definedName>
    <definedName name="Z_45C8AF51_29EC_46A5_AB7F_1F0634E55D82_.wvu.FilterData" localSheetId="5" hidden="1">'BAJO CAUCA'!$A$10:$W$71</definedName>
    <definedName name="Z_45C8AF51_29EC_46A5_AB7F_1F0634E55D82_.wvu.FilterData" localSheetId="6" hidden="1">'MAGDALENA MEDIO'!$A$10:$BR$81</definedName>
    <definedName name="Z_45C8AF51_29EC_46A5_AB7F_1F0634E55D82_.wvu.FilterData" localSheetId="7" hidden="1">NORDESTE!$A$11:$W$124</definedName>
    <definedName name="Z_45C8AF51_29EC_46A5_AB7F_1F0634E55D82_.wvu.FilterData" localSheetId="2" hidden="1">NORTE!$A$1:$S$268</definedName>
    <definedName name="Z_45C8AF51_29EC_46A5_AB7F_1F0634E55D82_.wvu.FilterData" localSheetId="3" hidden="1">OCCIDENTE!$A$9:$W$527</definedName>
    <definedName name="Z_45C8AF51_29EC_46A5_AB7F_1F0634E55D82_.wvu.FilterData" localSheetId="8" hidden="1">ORIENTE!$A$11:$W$568</definedName>
    <definedName name="Z_45C8AF51_29EC_46A5_AB7F_1F0634E55D82_.wvu.FilterData" localSheetId="4" hidden="1">SUROESTE!$A$10:$IV$521</definedName>
    <definedName name="Z_45C8AF51_29EC_46A5_AB7F_1F0634E55D82_.wvu.FilterData" localSheetId="1" hidden="1">URABA!$A$9:$W$119</definedName>
    <definedName name="Z_45C8AF51_29EC_46A5_AB7F_1F0634E55D82_.wvu.FilterData" localSheetId="0" hidden="1">'VALLE DE ABURRA'!$A$10:$W$211</definedName>
    <definedName name="Z_45C8AF51_29EC_46A5_AB7F_1F0634E55D82_.wvu.PrintTitles" localSheetId="6" hidden="1">'MAGDALENA MEDIO'!$1:$7</definedName>
    <definedName name="Z_45C8AF51_29EC_46A5_AB7F_1F0634E55D82_.wvu.Rows" localSheetId="5" hidden="1">'BAJO CAUCA'!$721:$1048576,'BAJO CAUCA'!$648:$695,'BAJO CAUCA'!$699:$720</definedName>
    <definedName name="Z_45C8AF51_29EC_46A5_AB7F_1F0634E55D82_.wvu.Rows" localSheetId="7" hidden="1">NORDESTE!$342:$1048576,NORDESTE!$327:$341</definedName>
    <definedName name="Z_45C8AF51_29EC_46A5_AB7F_1F0634E55D82_.wvu.Rows" localSheetId="2" hidden="1">NORTE!$738:$1048576,NORTE!$331:$485</definedName>
    <definedName name="Z_45C8AF51_29EC_46A5_AB7F_1F0634E55D82_.wvu.Rows" localSheetId="3" hidden="1">OCCIDENTE!$755:$1048576</definedName>
    <definedName name="Z_45C8AF51_29EC_46A5_AB7F_1F0634E55D82_.wvu.Rows" localSheetId="8" hidden="1">ORIENTE!$720:$1048576</definedName>
    <definedName name="Z_45C8AF51_29EC_46A5_AB7F_1F0634E55D82_.wvu.Rows" localSheetId="4" hidden="1">SUROESTE!$764:$1048576,SUROESTE!$605:$605,SUROESTE!$756:$757,SUROESTE!$759:$763</definedName>
    <definedName name="Z_45C8AF51_29EC_46A5_AB7F_1F0634E55D82_.wvu.Rows" localSheetId="1" hidden="1">URABA!$496:$1048576,URABA!$284:$439,URABA!$489:$494</definedName>
    <definedName name="Z_517032D9_A4B9_4DF6_AF6F_013B4C18FEE6_.wvu.FilterData" localSheetId="0" hidden="1">'VALLE DE ABURRA'!$A$10:$W$232</definedName>
    <definedName name="Z_64E98953_D9FC_418E_8635_8B1C17E32257_.wvu.FilterData" localSheetId="4" hidden="1">SUROESTE!$A$11:$W$113</definedName>
    <definedName name="Z_75DD7674_E7DE_4BB1_A36D_76AA33452CB3_.wvu.Cols" localSheetId="5" hidden="1">'BAJO CAUCA'!$T:$XFD</definedName>
    <definedName name="Z_75DD7674_E7DE_4BB1_A36D_76AA33452CB3_.wvu.Cols" localSheetId="7" hidden="1">NORDESTE!$T:$XFD</definedName>
    <definedName name="Z_75DD7674_E7DE_4BB1_A36D_76AA33452CB3_.wvu.Cols" localSheetId="2" hidden="1">NORTE!$T:$XFD</definedName>
    <definedName name="Z_75DD7674_E7DE_4BB1_A36D_76AA33452CB3_.wvu.Cols" localSheetId="3" hidden="1">OCCIDENTE!$T:$XFD</definedName>
    <definedName name="Z_75DD7674_E7DE_4BB1_A36D_76AA33452CB3_.wvu.Cols" localSheetId="8" hidden="1">ORIENTE!$T:$XFD</definedName>
    <definedName name="Z_75DD7674_E7DE_4BB1_A36D_76AA33452CB3_.wvu.Cols" localSheetId="4" hidden="1">SUROESTE!$T:$XFD</definedName>
    <definedName name="Z_75DD7674_E7DE_4BB1_A36D_76AA33452CB3_.wvu.Cols" localSheetId="1" hidden="1">URABA!$T:$XFD</definedName>
    <definedName name="Z_75DD7674_E7DE_4BB1_A36D_76AA33452CB3_.wvu.Cols" localSheetId="0" hidden="1">'VALLE DE ABURRA'!$T:$XFD</definedName>
    <definedName name="Z_75DD7674_E7DE_4BB1_A36D_76AA33452CB3_.wvu.FilterData" localSheetId="5" hidden="1">'BAJO CAUCA'!$A$10:$W$71</definedName>
    <definedName name="Z_75DD7674_E7DE_4BB1_A36D_76AA33452CB3_.wvu.FilterData" localSheetId="6" hidden="1">'MAGDALENA MEDIO'!$A$10:$BR$81</definedName>
    <definedName name="Z_75DD7674_E7DE_4BB1_A36D_76AA33452CB3_.wvu.FilterData" localSheetId="7" hidden="1">NORDESTE!$A$11:$W$124</definedName>
    <definedName name="Z_75DD7674_E7DE_4BB1_A36D_76AA33452CB3_.wvu.FilterData" localSheetId="2" hidden="1">NORTE!$A$9:$W$268</definedName>
    <definedName name="Z_75DD7674_E7DE_4BB1_A36D_76AA33452CB3_.wvu.FilterData" localSheetId="3" hidden="1">OCCIDENTE!$A$9:$W$527</definedName>
    <definedName name="Z_75DD7674_E7DE_4BB1_A36D_76AA33452CB3_.wvu.FilterData" localSheetId="8" hidden="1">ORIENTE!$A$11:$W$568</definedName>
    <definedName name="Z_75DD7674_E7DE_4BB1_A36D_76AA33452CB3_.wvu.FilterData" localSheetId="4" hidden="1">SUROESTE!$A$10:$IV$521</definedName>
    <definedName name="Z_75DD7674_E7DE_4BB1_A36D_76AA33452CB3_.wvu.FilterData" localSheetId="1" hidden="1">URABA!$A$9:$W$119</definedName>
    <definedName name="Z_75DD7674_E7DE_4BB1_A36D_76AA33452CB3_.wvu.FilterData" localSheetId="0" hidden="1">'VALLE DE ABURRA'!$A$10:$W$211</definedName>
    <definedName name="Z_75DD7674_E7DE_4BB1_A36D_76AA33452CB3_.wvu.PrintTitles" localSheetId="6" hidden="1">'MAGDALENA MEDIO'!$1:$7</definedName>
    <definedName name="Z_75DD7674_E7DE_4BB1_A36D_76AA33452CB3_.wvu.Rows" localSheetId="5" hidden="1">'BAJO CAUCA'!$721:$1048576,'BAJO CAUCA'!$696:$698</definedName>
    <definedName name="Z_75DD7674_E7DE_4BB1_A36D_76AA33452CB3_.wvu.Rows" localSheetId="7" hidden="1">NORDESTE!$342:$1048576,NORDESTE!$327:$341</definedName>
    <definedName name="Z_75DD7674_E7DE_4BB1_A36D_76AA33452CB3_.wvu.Rows" localSheetId="2" hidden="1">NORTE!$738:$1048576,NORTE!$331:$485,NORTE!$591:$737</definedName>
    <definedName name="Z_75DD7674_E7DE_4BB1_A36D_76AA33452CB3_.wvu.Rows" localSheetId="3" hidden="1">OCCIDENTE!$755:$1048576</definedName>
    <definedName name="Z_75DD7674_E7DE_4BB1_A36D_76AA33452CB3_.wvu.Rows" localSheetId="8" hidden="1">ORIENTE!$720:$1048576</definedName>
    <definedName name="Z_75DD7674_E7DE_4BB1_A36D_76AA33452CB3_.wvu.Rows" localSheetId="4" hidden="1">SUROESTE!$764:$1048576,SUROESTE!$605:$605,SUROESTE!$756:$763</definedName>
    <definedName name="Z_75DD7674_E7DE_4BB1_A36D_76AA33452CB3_.wvu.Rows" localSheetId="1" hidden="1">URABA!$496:$1048576,URABA!$284:$439,URABA!$489:$495</definedName>
    <definedName name="Z_A1AE07FC_EB65_433F_821D_BE06E92AB2D3_.wvu.FilterData" localSheetId="4" hidden="1">SUROESTE!$A$11:$W$113</definedName>
    <definedName name="Z_AEDE1BDB_8710_4CDA_8488_31F49D423ACE_.wvu.Cols" localSheetId="5" hidden="1">'BAJO CAUCA'!$T:$XFD</definedName>
    <definedName name="Z_AEDE1BDB_8710_4CDA_8488_31F49D423ACE_.wvu.Cols" localSheetId="7" hidden="1">NORDESTE!$T:$XFD</definedName>
    <definedName name="Z_AEDE1BDB_8710_4CDA_8488_31F49D423ACE_.wvu.Cols" localSheetId="2" hidden="1">NORTE!$T:$XFD</definedName>
    <definedName name="Z_AEDE1BDB_8710_4CDA_8488_31F49D423ACE_.wvu.Cols" localSheetId="4" hidden="1">SUROESTE!$T:$XFD</definedName>
    <definedName name="Z_AEDE1BDB_8710_4CDA_8488_31F49D423ACE_.wvu.Cols" localSheetId="1" hidden="1">URABA!$T:$XFD</definedName>
    <definedName name="Z_AEDE1BDB_8710_4CDA_8488_31F49D423ACE_.wvu.FilterData" localSheetId="5" hidden="1">'BAJO CAUCA'!$A$10:$W$25</definedName>
    <definedName name="Z_AEDE1BDB_8710_4CDA_8488_31F49D423ACE_.wvu.FilterData" localSheetId="6" hidden="1">'MAGDALENA MEDIO'!$A$8:$W$13</definedName>
    <definedName name="Z_AEDE1BDB_8710_4CDA_8488_31F49D423ACE_.wvu.FilterData" localSheetId="8" hidden="1">ORIENTE!$A$11:$W$568</definedName>
    <definedName name="Z_AEDE1BDB_8710_4CDA_8488_31F49D423ACE_.wvu.FilterData" localSheetId="4" hidden="1">SUROESTE!$A$11:$W$113</definedName>
    <definedName name="Z_AEDE1BDB_8710_4CDA_8488_31F49D423ACE_.wvu.FilterData" localSheetId="1" hidden="1">URABA!$A$9:$W$119</definedName>
    <definedName name="Z_AEDE1BDB_8710_4CDA_8488_31F49D423ACE_.wvu.FilterData" localSheetId="0" hidden="1">'VALLE DE ABURRA'!$A$10:$W$232</definedName>
    <definedName name="Z_AEDE1BDB_8710_4CDA_8488_31F49D423ACE_.wvu.PrintTitles" localSheetId="6" hidden="1">'MAGDALENA MEDIO'!$1:$7</definedName>
    <definedName name="Z_AEDE1BDB_8710_4CDA_8488_31F49D423ACE_.wvu.Rows" localSheetId="5" hidden="1">'BAJO CAUCA'!$648:$1048576</definedName>
    <definedName name="Z_AEDE1BDB_8710_4CDA_8488_31F49D423ACE_.wvu.Rows" localSheetId="7" hidden="1">NORDESTE!$327:$1048576</definedName>
    <definedName name="Z_AEDE1BDB_8710_4CDA_8488_31F49D423ACE_.wvu.Rows" localSheetId="2" hidden="1">NORTE!$591:$1048576,NORTE!$331:$485</definedName>
    <definedName name="Z_AEDE1BDB_8710_4CDA_8488_31F49D423ACE_.wvu.Rows" localSheetId="3" hidden="1">OCCIDENTE!$755:$1048576</definedName>
    <definedName name="Z_AEDE1BDB_8710_4CDA_8488_31F49D423ACE_.wvu.Rows" localSheetId="8" hidden="1">ORIENTE!$720:$1048576</definedName>
    <definedName name="Z_AEDE1BDB_8710_4CDA_8488_31F49D423ACE_.wvu.Rows" localSheetId="4" hidden="1">SUROESTE!$758:$1048576,SUROESTE!$605:$605,SUROESTE!$756:$757</definedName>
    <definedName name="Z_AEDE1BDB_8710_4CDA_8488_31F49D423ACE_.wvu.Rows" localSheetId="1" hidden="1">URABA!$495:$1048576,URABA!$284:$439,URABA!$489:$494</definedName>
    <definedName name="Z_BEFDC7EA_264B_417F_8BFF_45DAD338E7E1_.wvu.FilterData" localSheetId="4" hidden="1">SUROESTE!$A$11:$W$113</definedName>
    <definedName name="Z_C57B382E_2C58_4CC4_82F5_E09F3EEAA329_.wvu.FilterData" localSheetId="8" hidden="1">ORIENTE!$A$11:$W$568</definedName>
    <definedName name="Z_C57B382E_2C58_4CC4_82F5_E09F3EEAA329_.wvu.FilterData" localSheetId="4" hidden="1">SUROESTE!$A$11:$W$113</definedName>
    <definedName name="Z_F5D399BA_45A7_4E12_9AE4_6C6852B41446_.wvu.FilterData" localSheetId="2" hidden="1">NORTE!$A$9:$W$268</definedName>
    <definedName name="Z_FCC3B493_4306_43B2_9C73_76324485DD47_.wvu.Cols" localSheetId="5" hidden="1">'BAJO CAUCA'!$T:$XFD</definedName>
    <definedName name="Z_FCC3B493_4306_43B2_9C73_76324485DD47_.wvu.Cols" localSheetId="7" hidden="1">NORDESTE!$T:$XFD</definedName>
    <definedName name="Z_FCC3B493_4306_43B2_9C73_76324485DD47_.wvu.Cols" localSheetId="2" hidden="1">NORTE!$T:$XFD</definedName>
    <definedName name="Z_FCC3B493_4306_43B2_9C73_76324485DD47_.wvu.Cols" localSheetId="3" hidden="1">OCCIDENTE!$T:$XFD</definedName>
    <definedName name="Z_FCC3B493_4306_43B2_9C73_76324485DD47_.wvu.Cols" localSheetId="8" hidden="1">ORIENTE!$T:$XFD</definedName>
    <definedName name="Z_FCC3B493_4306_43B2_9C73_76324485DD47_.wvu.Cols" localSheetId="4" hidden="1">SUROESTE!$T:$XFD</definedName>
    <definedName name="Z_FCC3B493_4306_43B2_9C73_76324485DD47_.wvu.Cols" localSheetId="1" hidden="1">URABA!$T:$XFD</definedName>
    <definedName name="Z_FCC3B493_4306_43B2_9C73_76324485DD47_.wvu.Cols" localSheetId="0" hidden="1">'VALLE DE ABURRA'!$T:$XFD</definedName>
    <definedName name="Z_FCC3B493_4306_43B2_9C73_76324485DD47_.wvu.FilterData" localSheetId="5" hidden="1">'BAJO CAUCA'!$10:$71</definedName>
    <definedName name="Z_FCC3B493_4306_43B2_9C73_76324485DD47_.wvu.FilterData" localSheetId="6" hidden="1">'MAGDALENA MEDIO'!$A$10:$BR$81</definedName>
    <definedName name="Z_FCC3B493_4306_43B2_9C73_76324485DD47_.wvu.FilterData" localSheetId="7" hidden="1">NORDESTE!$A$11:$W$124</definedName>
    <definedName name="Z_FCC3B493_4306_43B2_9C73_76324485DD47_.wvu.FilterData" localSheetId="2" hidden="1">NORTE!$A$1:$S$268</definedName>
    <definedName name="Z_FCC3B493_4306_43B2_9C73_76324485DD47_.wvu.FilterData" localSheetId="3" hidden="1">OCCIDENTE!$A$9:$W$527</definedName>
    <definedName name="Z_FCC3B493_4306_43B2_9C73_76324485DD47_.wvu.FilterData" localSheetId="8" hidden="1">ORIENTE!$A$11:$W$568</definedName>
    <definedName name="Z_FCC3B493_4306_43B2_9C73_76324485DD47_.wvu.FilterData" localSheetId="4" hidden="1">SUROESTE!$A$10:$IV$521</definedName>
    <definedName name="Z_FCC3B493_4306_43B2_9C73_76324485DD47_.wvu.FilterData" localSheetId="1" hidden="1">URABA!$A$9:$W$119</definedName>
    <definedName name="Z_FCC3B493_4306_43B2_9C73_76324485DD47_.wvu.FilterData" localSheetId="0" hidden="1">'VALLE DE ABURRA'!$A$10:$W$211</definedName>
    <definedName name="Z_FCC3B493_4306_43B2_9C73_76324485DD47_.wvu.PrintTitles" localSheetId="6" hidden="1">'MAGDALENA MEDIO'!$1:$7</definedName>
    <definedName name="Z_FCC3B493_4306_43B2_9C73_76324485DD47_.wvu.Rows" localSheetId="5" hidden="1">'BAJO CAUCA'!$721:$1048576,'BAJO CAUCA'!$648:$720</definedName>
    <definedName name="Z_FCC3B493_4306_43B2_9C73_76324485DD47_.wvu.Rows" localSheetId="7" hidden="1">NORDESTE!$342:$1048576</definedName>
    <definedName name="Z_FCC3B493_4306_43B2_9C73_76324485DD47_.wvu.Rows" localSheetId="2" hidden="1">NORTE!$738:$1048576,NORTE!$331:$485,NORTE!$591:$737</definedName>
    <definedName name="Z_FCC3B493_4306_43B2_9C73_76324485DD47_.wvu.Rows" localSheetId="3" hidden="1">OCCIDENTE!$755:$1048576</definedName>
    <definedName name="Z_FCC3B493_4306_43B2_9C73_76324485DD47_.wvu.Rows" localSheetId="8" hidden="1">ORIENTE!$720:$1048576</definedName>
    <definedName name="Z_FCC3B493_4306_43B2_9C73_76324485DD47_.wvu.Rows" localSheetId="4" hidden="1">SUROESTE!$764:$1048576,SUROESTE!$605:$605,SUROESTE!$756:$758</definedName>
    <definedName name="Z_FCC3B493_4306_43B2_9C73_76324485DD47_.wvu.Rows" localSheetId="1" hidden="1">URABA!$496:$1048576,URABA!$284:$439,URABA!$489:$495</definedName>
  </definedNames>
  <calcPr calcId="162913"/>
  <customWorkbookViews>
    <customWorkbookView name="ROGELIO DE JESUS LOPEZ - Vista personalizada" guid="{45C8AF51-29EC-46A5-AB7F-1F0634E55D82}" mergeInterval="0" personalView="1" maximized="1" xWindow="-8" yWindow="-8" windowWidth="1616" windowHeight="876" tabRatio="690" activeSheetId="4"/>
    <customWorkbookView name="JOHN FERNANDO DIAZ HURTADO - Vista personalizada" guid="{FCC3B493-4306-43B2-9C73-76324485DD47}" mergeInterval="0" personalView="1" maximized="1" windowWidth="1436" windowHeight="675" tabRatio="690" activeSheetId="2"/>
    <customWorkbookView name="ERIKA MAYA CORTES - Vista personalizada" guid="{AEDE1BDB-8710-4CDA-8488-31F49D423ACE}" mergeInterval="0" personalView="1" maximized="1" windowWidth="1596" windowHeight="675" tabRatio="690" activeSheetId="11"/>
    <customWorkbookView name="JHON WILLIAM TABARES MORALES - Vista personalizada" guid="{75DD7674-E7DE-4BB1-A36D-76AA33452CB3}" mergeInterval="0" personalView="1" maximized="1" windowWidth="1596" windowHeight="609" tabRatio="686" activeSheetId="9"/>
  </customWorkbookViews>
</workbook>
</file>

<file path=xl/calcChain.xml><?xml version="1.0" encoding="utf-8"?>
<calcChain xmlns="http://schemas.openxmlformats.org/spreadsheetml/2006/main">
  <c r="O126" i="11" l="1"/>
  <c r="R190" i="9"/>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10" i="3"/>
  <c r="S11" i="3"/>
  <c r="S12" i="3"/>
  <c r="S13" i="3"/>
  <c r="S14" i="3"/>
  <c r="S15" i="3"/>
  <c r="S16" i="3"/>
  <c r="S17" i="3"/>
  <c r="S18" i="3"/>
  <c r="S19" i="3"/>
  <c r="S20" i="3"/>
  <c r="S21" i="3"/>
  <c r="S22" i="3"/>
  <c r="S23" i="3"/>
  <c r="S24" i="3"/>
  <c r="S25" i="3"/>
  <c r="S26" i="3"/>
  <c r="S27" i="3"/>
  <c r="S28" i="3"/>
  <c r="S29" i="3"/>
  <c r="S30" i="3"/>
  <c r="S31" i="3"/>
  <c r="S32" i="3"/>
  <c r="S33" i="3"/>
  <c r="S34" i="3"/>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135" i="1"/>
  <c r="S136" i="1"/>
  <c r="S137" i="1"/>
  <c r="S138" i="1"/>
  <c r="S139" i="1"/>
  <c r="S140" i="1"/>
  <c r="S141" i="1"/>
  <c r="S142" i="1"/>
  <c r="S143" i="1"/>
  <c r="S125" i="1"/>
  <c r="S126" i="1"/>
  <c r="S127" i="1"/>
  <c r="S128" i="1"/>
  <c r="S129" i="1"/>
  <c r="S130" i="1"/>
  <c r="S131" i="1"/>
  <c r="S132" i="1"/>
  <c r="S133" i="1"/>
  <c r="S134" i="1"/>
  <c r="S121" i="1"/>
  <c r="S122" i="1"/>
  <c r="S123" i="1"/>
  <c r="S124" i="1"/>
  <c r="Q452" i="9" l="1"/>
  <c r="S452" i="9" s="1"/>
  <c r="Q442" i="9"/>
  <c r="S442" i="9" s="1"/>
  <c r="Q441" i="9"/>
  <c r="S441" i="9" s="1"/>
  <c r="R452" i="9" l="1"/>
  <c r="R441" i="9"/>
  <c r="R442" i="9"/>
  <c r="R347" i="9" l="1"/>
  <c r="Q347" i="9"/>
  <c r="S347" i="9" s="1"/>
  <c r="Q346" i="9"/>
  <c r="S346" i="9" s="1"/>
  <c r="R346" i="9" l="1"/>
  <c r="Q109" i="9" l="1"/>
  <c r="R109" i="9" s="1"/>
  <c r="Q107" i="9"/>
  <c r="S107" i="9" s="1"/>
  <c r="R107" i="9" l="1"/>
  <c r="S109" i="9"/>
  <c r="Q70" i="9" l="1"/>
  <c r="S70" i="9" s="1"/>
  <c r="Q69" i="9"/>
  <c r="S69" i="9" s="1"/>
  <c r="Q68" i="9"/>
  <c r="S68" i="9" s="1"/>
  <c r="R68" i="9" l="1"/>
  <c r="R69" i="9"/>
  <c r="R70" i="9"/>
  <c r="Q93" i="4" l="1"/>
  <c r="S93" i="4" s="1"/>
  <c r="Q92" i="4"/>
  <c r="S92" i="4" s="1"/>
  <c r="R92" i="4" l="1"/>
  <c r="R93" i="4"/>
  <c r="R167" i="3"/>
  <c r="Q58" i="2" l="1"/>
  <c r="S58" i="2" s="1"/>
  <c r="Q59" i="2"/>
  <c r="S59" i="2" s="1"/>
  <c r="R58" i="2" l="1"/>
  <c r="R59" i="2"/>
  <c r="Q42" i="2" l="1"/>
  <c r="S42" i="2" s="1"/>
  <c r="R42" i="2" l="1"/>
  <c r="Q205" i="1"/>
  <c r="R205" i="1" l="1"/>
  <c r="Q185" i="1" l="1"/>
  <c r="R185" i="1" l="1"/>
  <c r="Q117" i="1"/>
  <c r="S117" i="1" s="1"/>
  <c r="R117" i="1" l="1"/>
  <c r="Q549" i="9" l="1"/>
  <c r="S549" i="9" s="1"/>
  <c r="Q548" i="9"/>
  <c r="S548" i="9" s="1"/>
  <c r="Q550" i="9"/>
  <c r="S550" i="9" s="1"/>
  <c r="R549" i="9" l="1"/>
  <c r="R548" i="9"/>
  <c r="R550" i="9"/>
  <c r="Q504" i="9" l="1"/>
  <c r="S504" i="9" s="1"/>
  <c r="R504" i="9" l="1"/>
  <c r="Q202" i="9"/>
  <c r="S202" i="9" s="1"/>
  <c r="R202" i="9" l="1"/>
  <c r="Q148" i="9"/>
  <c r="S148" i="9" s="1"/>
  <c r="Q147" i="9"/>
  <c r="S147" i="9" s="1"/>
  <c r="Q146" i="9"/>
  <c r="S146" i="9" s="1"/>
  <c r="Q149" i="9"/>
  <c r="R149" i="9" s="1"/>
  <c r="Q145" i="9"/>
  <c r="S145" i="9" s="1"/>
  <c r="Q144" i="9"/>
  <c r="S144" i="9" s="1"/>
  <c r="R148" i="9" l="1"/>
  <c r="R146" i="9"/>
  <c r="R144" i="9"/>
  <c r="R145" i="9"/>
  <c r="R147" i="9"/>
  <c r="S149" i="9"/>
  <c r="Q122" i="8" l="1"/>
  <c r="S122" i="8" s="1"/>
  <c r="R122" i="8" l="1"/>
  <c r="Q64" i="8"/>
  <c r="R64" i="8" s="1"/>
  <c r="S64" i="8" l="1"/>
  <c r="Q24" i="7" l="1"/>
  <c r="S24" i="7" s="1"/>
  <c r="Q23" i="7"/>
  <c r="S23" i="7" s="1"/>
  <c r="R23" i="7" l="1"/>
  <c r="R24" i="7"/>
  <c r="Q40" i="6"/>
  <c r="S40" i="6" s="1"/>
  <c r="R40" i="6" l="1"/>
  <c r="Q97" i="5"/>
  <c r="S97" i="5" s="1"/>
  <c r="R96" i="5"/>
  <c r="Q96" i="5"/>
  <c r="S96" i="5" s="1"/>
  <c r="Q94" i="5"/>
  <c r="S94" i="5" s="1"/>
  <c r="Q95" i="5"/>
  <c r="Q93" i="5"/>
  <c r="Q92" i="5"/>
  <c r="Q91" i="5"/>
  <c r="Q87" i="5"/>
  <c r="Q86" i="5"/>
  <c r="Q82" i="5"/>
  <c r="Q81" i="5"/>
  <c r="S80" i="5"/>
  <c r="Q80" i="5"/>
  <c r="Q76" i="5"/>
  <c r="Q72" i="5"/>
  <c r="Q71" i="5"/>
  <c r="Q70" i="5"/>
  <c r="Q67" i="5"/>
  <c r="Q66" i="5"/>
  <c r="Q64" i="5"/>
  <c r="Q61" i="5"/>
  <c r="Q60" i="5"/>
  <c r="Q56" i="5"/>
  <c r="Q55" i="5"/>
  <c r="Q54" i="5"/>
  <c r="Q53" i="5"/>
  <c r="Q51" i="5"/>
  <c r="Q50" i="5"/>
  <c r="Q48" i="5"/>
  <c r="R94" i="5" l="1"/>
  <c r="R97" i="5"/>
  <c r="Q509" i="5"/>
  <c r="S509" i="5" s="1"/>
  <c r="Q497" i="5"/>
  <c r="S497" i="5" s="1"/>
  <c r="Q496" i="5"/>
  <c r="S496" i="5" s="1"/>
  <c r="R496" i="5" l="1"/>
  <c r="R497" i="5"/>
  <c r="R509" i="5"/>
  <c r="Q439" i="5" l="1"/>
  <c r="S439" i="5" s="1"/>
  <c r="Q438" i="5"/>
  <c r="S438" i="5" s="1"/>
  <c r="Q437" i="5"/>
  <c r="S437" i="5" s="1"/>
  <c r="Q436" i="5"/>
  <c r="S436" i="5" s="1"/>
  <c r="Q435" i="5"/>
  <c r="S435" i="5" s="1"/>
  <c r="R437" i="5" l="1"/>
  <c r="R439" i="5"/>
  <c r="R438" i="5"/>
  <c r="R436" i="5"/>
  <c r="R435" i="5"/>
  <c r="Q236" i="5" l="1"/>
  <c r="S236" i="5" s="1"/>
  <c r="R236" i="5" l="1"/>
  <c r="R314" i="4" l="1"/>
  <c r="Q314" i="4"/>
  <c r="S314" i="4" s="1"/>
  <c r="Q305" i="4" l="1"/>
  <c r="S305" i="4" s="1"/>
  <c r="Q304" i="4"/>
  <c r="S304" i="4" s="1"/>
  <c r="R304" i="4" l="1"/>
  <c r="R305" i="4"/>
  <c r="Q283" i="4" l="1"/>
  <c r="R283" i="4" s="1"/>
  <c r="Q282" i="4"/>
  <c r="S282" i="4" s="1"/>
  <c r="R282" i="4" l="1"/>
  <c r="S283" i="4"/>
  <c r="Q178" i="4" l="1"/>
  <c r="S178" i="4" s="1"/>
  <c r="Q177" i="4"/>
  <c r="S177" i="4" s="1"/>
  <c r="Q175" i="4"/>
  <c r="R175" i="4" s="1"/>
  <c r="R177" i="4" l="1"/>
  <c r="R178" i="4"/>
  <c r="S175" i="4"/>
  <c r="Q138" i="4" l="1"/>
  <c r="R138" i="4" s="1"/>
  <c r="Q104" i="4"/>
  <c r="S104" i="4" s="1"/>
  <c r="Q103" i="4"/>
  <c r="S103" i="4" s="1"/>
  <c r="Q102" i="4"/>
  <c r="S102" i="4" s="1"/>
  <c r="Q101" i="4"/>
  <c r="S101" i="4" s="1"/>
  <c r="Q100" i="4"/>
  <c r="S100" i="4" s="1"/>
  <c r="Q99" i="4"/>
  <c r="S99" i="4" s="1"/>
  <c r="Q98" i="4"/>
  <c r="S98" i="4" s="1"/>
  <c r="Q97" i="4"/>
  <c r="S97" i="4" s="1"/>
  <c r="Q96" i="4"/>
  <c r="S96" i="4" s="1"/>
  <c r="Q105" i="4"/>
  <c r="S105" i="4" s="1"/>
  <c r="R103" i="4" l="1"/>
  <c r="S138" i="4"/>
  <c r="R104" i="4"/>
  <c r="R102" i="4"/>
  <c r="R101" i="4"/>
  <c r="R100" i="4"/>
  <c r="R99" i="4"/>
  <c r="R98" i="4"/>
  <c r="R97" i="4"/>
  <c r="R96" i="4"/>
  <c r="R105" i="4"/>
  <c r="Q236" i="3" l="1"/>
  <c r="R236" i="3" s="1"/>
  <c r="Q235" i="3"/>
  <c r="R235" i="3" s="1"/>
  <c r="Q54" i="3" l="1"/>
  <c r="R54" i="3" l="1"/>
  <c r="Q111" i="2" l="1"/>
  <c r="R111" i="2" s="1"/>
  <c r="S111" i="2" l="1"/>
  <c r="Q91" i="1"/>
  <c r="R91" i="1" s="1"/>
  <c r="S91" i="1" l="1"/>
  <c r="Q145" i="1"/>
  <c r="S253" i="9" l="1"/>
  <c r="S285" i="4"/>
  <c r="S286" i="4"/>
  <c r="S287" i="4"/>
  <c r="S288" i="4"/>
  <c r="S289" i="4"/>
  <c r="S290" i="4"/>
  <c r="S293" i="4"/>
  <c r="S295" i="4"/>
  <c r="S298" i="4"/>
  <c r="S100" i="2"/>
  <c r="S101" i="2"/>
  <c r="Q46" i="7" l="1"/>
  <c r="Q18" i="8" l="1"/>
  <c r="S18" i="8" s="1"/>
  <c r="Q20" i="8"/>
  <c r="R20" i="8" l="1"/>
  <c r="S20" i="8"/>
  <c r="R18" i="8"/>
  <c r="Q19" i="8"/>
  <c r="R19" i="8" l="1"/>
  <c r="S19" i="8"/>
  <c r="Q431" i="9"/>
  <c r="Q432" i="9"/>
  <c r="S432" i="9" s="1"/>
  <c r="Q433" i="9"/>
  <c r="Q430" i="9"/>
  <c r="S430" i="9" s="1"/>
  <c r="Q429" i="9"/>
  <c r="Q428" i="9"/>
  <c r="Q427" i="9"/>
  <c r="S427" i="9" s="1"/>
  <c r="Q426" i="9"/>
  <c r="S426" i="9" s="1"/>
  <c r="Q425" i="9"/>
  <c r="Q424" i="9"/>
  <c r="Q423" i="9"/>
  <c r="R431" i="9" l="1"/>
  <c r="S431" i="9"/>
  <c r="R429" i="9"/>
  <c r="S429" i="9"/>
  <c r="R424" i="9"/>
  <c r="S424" i="9"/>
  <c r="R428" i="9"/>
  <c r="S428" i="9"/>
  <c r="R425" i="9"/>
  <c r="S425" i="9"/>
  <c r="R423" i="9"/>
  <c r="S423" i="9"/>
  <c r="R433" i="9"/>
  <c r="S433" i="9"/>
  <c r="R432" i="9"/>
  <c r="R426" i="9"/>
  <c r="R430" i="9"/>
  <c r="R427" i="9"/>
  <c r="Q71" i="6" l="1"/>
  <c r="R71" i="6" s="1"/>
  <c r="S71" i="6" l="1"/>
  <c r="I48" i="10" l="1"/>
  <c r="B132" i="8"/>
  <c r="B79" i="6"/>
  <c r="B530" i="5"/>
  <c r="B536" i="4"/>
  <c r="B220" i="1"/>
  <c r="B533" i="4" l="1"/>
  <c r="B534" i="4"/>
  <c r="B535" i="4"/>
  <c r="B276" i="3"/>
  <c r="B277" i="3"/>
  <c r="B134" i="2"/>
  <c r="B215" i="1"/>
  <c r="B532" i="4" l="1"/>
  <c r="F202" i="11" s="1"/>
  <c r="B531" i="4"/>
  <c r="D202" i="11" l="1"/>
  <c r="B576" i="9" l="1"/>
  <c r="B575" i="9"/>
  <c r="L207" i="11" s="1"/>
  <c r="B574" i="9"/>
  <c r="J207" i="11" s="1"/>
  <c r="B573" i="9"/>
  <c r="H207" i="11" s="1"/>
  <c r="B572" i="9"/>
  <c r="F207" i="11" s="1"/>
  <c r="B571" i="9"/>
  <c r="D207" i="11" s="1"/>
  <c r="B131" i="8"/>
  <c r="L206" i="11" s="1"/>
  <c r="B130" i="8"/>
  <c r="J206" i="11" s="1"/>
  <c r="B129" i="8"/>
  <c r="H206" i="11" s="1"/>
  <c r="B128" i="8"/>
  <c r="F206" i="11" s="1"/>
  <c r="B127" i="8"/>
  <c r="D206" i="11" s="1"/>
  <c r="B89" i="7"/>
  <c r="B88" i="7"/>
  <c r="L205" i="11" s="1"/>
  <c r="B87" i="7"/>
  <c r="J205" i="11" s="1"/>
  <c r="B86" i="7"/>
  <c r="H205" i="11" s="1"/>
  <c r="B85" i="7"/>
  <c r="F205" i="11" s="1"/>
  <c r="B84" i="7"/>
  <c r="D205" i="11" s="1"/>
  <c r="L202" i="11"/>
  <c r="J202" i="11"/>
  <c r="H202" i="11"/>
  <c r="B78" i="6"/>
  <c r="L204" i="11" s="1"/>
  <c r="B77" i="6"/>
  <c r="J204" i="11" s="1"/>
  <c r="B76" i="6"/>
  <c r="H204" i="11" s="1"/>
  <c r="B75" i="6"/>
  <c r="F204" i="11" s="1"/>
  <c r="B74" i="6"/>
  <c r="D204" i="11" s="1"/>
  <c r="N205" i="11" l="1"/>
  <c r="N202" i="11"/>
  <c r="B133" i="8"/>
  <c r="B537" i="4"/>
  <c r="B577" i="9"/>
  <c r="B80" i="6"/>
  <c r="B90" i="7"/>
  <c r="B529" i="5"/>
  <c r="L203" i="11" s="1"/>
  <c r="B528" i="5"/>
  <c r="J203" i="11" s="1"/>
  <c r="B527" i="5"/>
  <c r="H203" i="11" s="1"/>
  <c r="B526" i="5"/>
  <c r="F203" i="11" s="1"/>
  <c r="B525" i="5"/>
  <c r="D203" i="11" s="1"/>
  <c r="B275" i="3"/>
  <c r="J201" i="11" s="1"/>
  <c r="B274" i="3"/>
  <c r="H201" i="11" s="1"/>
  <c r="B273" i="3"/>
  <c r="F201" i="11" s="1"/>
  <c r="B272" i="3"/>
  <c r="D201" i="11" s="1"/>
  <c r="L201" i="11"/>
  <c r="B219" i="1"/>
  <c r="L199" i="11" s="1"/>
  <c r="B218" i="1"/>
  <c r="J199" i="11" s="1"/>
  <c r="B217" i="1"/>
  <c r="H199" i="11" s="1"/>
  <c r="B216" i="1"/>
  <c r="F199" i="11" s="1"/>
  <c r="D199" i="11"/>
  <c r="B132" i="2"/>
  <c r="J200" i="11" s="1"/>
  <c r="B131" i="2"/>
  <c r="H200" i="11" s="1"/>
  <c r="B130" i="2"/>
  <c r="F200" i="11" s="1"/>
  <c r="B133" i="2"/>
  <c r="L200" i="11" s="1"/>
  <c r="B129" i="2"/>
  <c r="D200" i="11" s="1"/>
  <c r="N201" i="11" l="1"/>
  <c r="N200" i="11"/>
  <c r="N199" i="11"/>
  <c r="D208" i="11"/>
  <c r="B531" i="5"/>
  <c r="B278" i="3"/>
  <c r="B135" i="2"/>
  <c r="B221" i="1"/>
  <c r="D94" i="10"/>
  <c r="B132" i="11" s="1"/>
  <c r="D93" i="10"/>
  <c r="B133" i="11" s="1"/>
  <c r="Q11" i="6"/>
  <c r="S11" i="6" s="1"/>
  <c r="E199" i="11" l="1"/>
  <c r="E202" i="11"/>
  <c r="E206" i="11"/>
  <c r="E204" i="11"/>
  <c r="E201" i="11"/>
  <c r="E203" i="11"/>
  <c r="E207" i="11"/>
  <c r="E200" i="11"/>
  <c r="E205" i="11"/>
  <c r="Q70" i="6"/>
  <c r="S70" i="6" s="1"/>
  <c r="Q69" i="6"/>
  <c r="S69" i="6" s="1"/>
  <c r="Q68" i="6"/>
  <c r="Q67" i="6"/>
  <c r="Q66" i="6"/>
  <c r="S66" i="6" s="1"/>
  <c r="Q65" i="6"/>
  <c r="S65" i="6" s="1"/>
  <c r="Q64" i="6"/>
  <c r="Q63" i="6"/>
  <c r="Q62" i="6"/>
  <c r="S62" i="6" s="1"/>
  <c r="Q61" i="6"/>
  <c r="S61" i="6" s="1"/>
  <c r="Q60" i="6"/>
  <c r="Q59" i="6"/>
  <c r="Q58" i="6"/>
  <c r="S58" i="6" s="1"/>
  <c r="Q57" i="6"/>
  <c r="S57" i="6" s="1"/>
  <c r="Q56" i="6"/>
  <c r="Q55" i="6"/>
  <c r="Q54" i="6"/>
  <c r="S54" i="6" s="1"/>
  <c r="Q53" i="6"/>
  <c r="S53" i="6" s="1"/>
  <c r="Q52" i="6"/>
  <c r="Q51" i="6"/>
  <c r="Q50" i="6"/>
  <c r="S50" i="6" s="1"/>
  <c r="Q49" i="6"/>
  <c r="S49" i="6" s="1"/>
  <c r="Q48" i="6"/>
  <c r="Q47" i="6"/>
  <c r="Q46" i="6"/>
  <c r="S46" i="6" s="1"/>
  <c r="Q45" i="6"/>
  <c r="S45" i="6" s="1"/>
  <c r="Q44" i="6"/>
  <c r="Q43" i="6"/>
  <c r="Q42" i="6"/>
  <c r="S42" i="6" s="1"/>
  <c r="Q41" i="6"/>
  <c r="S41" i="6" s="1"/>
  <c r="Q39" i="6"/>
  <c r="Q18" i="6"/>
  <c r="Q17" i="6"/>
  <c r="S17" i="6" s="1"/>
  <c r="Q16" i="6"/>
  <c r="S16" i="6" s="1"/>
  <c r="Q15" i="6"/>
  <c r="Q14" i="6"/>
  <c r="S14" i="6" s="1"/>
  <c r="Q13" i="6"/>
  <c r="S13" i="6" s="1"/>
  <c r="Q38" i="6"/>
  <c r="Q37" i="6"/>
  <c r="Q36" i="6"/>
  <c r="S36" i="6" s="1"/>
  <c r="Q35" i="6"/>
  <c r="S35" i="6" s="1"/>
  <c r="Q34" i="6"/>
  <c r="Q33" i="6"/>
  <c r="Q32" i="6"/>
  <c r="S32" i="6" s="1"/>
  <c r="Q31" i="6"/>
  <c r="S31" i="6" s="1"/>
  <c r="Q30" i="6"/>
  <c r="Q29" i="6"/>
  <c r="Q28" i="6"/>
  <c r="S28" i="6" s="1"/>
  <c r="Q27" i="6"/>
  <c r="S27" i="6" s="1"/>
  <c r="Q26" i="6"/>
  <c r="Q25" i="6"/>
  <c r="Q24" i="6"/>
  <c r="S24" i="6" s="1"/>
  <c r="Q23" i="6"/>
  <c r="S23" i="6" s="1"/>
  <c r="Q22" i="6"/>
  <c r="Q21" i="6"/>
  <c r="Q20" i="6"/>
  <c r="S20" i="6" s="1"/>
  <c r="Q19" i="6"/>
  <c r="S19" i="6" s="1"/>
  <c r="Q12" i="6"/>
  <c r="D74" i="10"/>
  <c r="Q266" i="5"/>
  <c r="S266" i="5" s="1"/>
  <c r="Q256" i="5"/>
  <c r="S256" i="5" s="1"/>
  <c r="Q187" i="5"/>
  <c r="Q30" i="5"/>
  <c r="Q12" i="5"/>
  <c r="Q13" i="5"/>
  <c r="Q14" i="5"/>
  <c r="Q15" i="5"/>
  <c r="S15" i="5" s="1"/>
  <c r="Q16" i="5"/>
  <c r="Q17" i="5"/>
  <c r="Q18" i="5"/>
  <c r="Q19" i="5"/>
  <c r="S19" i="5" s="1"/>
  <c r="Q20" i="5"/>
  <c r="Q21" i="5"/>
  <c r="Q22" i="5"/>
  <c r="Q23" i="5"/>
  <c r="S23" i="5" s="1"/>
  <c r="Q24" i="5"/>
  <c r="Q25" i="5"/>
  <c r="Q26" i="5"/>
  <c r="Q27" i="5"/>
  <c r="S27" i="5" s="1"/>
  <c r="Q28" i="5"/>
  <c r="Q29" i="5"/>
  <c r="Q31" i="5"/>
  <c r="S31" i="5" s="1"/>
  <c r="Q32" i="5"/>
  <c r="Q33" i="5"/>
  <c r="Q34" i="5"/>
  <c r="Q35" i="5"/>
  <c r="S35" i="5" s="1"/>
  <c r="Q36" i="5"/>
  <c r="Q37" i="5"/>
  <c r="Q38" i="5"/>
  <c r="Q39" i="5"/>
  <c r="S39" i="5" s="1"/>
  <c r="Q40" i="5"/>
  <c r="Q41" i="5"/>
  <c r="Q42" i="5"/>
  <c r="Q43" i="5"/>
  <c r="R43" i="5" s="1"/>
  <c r="Q44" i="5"/>
  <c r="Q45" i="5"/>
  <c r="S45" i="5" s="1"/>
  <c r="Q46" i="5"/>
  <c r="Q47" i="5"/>
  <c r="S47" i="5" s="1"/>
  <c r="Q49" i="5"/>
  <c r="S49" i="5" s="1"/>
  <c r="S51" i="5"/>
  <c r="Q52" i="5"/>
  <c r="S53" i="5"/>
  <c r="S55" i="5"/>
  <c r="S57" i="5"/>
  <c r="Q58" i="5"/>
  <c r="Q59" i="5"/>
  <c r="R59" i="5" s="1"/>
  <c r="S61" i="5"/>
  <c r="Q62" i="5"/>
  <c r="Q63" i="5"/>
  <c r="S63" i="5" s="1"/>
  <c r="Q65" i="5"/>
  <c r="S65" i="5" s="1"/>
  <c r="S67" i="5"/>
  <c r="Q68" i="5"/>
  <c r="Q69" i="5"/>
  <c r="S69" i="5" s="1"/>
  <c r="S71" i="5"/>
  <c r="Q73" i="5"/>
  <c r="S73" i="5" s="1"/>
  <c r="Q74" i="5"/>
  <c r="Q75" i="5"/>
  <c r="R75" i="5" s="1"/>
  <c r="Q77" i="5"/>
  <c r="S77" i="5" s="1"/>
  <c r="Q78" i="5"/>
  <c r="Q79" i="5"/>
  <c r="S79" i="5" s="1"/>
  <c r="S81" i="5"/>
  <c r="S83" i="5"/>
  <c r="Q85" i="5"/>
  <c r="S85" i="5" s="1"/>
  <c r="S87" i="5"/>
  <c r="Q89" i="5"/>
  <c r="S89" i="5" s="1"/>
  <c r="Q90" i="5"/>
  <c r="S91" i="5"/>
  <c r="S93" i="5"/>
  <c r="Q98" i="5"/>
  <c r="S98" i="5" s="1"/>
  <c r="Q99" i="5"/>
  <c r="Q100" i="5"/>
  <c r="S100" i="5" s="1"/>
  <c r="Q101" i="5"/>
  <c r="Q102" i="5"/>
  <c r="S102" i="5" s="1"/>
  <c r="Q103" i="5"/>
  <c r="Q104" i="5"/>
  <c r="S104" i="5" s="1"/>
  <c r="Q105" i="5"/>
  <c r="Q106" i="5"/>
  <c r="S106" i="5" s="1"/>
  <c r="Q107" i="5"/>
  <c r="Q108" i="5"/>
  <c r="S108" i="5" s="1"/>
  <c r="Q109" i="5"/>
  <c r="Q110" i="5"/>
  <c r="R110" i="5" s="1"/>
  <c r="Q111" i="5"/>
  <c r="Q112" i="5"/>
  <c r="S112" i="5" s="1"/>
  <c r="Q113" i="5"/>
  <c r="Q114" i="5"/>
  <c r="S114" i="5" s="1"/>
  <c r="Q115" i="5"/>
  <c r="Q116" i="5"/>
  <c r="S116" i="5" s="1"/>
  <c r="Q117" i="5"/>
  <c r="S117" i="5" s="1"/>
  <c r="Q118" i="5"/>
  <c r="S118" i="5" s="1"/>
  <c r="Q119" i="5"/>
  <c r="S119" i="5" s="1"/>
  <c r="Q120" i="5"/>
  <c r="S120" i="5" s="1"/>
  <c r="Q121" i="5"/>
  <c r="S121" i="5" s="1"/>
  <c r="Q122" i="5"/>
  <c r="S122" i="5" s="1"/>
  <c r="Q123" i="5"/>
  <c r="S123" i="5" s="1"/>
  <c r="Q124" i="5"/>
  <c r="S124" i="5" s="1"/>
  <c r="Q125" i="5"/>
  <c r="S125" i="5" s="1"/>
  <c r="Q126" i="5"/>
  <c r="R126" i="5" s="1"/>
  <c r="D60" i="10"/>
  <c r="R21" i="6" l="1"/>
  <c r="S21" i="6"/>
  <c r="R25" i="6"/>
  <c r="S25" i="6"/>
  <c r="R29" i="6"/>
  <c r="S29" i="6"/>
  <c r="R33" i="6"/>
  <c r="S33" i="6"/>
  <c r="R37" i="6"/>
  <c r="S37" i="6"/>
  <c r="R18" i="6"/>
  <c r="S18" i="6"/>
  <c r="R43" i="6"/>
  <c r="S43" i="6"/>
  <c r="R47" i="6"/>
  <c r="S47" i="6"/>
  <c r="R51" i="6"/>
  <c r="S51" i="6"/>
  <c r="R55" i="6"/>
  <c r="S55" i="6"/>
  <c r="R59" i="6"/>
  <c r="S59" i="6"/>
  <c r="R63" i="6"/>
  <c r="S63" i="6"/>
  <c r="R67" i="6"/>
  <c r="S67" i="6"/>
  <c r="R22" i="6"/>
  <c r="S22" i="6"/>
  <c r="R26" i="6"/>
  <c r="S26" i="6"/>
  <c r="R30" i="6"/>
  <c r="S30" i="6"/>
  <c r="R34" i="6"/>
  <c r="S34" i="6"/>
  <c r="R38" i="6"/>
  <c r="S38" i="6"/>
  <c r="R15" i="6"/>
  <c r="S15" i="6"/>
  <c r="R39" i="6"/>
  <c r="S39" i="6"/>
  <c r="R44" i="6"/>
  <c r="S44" i="6"/>
  <c r="R48" i="6"/>
  <c r="S48" i="6"/>
  <c r="R52" i="6"/>
  <c r="S52" i="6"/>
  <c r="R56" i="6"/>
  <c r="S56" i="6"/>
  <c r="R60" i="6"/>
  <c r="S60" i="6"/>
  <c r="R64" i="6"/>
  <c r="S64" i="6"/>
  <c r="R68" i="6"/>
  <c r="S68" i="6"/>
  <c r="R12" i="6"/>
  <c r="S12" i="6"/>
  <c r="R11" i="6"/>
  <c r="R19" i="6"/>
  <c r="R23" i="6"/>
  <c r="R27" i="6"/>
  <c r="R31" i="6"/>
  <c r="R35" i="6"/>
  <c r="R13" i="6"/>
  <c r="R16" i="6"/>
  <c r="R41" i="6"/>
  <c r="R45" i="6"/>
  <c r="R49" i="6"/>
  <c r="R53" i="6"/>
  <c r="R57" i="6"/>
  <c r="R61" i="6"/>
  <c r="R65" i="6"/>
  <c r="R69" i="6"/>
  <c r="R20" i="6"/>
  <c r="R24" i="6"/>
  <c r="R28" i="6"/>
  <c r="R32" i="6"/>
  <c r="R36" i="6"/>
  <c r="R14" i="6"/>
  <c r="R17" i="6"/>
  <c r="R42" i="6"/>
  <c r="R46" i="6"/>
  <c r="R50" i="6"/>
  <c r="R54" i="6"/>
  <c r="R58" i="6"/>
  <c r="R62" i="6"/>
  <c r="R66" i="6"/>
  <c r="R70" i="6"/>
  <c r="R39" i="5"/>
  <c r="R23" i="5"/>
  <c r="S75" i="5"/>
  <c r="S41" i="5"/>
  <c r="R41" i="5"/>
  <c r="R116" i="5"/>
  <c r="R89" i="5"/>
  <c r="R73" i="5"/>
  <c r="R49" i="5"/>
  <c r="S115" i="5"/>
  <c r="R115" i="5"/>
  <c r="S111" i="5"/>
  <c r="R111" i="5"/>
  <c r="S107" i="5"/>
  <c r="R107" i="5"/>
  <c r="S103" i="5"/>
  <c r="R103" i="5"/>
  <c r="S99" i="5"/>
  <c r="R99" i="5"/>
  <c r="S92" i="5"/>
  <c r="R92" i="5"/>
  <c r="S88" i="5"/>
  <c r="R88" i="5"/>
  <c r="S84" i="5"/>
  <c r="R84" i="5"/>
  <c r="R80" i="5"/>
  <c r="S76" i="5"/>
  <c r="R76" i="5"/>
  <c r="S72" i="5"/>
  <c r="R72" i="5"/>
  <c r="S68" i="5"/>
  <c r="R68" i="5"/>
  <c r="S64" i="5"/>
  <c r="R64" i="5"/>
  <c r="S60" i="5"/>
  <c r="R60" i="5"/>
  <c r="S56" i="5"/>
  <c r="R56" i="5"/>
  <c r="S52" i="5"/>
  <c r="R52" i="5"/>
  <c r="S48" i="5"/>
  <c r="R48" i="5"/>
  <c r="S44" i="5"/>
  <c r="R44" i="5"/>
  <c r="S40" i="5"/>
  <c r="R40" i="5"/>
  <c r="S36" i="5"/>
  <c r="R36" i="5"/>
  <c r="S32" i="5"/>
  <c r="R32" i="5"/>
  <c r="S30" i="5"/>
  <c r="R30" i="5"/>
  <c r="R123" i="5"/>
  <c r="R119" i="5"/>
  <c r="R114" i="5"/>
  <c r="R106" i="5"/>
  <c r="R98" i="5"/>
  <c r="R87" i="5"/>
  <c r="R79" i="5"/>
  <c r="R71" i="5"/>
  <c r="R63" i="5"/>
  <c r="R55" i="5"/>
  <c r="R47" i="5"/>
  <c r="R35" i="5"/>
  <c r="R19" i="5"/>
  <c r="S126" i="5"/>
  <c r="S59" i="5"/>
  <c r="S37" i="5"/>
  <c r="R37" i="5"/>
  <c r="S24" i="5"/>
  <c r="R24" i="5"/>
  <c r="S16" i="5"/>
  <c r="R16" i="5"/>
  <c r="R120" i="5"/>
  <c r="R100" i="5"/>
  <c r="R65" i="5"/>
  <c r="S26" i="5"/>
  <c r="R26" i="5"/>
  <c r="S22" i="5"/>
  <c r="R22" i="5"/>
  <c r="S18" i="5"/>
  <c r="R18" i="5"/>
  <c r="S14" i="5"/>
  <c r="R14" i="5"/>
  <c r="R122" i="5"/>
  <c r="R118" i="5"/>
  <c r="R112" i="5"/>
  <c r="R104" i="5"/>
  <c r="R93" i="5"/>
  <c r="R85" i="5"/>
  <c r="R77" i="5"/>
  <c r="R69" i="5"/>
  <c r="R61" i="5"/>
  <c r="R53" i="5"/>
  <c r="R45" i="5"/>
  <c r="R31" i="5"/>
  <c r="R15" i="5"/>
  <c r="S110" i="5"/>
  <c r="S43" i="5"/>
  <c r="S33" i="5"/>
  <c r="R33" i="5"/>
  <c r="S28" i="5"/>
  <c r="R28" i="5"/>
  <c r="S20" i="5"/>
  <c r="R20" i="5"/>
  <c r="S12" i="5"/>
  <c r="R12" i="5"/>
  <c r="R124" i="5"/>
  <c r="R108" i="5"/>
  <c r="R81" i="5"/>
  <c r="R57" i="5"/>
  <c r="S113" i="5"/>
  <c r="R113" i="5"/>
  <c r="S109" i="5"/>
  <c r="R109" i="5"/>
  <c r="S105" i="5"/>
  <c r="R105" i="5"/>
  <c r="S101" i="5"/>
  <c r="R101" i="5"/>
  <c r="S95" i="5"/>
  <c r="R95" i="5"/>
  <c r="S90" i="5"/>
  <c r="R90" i="5"/>
  <c r="S86" i="5"/>
  <c r="R86" i="5"/>
  <c r="S82" i="5"/>
  <c r="R82" i="5"/>
  <c r="S78" i="5"/>
  <c r="R78" i="5"/>
  <c r="S74" i="5"/>
  <c r="R74" i="5"/>
  <c r="S70" i="5"/>
  <c r="R70" i="5"/>
  <c r="S66" i="5"/>
  <c r="R66" i="5"/>
  <c r="S62" i="5"/>
  <c r="R62" i="5"/>
  <c r="S58" i="5"/>
  <c r="R58" i="5"/>
  <c r="S54" i="5"/>
  <c r="R54" i="5"/>
  <c r="S50" i="5"/>
  <c r="R50" i="5"/>
  <c r="S46" i="5"/>
  <c r="R46" i="5"/>
  <c r="S42" i="5"/>
  <c r="R42" i="5"/>
  <c r="S38" i="5"/>
  <c r="R38" i="5"/>
  <c r="S34" i="5"/>
  <c r="R34" i="5"/>
  <c r="S29" i="5"/>
  <c r="R29" i="5"/>
  <c r="S25" i="5"/>
  <c r="R25" i="5"/>
  <c r="S21" i="5"/>
  <c r="R21" i="5"/>
  <c r="S17" i="5"/>
  <c r="R17" i="5"/>
  <c r="S13" i="5"/>
  <c r="R13" i="5"/>
  <c r="S187" i="5"/>
  <c r="R187" i="5"/>
  <c r="R125" i="5"/>
  <c r="R121" i="5"/>
  <c r="R117" i="5"/>
  <c r="R102" i="5"/>
  <c r="R91" i="5"/>
  <c r="R83" i="5"/>
  <c r="R67" i="5"/>
  <c r="R51" i="5"/>
  <c r="R27" i="5"/>
  <c r="L132" i="11" l="1"/>
  <c r="L13" i="11"/>
  <c r="H136" i="11"/>
  <c r="L136" i="11"/>
  <c r="J136" i="11"/>
  <c r="D136" i="11"/>
  <c r="L135" i="11"/>
  <c r="F136" i="11"/>
  <c r="H135" i="11"/>
  <c r="J135" i="11"/>
  <c r="D135" i="11"/>
  <c r="F135" i="11"/>
  <c r="L105" i="11"/>
  <c r="D105" i="11"/>
  <c r="J105" i="11"/>
  <c r="H105" i="11"/>
  <c r="F105" i="11"/>
  <c r="N204" i="11" l="1"/>
  <c r="D35" i="10"/>
  <c r="Q153" i="3" l="1"/>
  <c r="Q154" i="3"/>
  <c r="Q155" i="3"/>
  <c r="Q164" i="3"/>
  <c r="Q163" i="3"/>
  <c r="Q152" i="3"/>
  <c r="D8" i="10"/>
  <c r="D140" i="10"/>
  <c r="D138" i="10"/>
  <c r="D137" i="10"/>
  <c r="D136" i="10"/>
  <c r="D133" i="10"/>
  <c r="D131" i="10"/>
  <c r="D126" i="10"/>
  <c r="D125" i="10"/>
  <c r="D122" i="10"/>
  <c r="D116" i="10"/>
  <c r="D115" i="10"/>
  <c r="D114" i="10"/>
  <c r="D108" i="10"/>
  <c r="D105" i="10"/>
  <c r="D102" i="10"/>
  <c r="D100" i="10"/>
  <c r="D98" i="10"/>
  <c r="D97" i="10"/>
  <c r="D96" i="10"/>
  <c r="D91" i="10"/>
  <c r="D90" i="10"/>
  <c r="D88" i="10"/>
  <c r="D86" i="10"/>
  <c r="D85" i="10"/>
  <c r="D84" i="10"/>
  <c r="D82" i="10"/>
  <c r="D80" i="10"/>
  <c r="D79" i="10"/>
  <c r="D75" i="10"/>
  <c r="D71" i="10"/>
  <c r="D69" i="10"/>
  <c r="D67" i="10"/>
  <c r="D66" i="10"/>
  <c r="D65" i="10"/>
  <c r="D61" i="10"/>
  <c r="D64" i="10"/>
  <c r="D57" i="10"/>
  <c r="D56" i="10"/>
  <c r="D55" i="10"/>
  <c r="D49" i="10"/>
  <c r="D50" i="10"/>
  <c r="D47" i="10"/>
  <c r="D42" i="10"/>
  <c r="D41" i="10"/>
  <c r="D39" i="10"/>
  <c r="D38" i="10"/>
  <c r="D37" i="10"/>
  <c r="D36" i="10"/>
  <c r="D34" i="10"/>
  <c r="D27" i="10"/>
  <c r="D25" i="10"/>
  <c r="D29" i="10"/>
  <c r="D26" i="10"/>
  <c r="D24" i="10"/>
  <c r="D22" i="10"/>
  <c r="D23" i="10"/>
  <c r="R163" i="3" l="1"/>
  <c r="R164" i="3"/>
  <c r="D53" i="10"/>
  <c r="B83" i="11" s="1"/>
  <c r="B85" i="11"/>
  <c r="B86" i="11"/>
  <c r="B87" i="11"/>
  <c r="B90" i="11"/>
  <c r="B91" i="11"/>
  <c r="B94" i="11"/>
  <c r="B95" i="11"/>
  <c r="B96" i="11"/>
  <c r="B97" i="11"/>
  <c r="D54" i="10"/>
  <c r="B84" i="11" s="1"/>
  <c r="D52" i="10"/>
  <c r="B82" i="11" s="1"/>
  <c r="D19" i="10"/>
  <c r="F58" i="11"/>
  <c r="D121" i="10"/>
  <c r="D118" i="10"/>
  <c r="B171" i="11" s="1"/>
  <c r="L172" i="11"/>
  <c r="D67" i="11" l="1"/>
  <c r="D46" i="10" l="1"/>
  <c r="D45" i="10"/>
  <c r="D44" i="10"/>
  <c r="D43" i="10"/>
  <c r="D40" i="10"/>
  <c r="Q175" i="1" l="1"/>
  <c r="Q174" i="1"/>
  <c r="Q173" i="1"/>
  <c r="Q172" i="1"/>
  <c r="Q171" i="1"/>
  <c r="Q170" i="1"/>
  <c r="Q169" i="1"/>
  <c r="Q168" i="1"/>
  <c r="Q167" i="1"/>
  <c r="Q166" i="1"/>
  <c r="Q165" i="1"/>
  <c r="R167" i="1" l="1"/>
  <c r="R165" i="1"/>
  <c r="R169" i="1"/>
  <c r="R173" i="1"/>
  <c r="R166" i="1"/>
  <c r="R172" i="1"/>
  <c r="R170" i="1"/>
  <c r="R175" i="1"/>
  <c r="R168" i="1"/>
  <c r="R171" i="1"/>
  <c r="R174" i="1"/>
  <c r="Q211" i="1" l="1"/>
  <c r="Q210" i="1"/>
  <c r="Q209" i="1"/>
  <c r="Q208" i="1"/>
  <c r="Q207" i="1"/>
  <c r="Q206" i="1"/>
  <c r="Q204" i="1"/>
  <c r="R204" i="1" l="1"/>
  <c r="R209" i="1"/>
  <c r="R207" i="1"/>
  <c r="R208" i="1"/>
  <c r="R211" i="1"/>
  <c r="R206" i="1"/>
  <c r="R210" i="1"/>
  <c r="Q112" i="1" l="1"/>
  <c r="Q113" i="1"/>
  <c r="Q114" i="1"/>
  <c r="S114" i="1" s="1"/>
  <c r="Q115" i="1"/>
  <c r="S115" i="1" s="1"/>
  <c r="Q116" i="1"/>
  <c r="Q118" i="1"/>
  <c r="Q119" i="1"/>
  <c r="Q120" i="1"/>
  <c r="S120" i="1" s="1"/>
  <c r="Q121" i="1"/>
  <c r="Q122" i="1"/>
  <c r="Q123" i="1"/>
  <c r="Q124" i="1"/>
  <c r="Q125" i="1"/>
  <c r="Q111" i="1"/>
  <c r="S111" i="1" s="1"/>
  <c r="R123" i="1" l="1"/>
  <c r="R119" i="1"/>
  <c r="S119" i="1"/>
  <c r="R113" i="1"/>
  <c r="S113" i="1"/>
  <c r="R122" i="1"/>
  <c r="R118" i="1"/>
  <c r="S118" i="1"/>
  <c r="R124" i="1"/>
  <c r="R116" i="1"/>
  <c r="S116" i="1"/>
  <c r="R112" i="1"/>
  <c r="S112" i="1"/>
  <c r="R125" i="1"/>
  <c r="R121" i="1"/>
  <c r="R120" i="1"/>
  <c r="R115" i="1"/>
  <c r="R114" i="1"/>
  <c r="R111" i="1"/>
  <c r="Q55" i="1" l="1"/>
  <c r="Q54" i="1"/>
  <c r="S54" i="1" s="1"/>
  <c r="Q53" i="1"/>
  <c r="Q52" i="1"/>
  <c r="S52" i="1" s="1"/>
  <c r="Q51" i="1"/>
  <c r="S51" i="1" s="1"/>
  <c r="Q50" i="1"/>
  <c r="S50" i="1" s="1"/>
  <c r="Q49" i="1"/>
  <c r="Q48" i="1"/>
  <c r="Q47" i="1"/>
  <c r="Q46" i="1"/>
  <c r="Q45" i="1"/>
  <c r="Q44" i="1"/>
  <c r="S44" i="1" s="1"/>
  <c r="Q43" i="1"/>
  <c r="Q42" i="1"/>
  <c r="S42" i="1" s="1"/>
  <c r="Q41" i="1"/>
  <c r="Q40" i="1"/>
  <c r="S40" i="1" s="1"/>
  <c r="Q39" i="1"/>
  <c r="S39" i="1" s="1"/>
  <c r="Q38" i="1"/>
  <c r="Q37" i="1"/>
  <c r="Q36" i="1"/>
  <c r="S36" i="1" s="1"/>
  <c r="Q35" i="1"/>
  <c r="Q34" i="1"/>
  <c r="S34" i="1" s="1"/>
  <c r="Q33" i="1"/>
  <c r="Q32" i="1"/>
  <c r="S32" i="1" s="1"/>
  <c r="Q31" i="1"/>
  <c r="S31" i="1" s="1"/>
  <c r="Q30" i="1"/>
  <c r="S30" i="1" s="1"/>
  <c r="Q29" i="1"/>
  <c r="Q28" i="1"/>
  <c r="S28" i="1" s="1"/>
  <c r="Q27" i="1"/>
  <c r="S27" i="1" s="1"/>
  <c r="Q26" i="1"/>
  <c r="S26" i="1" s="1"/>
  <c r="Q25" i="1"/>
  <c r="Q24" i="1"/>
  <c r="S24" i="1" s="1"/>
  <c r="Q23" i="1"/>
  <c r="S23" i="1" s="1"/>
  <c r="Q22" i="1"/>
  <c r="S22" i="1" s="1"/>
  <c r="Q21" i="1"/>
  <c r="Q20" i="1"/>
  <c r="S20" i="1" s="1"/>
  <c r="Q19" i="1"/>
  <c r="Q18" i="1"/>
  <c r="S18" i="1" s="1"/>
  <c r="Q17" i="1"/>
  <c r="Q16" i="1"/>
  <c r="S16" i="1" s="1"/>
  <c r="Q15" i="1"/>
  <c r="Q14" i="1"/>
  <c r="S14" i="1" s="1"/>
  <c r="Q13" i="1"/>
  <c r="Q12" i="1"/>
  <c r="S12" i="1" s="1"/>
  <c r="Q11" i="1"/>
  <c r="S11" i="1" s="1"/>
  <c r="R48" i="1" l="1"/>
  <c r="S48" i="1"/>
  <c r="R13" i="1"/>
  <c r="S13" i="1"/>
  <c r="R17" i="1"/>
  <c r="S17" i="1"/>
  <c r="R21" i="1"/>
  <c r="S21" i="1"/>
  <c r="R25" i="1"/>
  <c r="S25" i="1"/>
  <c r="R29" i="1"/>
  <c r="S29" i="1"/>
  <c r="R33" i="1"/>
  <c r="S33" i="1"/>
  <c r="R37" i="1"/>
  <c r="S37" i="1"/>
  <c r="R41" i="1"/>
  <c r="S41" i="1"/>
  <c r="R45" i="1"/>
  <c r="S45" i="1"/>
  <c r="R49" i="1"/>
  <c r="S49" i="1"/>
  <c r="R53" i="1"/>
  <c r="S53" i="1"/>
  <c r="R38" i="1"/>
  <c r="S38" i="1"/>
  <c r="R46" i="1"/>
  <c r="S46" i="1"/>
  <c r="R15" i="1"/>
  <c r="S15" i="1"/>
  <c r="R19" i="1"/>
  <c r="S19" i="1"/>
  <c r="R35" i="1"/>
  <c r="S35" i="1"/>
  <c r="R43" i="1"/>
  <c r="S43" i="1"/>
  <c r="R47" i="1"/>
  <c r="S47" i="1"/>
  <c r="R55" i="1"/>
  <c r="S55" i="1"/>
  <c r="R44" i="1"/>
  <c r="R16" i="1"/>
  <c r="R32" i="1"/>
  <c r="R28" i="1"/>
  <c r="R52" i="1"/>
  <c r="R20" i="1"/>
  <c r="R36" i="1"/>
  <c r="R12" i="1"/>
  <c r="R24" i="1"/>
  <c r="R40" i="1"/>
  <c r="R23" i="1"/>
  <c r="R27" i="1"/>
  <c r="R31" i="1"/>
  <c r="R39" i="1"/>
  <c r="R51" i="1"/>
  <c r="R14" i="1"/>
  <c r="R18" i="1"/>
  <c r="R22" i="1"/>
  <c r="R26" i="1"/>
  <c r="R30" i="1"/>
  <c r="R34" i="1"/>
  <c r="R42" i="1"/>
  <c r="R50" i="1"/>
  <c r="R54" i="1"/>
  <c r="R11" i="1"/>
  <c r="Q71" i="1"/>
  <c r="S71" i="1" s="1"/>
  <c r="Q70" i="1"/>
  <c r="S70" i="1" s="1"/>
  <c r="Q69" i="1"/>
  <c r="Q68" i="1"/>
  <c r="S68" i="1" s="1"/>
  <c r="Q67" i="1"/>
  <c r="S67" i="1" s="1"/>
  <c r="Q66" i="1"/>
  <c r="S66" i="1" s="1"/>
  <c r="Q65" i="1"/>
  <c r="Q64" i="1"/>
  <c r="S64" i="1" s="1"/>
  <c r="Q63" i="1"/>
  <c r="S63" i="1" s="1"/>
  <c r="Q62" i="1"/>
  <c r="S62" i="1" s="1"/>
  <c r="Q61" i="1"/>
  <c r="Q60" i="1"/>
  <c r="S60" i="1" s="1"/>
  <c r="Q59" i="1"/>
  <c r="S59" i="1" s="1"/>
  <c r="Q58" i="1"/>
  <c r="S58" i="1" s="1"/>
  <c r="Q57" i="1"/>
  <c r="Q56" i="1"/>
  <c r="R65" i="1" l="1"/>
  <c r="S65" i="1"/>
  <c r="R69" i="1"/>
  <c r="S69" i="1"/>
  <c r="R61" i="1"/>
  <c r="S61" i="1"/>
  <c r="R57" i="1"/>
  <c r="S57" i="1"/>
  <c r="R56" i="1"/>
  <c r="S56" i="1"/>
  <c r="D25" i="11"/>
  <c r="R68" i="1"/>
  <c r="R64" i="1"/>
  <c r="R60" i="1"/>
  <c r="R59" i="1"/>
  <c r="R63" i="1"/>
  <c r="R67" i="1"/>
  <c r="R71" i="1"/>
  <c r="R58" i="1"/>
  <c r="R62" i="1"/>
  <c r="R66" i="1"/>
  <c r="R70" i="1"/>
  <c r="D26" i="11" l="1"/>
  <c r="Q110" i="1"/>
  <c r="S110" i="1" s="1"/>
  <c r="Q109" i="1"/>
  <c r="Q108" i="1"/>
  <c r="S108" i="1" s="1"/>
  <c r="Q107" i="1"/>
  <c r="Q106" i="1"/>
  <c r="Q105" i="1"/>
  <c r="Q104" i="1"/>
  <c r="S104" i="1" s="1"/>
  <c r="Q103" i="1"/>
  <c r="Q102" i="1"/>
  <c r="Q101" i="1"/>
  <c r="Q100" i="1"/>
  <c r="S100" i="1" s="1"/>
  <c r="Q99" i="1"/>
  <c r="Q98" i="1"/>
  <c r="Q97" i="1"/>
  <c r="S97" i="1" s="1"/>
  <c r="Q96" i="1"/>
  <c r="S96" i="1" s="1"/>
  <c r="Q95" i="1"/>
  <c r="Q94" i="1"/>
  <c r="Q93" i="1"/>
  <c r="S93" i="1" s="1"/>
  <c r="Q92" i="1"/>
  <c r="S92" i="1" s="1"/>
  <c r="R101" i="1" l="1"/>
  <c r="S101" i="1"/>
  <c r="R105" i="1"/>
  <c r="S105" i="1"/>
  <c r="R109" i="1"/>
  <c r="S109" i="1"/>
  <c r="R94" i="1"/>
  <c r="S94" i="1"/>
  <c r="R98" i="1"/>
  <c r="S98" i="1"/>
  <c r="R102" i="1"/>
  <c r="S102" i="1"/>
  <c r="R106" i="1"/>
  <c r="S106" i="1"/>
  <c r="R95" i="1"/>
  <c r="S95" i="1"/>
  <c r="R99" i="1"/>
  <c r="S99" i="1"/>
  <c r="R103" i="1"/>
  <c r="S103" i="1"/>
  <c r="R107" i="1"/>
  <c r="S107" i="1"/>
  <c r="R97" i="1"/>
  <c r="R93" i="1"/>
  <c r="R96" i="1"/>
  <c r="R110" i="1"/>
  <c r="R104" i="1"/>
  <c r="R92" i="1"/>
  <c r="R100" i="1"/>
  <c r="R108" i="1"/>
  <c r="D28" i="11" l="1"/>
  <c r="Q156" i="1"/>
  <c r="Q155" i="1"/>
  <c r="Q154" i="1"/>
  <c r="Q153" i="1"/>
  <c r="Q152" i="1"/>
  <c r="Q151" i="1"/>
  <c r="Q150" i="1"/>
  <c r="Q149" i="1"/>
  <c r="Q148" i="1"/>
  <c r="Q147" i="1"/>
  <c r="Q146" i="1"/>
  <c r="Q144" i="1"/>
  <c r="Q143" i="1"/>
  <c r="Q142" i="1"/>
  <c r="Q141" i="1"/>
  <c r="Q140" i="1"/>
  <c r="Q139" i="1"/>
  <c r="Q138" i="1"/>
  <c r="Q137" i="1"/>
  <c r="Q136" i="1"/>
  <c r="Q135" i="1"/>
  <c r="Q134" i="1"/>
  <c r="Q133" i="1"/>
  <c r="Q132" i="1"/>
  <c r="Q131" i="1"/>
  <c r="Q130" i="1"/>
  <c r="Q129" i="1"/>
  <c r="Q128" i="1"/>
  <c r="Q127" i="1"/>
  <c r="Q126" i="1"/>
  <c r="R133" i="1" l="1"/>
  <c r="R141" i="1"/>
  <c r="R149" i="1"/>
  <c r="R126" i="1"/>
  <c r="R130" i="1"/>
  <c r="R134" i="1"/>
  <c r="R138" i="1"/>
  <c r="R142" i="1"/>
  <c r="R146" i="1"/>
  <c r="R150" i="1"/>
  <c r="R154" i="1"/>
  <c r="R129" i="1"/>
  <c r="R145" i="1"/>
  <c r="R153" i="1"/>
  <c r="R137" i="1"/>
  <c r="R128" i="1"/>
  <c r="R132" i="1"/>
  <c r="R136" i="1"/>
  <c r="R140" i="1"/>
  <c r="R144" i="1"/>
  <c r="R148" i="1"/>
  <c r="R152" i="1"/>
  <c r="R156" i="1"/>
  <c r="R127" i="1"/>
  <c r="R131" i="1"/>
  <c r="R135" i="1"/>
  <c r="R139" i="1"/>
  <c r="R143" i="1"/>
  <c r="R147" i="1"/>
  <c r="R151" i="1"/>
  <c r="R155" i="1"/>
  <c r="D29" i="11" l="1"/>
  <c r="Q90" i="1"/>
  <c r="Q89" i="1"/>
  <c r="S89" i="1" s="1"/>
  <c r="Q88" i="1"/>
  <c r="Q87" i="1"/>
  <c r="S87" i="1" s="1"/>
  <c r="Q86" i="1"/>
  <c r="Q85" i="1"/>
  <c r="S85" i="1" s="1"/>
  <c r="Q84" i="1"/>
  <c r="Q83" i="1"/>
  <c r="Q82" i="1"/>
  <c r="Q81" i="1"/>
  <c r="S81" i="1" s="1"/>
  <c r="Q80" i="1"/>
  <c r="Q79" i="1"/>
  <c r="S79" i="1" s="1"/>
  <c r="Q78" i="1"/>
  <c r="S78" i="1" s="1"/>
  <c r="Q77" i="1"/>
  <c r="S77" i="1" s="1"/>
  <c r="Q76" i="1"/>
  <c r="Q75" i="1"/>
  <c r="S75" i="1" s="1"/>
  <c r="Q74" i="1"/>
  <c r="S74" i="1" s="1"/>
  <c r="Q73" i="1"/>
  <c r="S73" i="1" s="1"/>
  <c r="Q72" i="1"/>
  <c r="R72" i="1" l="1"/>
  <c r="S72" i="1"/>
  <c r="R76" i="1"/>
  <c r="S76" i="1"/>
  <c r="R80" i="1"/>
  <c r="S80" i="1"/>
  <c r="R84" i="1"/>
  <c r="S84" i="1"/>
  <c r="R88" i="1"/>
  <c r="S88" i="1"/>
  <c r="R83" i="1"/>
  <c r="S83" i="1"/>
  <c r="R82" i="1"/>
  <c r="S82" i="1"/>
  <c r="R86" i="1"/>
  <c r="S86" i="1"/>
  <c r="R90" i="1"/>
  <c r="S90" i="1"/>
  <c r="R75" i="1"/>
  <c r="D27" i="11"/>
  <c r="R79" i="1"/>
  <c r="R87" i="1"/>
  <c r="R74" i="1"/>
  <c r="R78" i="1"/>
  <c r="R73" i="1"/>
  <c r="R77" i="1"/>
  <c r="R81" i="1"/>
  <c r="R85" i="1"/>
  <c r="R89" i="1"/>
  <c r="Q203" i="1" l="1"/>
  <c r="Q202" i="1"/>
  <c r="Q201" i="1"/>
  <c r="Q200" i="1"/>
  <c r="Q199" i="1"/>
  <c r="Q198" i="1"/>
  <c r="Q197" i="1"/>
  <c r="Q196" i="1"/>
  <c r="Q195" i="1"/>
  <c r="Q194" i="1"/>
  <c r="Q193" i="1"/>
  <c r="Q192" i="1"/>
  <c r="Q191" i="1"/>
  <c r="Q190" i="1"/>
  <c r="Q189" i="1"/>
  <c r="Q188" i="1"/>
  <c r="Q187" i="1"/>
  <c r="Q186" i="1"/>
  <c r="Q184" i="1"/>
  <c r="Q183" i="1"/>
  <c r="Q182" i="1"/>
  <c r="Q181" i="1"/>
  <c r="Q180" i="1"/>
  <c r="Q179" i="1"/>
  <c r="Q178" i="1"/>
  <c r="Q177" i="1"/>
  <c r="Q176" i="1"/>
  <c r="D24" i="11" l="1"/>
  <c r="R177" i="1"/>
  <c r="R179" i="1"/>
  <c r="R181" i="1"/>
  <c r="R183" i="1"/>
  <c r="R187" i="1"/>
  <c r="R189" i="1"/>
  <c r="R191" i="1"/>
  <c r="R193" i="1"/>
  <c r="R195" i="1"/>
  <c r="R197" i="1"/>
  <c r="R198" i="1"/>
  <c r="R200" i="1"/>
  <c r="R202" i="1"/>
  <c r="R176" i="1"/>
  <c r="R178" i="1"/>
  <c r="R180" i="1"/>
  <c r="R182" i="1"/>
  <c r="R184" i="1"/>
  <c r="R186" i="1"/>
  <c r="R188" i="1"/>
  <c r="R190" i="1"/>
  <c r="R192" i="1"/>
  <c r="R194" i="1"/>
  <c r="R196" i="1"/>
  <c r="R199" i="1"/>
  <c r="R201" i="1"/>
  <c r="R203" i="1"/>
  <c r="D33" i="10" l="1"/>
  <c r="D32" i="10"/>
  <c r="D31" i="10"/>
  <c r="Q400" i="9" l="1"/>
  <c r="S400" i="9" s="1"/>
  <c r="Q401" i="9"/>
  <c r="S401" i="9" s="1"/>
  <c r="Q402" i="9"/>
  <c r="S402" i="9" s="1"/>
  <c r="Q403" i="9"/>
  <c r="S403" i="9" s="1"/>
  <c r="Q404" i="9"/>
  <c r="S404" i="9" s="1"/>
  <c r="Q405" i="9"/>
  <c r="S405" i="9" s="1"/>
  <c r="Q406" i="9"/>
  <c r="S406" i="9" s="1"/>
  <c r="Q407" i="9"/>
  <c r="S407" i="9" s="1"/>
  <c r="Q409" i="9"/>
  <c r="S409" i="9" s="1"/>
  <c r="Q410" i="9"/>
  <c r="S410" i="9" s="1"/>
  <c r="Q411" i="9"/>
  <c r="S411" i="9" s="1"/>
  <c r="Q412" i="9"/>
  <c r="S412" i="9" s="1"/>
  <c r="Q413" i="9"/>
  <c r="S413" i="9" s="1"/>
  <c r="Q414" i="9"/>
  <c r="S414" i="9" s="1"/>
  <c r="R412" i="9" l="1"/>
  <c r="R411" i="9"/>
  <c r="R406" i="9"/>
  <c r="R413" i="9"/>
  <c r="R409" i="9"/>
  <c r="R404" i="9"/>
  <c r="R403" i="9"/>
  <c r="R400" i="9"/>
  <c r="R410" i="9"/>
  <c r="R405" i="9"/>
  <c r="R414" i="9"/>
  <c r="R407" i="9"/>
  <c r="R401" i="9"/>
  <c r="R402" i="9"/>
  <c r="Q268" i="3"/>
  <c r="Q267" i="3"/>
  <c r="Q266" i="3"/>
  <c r="Q265" i="3"/>
  <c r="Q264" i="3"/>
  <c r="Q263" i="3"/>
  <c r="Q262" i="3"/>
  <c r="Q261" i="3"/>
  <c r="Q260" i="3"/>
  <c r="Q259" i="3"/>
  <c r="Q258" i="3"/>
  <c r="Q257" i="3"/>
  <c r="F72" i="11" l="1"/>
  <c r="R257" i="3"/>
  <c r="R261" i="3"/>
  <c r="R265" i="3"/>
  <c r="R259" i="3"/>
  <c r="R260" i="3"/>
  <c r="R264" i="3"/>
  <c r="R268" i="3"/>
  <c r="R263" i="3"/>
  <c r="R267" i="3"/>
  <c r="R262" i="3"/>
  <c r="R266" i="3"/>
  <c r="R258" i="3"/>
  <c r="Q256" i="3"/>
  <c r="Q255" i="3"/>
  <c r="Q254" i="3"/>
  <c r="Q253" i="3"/>
  <c r="Q252" i="3"/>
  <c r="Q251" i="3"/>
  <c r="Q250" i="3"/>
  <c r="Q249" i="3"/>
  <c r="H72" i="11" l="1"/>
  <c r="F71" i="11"/>
  <c r="R255" i="3"/>
  <c r="R256" i="3"/>
  <c r="R249" i="3"/>
  <c r="H71" i="11"/>
  <c r="R253" i="3"/>
  <c r="D72" i="11"/>
  <c r="J72" i="11"/>
  <c r="L72" i="11"/>
  <c r="R252" i="3"/>
  <c r="R251" i="3"/>
  <c r="R254" i="3"/>
  <c r="R250" i="3"/>
  <c r="D71" i="11" l="1"/>
  <c r="J71" i="11"/>
  <c r="L71" i="11"/>
  <c r="Q248" i="3"/>
  <c r="Q247" i="3"/>
  <c r="Q246" i="3"/>
  <c r="Q245" i="3"/>
  <c r="Q244" i="3"/>
  <c r="Q243" i="3"/>
  <c r="Q242" i="3"/>
  <c r="Q241" i="3"/>
  <c r="Q240" i="3"/>
  <c r="Q239" i="3"/>
  <c r="Q238" i="3"/>
  <c r="Q237" i="3"/>
  <c r="F70" i="11" l="1"/>
  <c r="H70" i="11"/>
  <c r="R239" i="3"/>
  <c r="R244" i="3"/>
  <c r="R248" i="3"/>
  <c r="D70" i="11"/>
  <c r="L70" i="11"/>
  <c r="R243" i="3"/>
  <c r="R240" i="3"/>
  <c r="R247" i="3"/>
  <c r="R242" i="3"/>
  <c r="R246" i="3"/>
  <c r="R238" i="3"/>
  <c r="R237" i="3"/>
  <c r="R241" i="3"/>
  <c r="R245" i="3"/>
  <c r="J70" i="11" l="1"/>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F69" i="11" l="1"/>
  <c r="R224" i="3"/>
  <c r="R228" i="3"/>
  <c r="R232" i="3"/>
  <c r="R229" i="3"/>
  <c r="R233" i="3"/>
  <c r="R221" i="3"/>
  <c r="R213" i="3"/>
  <c r="R217" i="3"/>
  <c r="R223" i="3"/>
  <c r="R212" i="3"/>
  <c r="R225" i="3"/>
  <c r="R227" i="3"/>
  <c r="R209" i="3"/>
  <c r="R208" i="3"/>
  <c r="R216" i="3"/>
  <c r="R220" i="3"/>
  <c r="R231" i="3"/>
  <c r="R211" i="3"/>
  <c r="R215" i="3"/>
  <c r="R207" i="3"/>
  <c r="R219" i="3"/>
  <c r="R210" i="3"/>
  <c r="R214" i="3"/>
  <c r="R218" i="3"/>
  <c r="R222" i="3"/>
  <c r="R226" i="3"/>
  <c r="R230" i="3"/>
  <c r="R234" i="3"/>
  <c r="Q206" i="3"/>
  <c r="Q205" i="3"/>
  <c r="Q204" i="3"/>
  <c r="Q203" i="3"/>
  <c r="Q202" i="3"/>
  <c r="Q201" i="3"/>
  <c r="Q200" i="3"/>
  <c r="Q199" i="3"/>
  <c r="Q198" i="3"/>
  <c r="Q197" i="3"/>
  <c r="Q196" i="3"/>
  <c r="Q195" i="3"/>
  <c r="Q194" i="3"/>
  <c r="Q193" i="3"/>
  <c r="Q192" i="3"/>
  <c r="Q191" i="3"/>
  <c r="D69" i="11" l="1"/>
  <c r="H69" i="11"/>
  <c r="F68" i="11"/>
  <c r="H68" i="11"/>
  <c r="R194" i="3"/>
  <c r="R193" i="3"/>
  <c r="R205" i="3"/>
  <c r="R198" i="3"/>
  <c r="R202" i="3"/>
  <c r="L69" i="11"/>
  <c r="J69" i="11"/>
  <c r="R201" i="3"/>
  <c r="R197" i="3"/>
  <c r="R204" i="3"/>
  <c r="R192" i="3"/>
  <c r="R196" i="3"/>
  <c r="R200" i="3"/>
  <c r="R191" i="3"/>
  <c r="R195" i="3"/>
  <c r="R199" i="3"/>
  <c r="R203" i="3"/>
  <c r="R206" i="3"/>
  <c r="Q190" i="3"/>
  <c r="Q189" i="3"/>
  <c r="Q188" i="3"/>
  <c r="Q187" i="3"/>
  <c r="F67" i="11" l="1"/>
  <c r="R187" i="3"/>
  <c r="R188" i="3"/>
  <c r="R189" i="3"/>
  <c r="D68" i="11"/>
  <c r="J68" i="11"/>
  <c r="L68" i="11"/>
  <c r="R190" i="3"/>
  <c r="H67" i="11" l="1"/>
  <c r="J67" i="11"/>
  <c r="L67" i="11"/>
  <c r="Q186" i="3"/>
  <c r="Q185" i="3"/>
  <c r="Q184" i="3"/>
  <c r="Q183" i="3"/>
  <c r="Q182" i="3"/>
  <c r="Q181" i="3"/>
  <c r="Q180" i="3"/>
  <c r="Q179" i="3"/>
  <c r="Q178" i="3"/>
  <c r="Q177" i="3"/>
  <c r="Q176" i="3"/>
  <c r="Q175" i="3"/>
  <c r="Q174" i="3"/>
  <c r="Q173" i="3"/>
  <c r="Q172" i="3"/>
  <c r="Q171" i="3"/>
  <c r="Q170" i="3"/>
  <c r="Q169" i="3"/>
  <c r="F66" i="11" l="1"/>
  <c r="H66" i="11"/>
  <c r="R177" i="3"/>
  <c r="R186" i="3"/>
  <c r="R171" i="3"/>
  <c r="R179" i="3"/>
  <c r="R172" i="3"/>
  <c r="J66" i="11"/>
  <c r="D66" i="11"/>
  <c r="R175" i="3"/>
  <c r="R182" i="3"/>
  <c r="R178" i="3"/>
  <c r="R183" i="3"/>
  <c r="R170" i="3"/>
  <c r="R174" i="3"/>
  <c r="R169" i="3"/>
  <c r="R173" i="3"/>
  <c r="R181" i="3"/>
  <c r="R185" i="3"/>
  <c r="R176" i="3"/>
  <c r="R180" i="3"/>
  <c r="R184" i="3"/>
  <c r="L66" i="11" l="1"/>
  <c r="R166" i="3"/>
  <c r="Q162" i="3"/>
  <c r="Q161" i="3"/>
  <c r="Q160" i="3"/>
  <c r="Q159" i="3"/>
  <c r="Q158" i="3"/>
  <c r="Q157" i="3"/>
  <c r="Q156" i="3"/>
  <c r="R155" i="3"/>
  <c r="R154" i="3"/>
  <c r="R152" i="3"/>
  <c r="Q151" i="3"/>
  <c r="Q150" i="3"/>
  <c r="Q149" i="3"/>
  <c r="Q148" i="3"/>
  <c r="Q147" i="3"/>
  <c r="Q146" i="3"/>
  <c r="Q145" i="3"/>
  <c r="Q144" i="3"/>
  <c r="Q143" i="3"/>
  <c r="Q142" i="3"/>
  <c r="Q141" i="3"/>
  <c r="Q140" i="3"/>
  <c r="Q139" i="3"/>
  <c r="Q138" i="3"/>
  <c r="Q137" i="3"/>
  <c r="Q136" i="3"/>
  <c r="Q135" i="3"/>
  <c r="Q134" i="3"/>
  <c r="Q133" i="3"/>
  <c r="Q132" i="3"/>
  <c r="Q131" i="3"/>
  <c r="F65" i="11" l="1"/>
  <c r="R168" i="3"/>
  <c r="R132" i="3"/>
  <c r="R136" i="3"/>
  <c r="R140" i="3"/>
  <c r="R144" i="3"/>
  <c r="R148" i="3"/>
  <c r="R158" i="3"/>
  <c r="R138" i="3"/>
  <c r="R142" i="3"/>
  <c r="R146" i="3"/>
  <c r="R150" i="3"/>
  <c r="R131" i="3"/>
  <c r="H65" i="11"/>
  <c r="R156" i="3"/>
  <c r="R160" i="3"/>
  <c r="L65" i="11"/>
  <c r="R147" i="3"/>
  <c r="R135" i="3"/>
  <c r="R143" i="3"/>
  <c r="R151" i="3"/>
  <c r="R159" i="3"/>
  <c r="R139" i="3"/>
  <c r="R162" i="3"/>
  <c r="R134" i="3"/>
  <c r="R133" i="3"/>
  <c r="R137" i="3"/>
  <c r="R141" i="3"/>
  <c r="R145" i="3"/>
  <c r="R149" i="3"/>
  <c r="R153" i="3"/>
  <c r="R157" i="3"/>
  <c r="R161" i="3"/>
  <c r="R165" i="3"/>
  <c r="Q130" i="3"/>
  <c r="Q129" i="3"/>
  <c r="Q128" i="3"/>
  <c r="Q127" i="3"/>
  <c r="Q126" i="3"/>
  <c r="Q125" i="3"/>
  <c r="Q124" i="3"/>
  <c r="Q123" i="3"/>
  <c r="Q122" i="3"/>
  <c r="Q121" i="3"/>
  <c r="Q120" i="3"/>
  <c r="Q119" i="3"/>
  <c r="Q118" i="3"/>
  <c r="Q117" i="3"/>
  <c r="F64" i="11" l="1"/>
  <c r="H64" i="11"/>
  <c r="R120" i="3"/>
  <c r="R124" i="3"/>
  <c r="R121" i="3"/>
  <c r="R129" i="3"/>
  <c r="R122" i="3"/>
  <c r="J65" i="11"/>
  <c r="D65" i="11"/>
  <c r="R119" i="3"/>
  <c r="R127" i="3"/>
  <c r="R123" i="3"/>
  <c r="R126" i="3"/>
  <c r="R117" i="3"/>
  <c r="R125" i="3"/>
  <c r="R128" i="3"/>
  <c r="R118" i="3"/>
  <c r="R130" i="3"/>
  <c r="L64" i="11" l="1"/>
  <c r="D64" i="11"/>
  <c r="J64" i="11"/>
  <c r="Q116" i="3"/>
  <c r="Q115" i="3"/>
  <c r="Q114" i="3"/>
  <c r="Q113" i="3"/>
  <c r="Q112" i="3"/>
  <c r="Q111" i="3"/>
  <c r="Q110" i="3"/>
  <c r="Q109" i="3"/>
  <c r="Q108" i="3"/>
  <c r="Q107" i="3"/>
  <c r="Q106" i="3"/>
  <c r="Q105" i="3"/>
  <c r="Q104" i="3"/>
  <c r="Q103" i="3"/>
  <c r="Q102" i="3"/>
  <c r="Q101" i="3"/>
  <c r="Q100" i="3"/>
  <c r="Q99" i="3"/>
  <c r="Q98" i="3"/>
  <c r="Q97" i="3"/>
  <c r="Q96" i="3"/>
  <c r="F63" i="11" l="1"/>
  <c r="H63" i="11"/>
  <c r="R97" i="3"/>
  <c r="R101" i="3"/>
  <c r="R105" i="3"/>
  <c r="R109" i="3"/>
  <c r="R112" i="3"/>
  <c r="R99" i="3"/>
  <c r="R100" i="3"/>
  <c r="R108" i="3"/>
  <c r="R104" i="3"/>
  <c r="R115" i="3"/>
  <c r="R107" i="3"/>
  <c r="R111" i="3"/>
  <c r="R96" i="3"/>
  <c r="R116" i="3"/>
  <c r="R114" i="3"/>
  <c r="R103" i="3"/>
  <c r="R98" i="3"/>
  <c r="R102" i="3"/>
  <c r="R106" i="3"/>
  <c r="R110" i="3"/>
  <c r="R113" i="3"/>
  <c r="D63" i="11" l="1"/>
  <c r="L63" i="11"/>
  <c r="J63" i="11"/>
  <c r="Q95" i="3"/>
  <c r="Q94" i="3"/>
  <c r="Q93" i="3"/>
  <c r="Q92" i="3"/>
  <c r="Q91" i="3"/>
  <c r="Q90" i="3"/>
  <c r="Q89" i="3"/>
  <c r="Q88" i="3"/>
  <c r="Q87" i="3"/>
  <c r="Q86" i="3"/>
  <c r="Q85" i="3"/>
  <c r="F62" i="11" l="1"/>
  <c r="H62" i="11"/>
  <c r="R86" i="3"/>
  <c r="R94" i="3"/>
  <c r="R88" i="3"/>
  <c r="R92" i="3"/>
  <c r="R87" i="3"/>
  <c r="R91" i="3"/>
  <c r="R95" i="3"/>
  <c r="R90" i="3"/>
  <c r="R85" i="3"/>
  <c r="R89" i="3"/>
  <c r="R93" i="3"/>
  <c r="L62" i="11" l="1"/>
  <c r="J62" i="11"/>
  <c r="D62" i="11"/>
  <c r="Q84" i="3"/>
  <c r="Q83" i="3"/>
  <c r="Q82" i="3"/>
  <c r="Q81" i="3"/>
  <c r="Q80" i="3"/>
  <c r="F61" i="11" l="1"/>
  <c r="H61" i="11"/>
  <c r="R82" i="3"/>
  <c r="J61" i="11"/>
  <c r="R83" i="3"/>
  <c r="R81" i="3"/>
  <c r="D61" i="11"/>
  <c r="R80" i="3"/>
  <c r="R84" i="3"/>
  <c r="L61" i="11" l="1"/>
  <c r="Q79" i="3"/>
  <c r="Q78" i="3"/>
  <c r="Q77" i="3"/>
  <c r="Q76" i="3"/>
  <c r="Q75" i="3"/>
  <c r="Q74" i="3"/>
  <c r="Q73" i="3"/>
  <c r="D60" i="11" l="1"/>
  <c r="F60" i="11"/>
  <c r="H60" i="11"/>
  <c r="R77" i="3"/>
  <c r="R74" i="3"/>
  <c r="R78" i="3"/>
  <c r="R73" i="3"/>
  <c r="R76" i="3"/>
  <c r="L60" i="11"/>
  <c r="R75" i="3"/>
  <c r="R79" i="3"/>
  <c r="Q70" i="3"/>
  <c r="Q71" i="3"/>
  <c r="Q72" i="3"/>
  <c r="R71" i="3" l="1"/>
  <c r="J60" i="11"/>
  <c r="R72" i="3"/>
  <c r="R70" i="3"/>
  <c r="Q55" i="3" l="1"/>
  <c r="Q53" i="3"/>
  <c r="Q52" i="3"/>
  <c r="Q51" i="3"/>
  <c r="Q50" i="3"/>
  <c r="Q49" i="3"/>
  <c r="Q48" i="3"/>
  <c r="Q47" i="3"/>
  <c r="Q46" i="3"/>
  <c r="Q45" i="3"/>
  <c r="Q44" i="3"/>
  <c r="Q43" i="3"/>
  <c r="R43" i="3" l="1"/>
  <c r="R47" i="3"/>
  <c r="R51" i="3"/>
  <c r="R45" i="3"/>
  <c r="R53" i="3"/>
  <c r="R46" i="3"/>
  <c r="R50" i="3"/>
  <c r="R49" i="3"/>
  <c r="R48" i="3"/>
  <c r="R52" i="3"/>
  <c r="R44" i="3"/>
  <c r="R55" i="3"/>
  <c r="H58" i="11" l="1"/>
  <c r="D58" i="11"/>
  <c r="L58" i="11"/>
  <c r="J58" i="11"/>
  <c r="Q42" i="3"/>
  <c r="Q41" i="3"/>
  <c r="Q40" i="3"/>
  <c r="Q39" i="3"/>
  <c r="Q38" i="3"/>
  <c r="Q37" i="3"/>
  <c r="Q36" i="3"/>
  <c r="Q35" i="3"/>
  <c r="S35" i="3" s="1"/>
  <c r="Q34" i="3"/>
  <c r="R35" i="3" l="1"/>
  <c r="R39" i="3"/>
  <c r="R37" i="3"/>
  <c r="R41" i="3"/>
  <c r="R42" i="3"/>
  <c r="R38" i="3"/>
  <c r="R34" i="3"/>
  <c r="R36" i="3"/>
  <c r="R40" i="3"/>
  <c r="D57" i="11" l="1"/>
  <c r="H57" i="11"/>
  <c r="F57" i="11"/>
  <c r="L57" i="11"/>
  <c r="J57" i="11"/>
  <c r="Q33" i="3"/>
  <c r="Q32" i="3"/>
  <c r="Q31" i="3"/>
  <c r="Q30" i="3"/>
  <c r="Q29" i="3"/>
  <c r="Q28" i="3"/>
  <c r="Q27" i="3"/>
  <c r="Q26" i="3"/>
  <c r="Q25" i="3"/>
  <c r="Q24" i="3"/>
  <c r="Q23" i="3"/>
  <c r="Q22" i="3"/>
  <c r="Q21" i="3"/>
  <c r="Q20" i="3"/>
  <c r="Q19" i="3"/>
  <c r="Q18" i="3"/>
  <c r="Q17" i="3"/>
  <c r="Q16" i="3"/>
  <c r="Q15" i="3"/>
  <c r="Q14" i="3"/>
  <c r="Q13" i="3"/>
  <c r="Q12" i="3"/>
  <c r="Q11" i="3"/>
  <c r="Q10" i="3"/>
  <c r="Q56" i="3"/>
  <c r="Q57" i="3"/>
  <c r="Q58" i="3"/>
  <c r="Q59" i="3"/>
  <c r="Q60" i="3"/>
  <c r="Q61" i="3"/>
  <c r="Q62" i="3"/>
  <c r="Q63" i="3"/>
  <c r="Q64" i="3"/>
  <c r="Q65" i="3"/>
  <c r="Q66" i="3"/>
  <c r="Q67" i="3"/>
  <c r="Q68" i="3"/>
  <c r="Q69" i="3"/>
  <c r="Q364" i="3"/>
  <c r="S364" i="3" s="1"/>
  <c r="Q363" i="3"/>
  <c r="R363" i="3" s="1"/>
  <c r="Q362" i="3"/>
  <c r="S362" i="3" s="1"/>
  <c r="Q361" i="3"/>
  <c r="R361" i="3" s="1"/>
  <c r="Q360" i="3"/>
  <c r="S360" i="3" s="1"/>
  <c r="Q359" i="3"/>
  <c r="S359" i="3" s="1"/>
  <c r="Q358" i="3"/>
  <c r="S358" i="3" s="1"/>
  <c r="Q357" i="3"/>
  <c r="R357" i="3" s="1"/>
  <c r="Q356" i="3"/>
  <c r="S356" i="3" s="1"/>
  <c r="Q355" i="3"/>
  <c r="S355" i="3" s="1"/>
  <c r="Q354" i="3"/>
  <c r="S354" i="3" s="1"/>
  <c r="Q353" i="3"/>
  <c r="R353" i="3" s="1"/>
  <c r="Q352" i="3"/>
  <c r="S352" i="3" s="1"/>
  <c r="Q351" i="3"/>
  <c r="S351" i="3" s="1"/>
  <c r="Q350" i="3"/>
  <c r="S350" i="3" s="1"/>
  <c r="Q349" i="3"/>
  <c r="R349" i="3" s="1"/>
  <c r="Q348" i="3"/>
  <c r="S348" i="3" s="1"/>
  <c r="Q347" i="3"/>
  <c r="S347" i="3" s="1"/>
  <c r="Q346" i="3"/>
  <c r="S346" i="3" s="1"/>
  <c r="Q345" i="3"/>
  <c r="R345" i="3" s="1"/>
  <c r="Q344" i="3"/>
  <c r="S344" i="3" s="1"/>
  <c r="Q343" i="3"/>
  <c r="S343" i="3" s="1"/>
  <c r="Q342" i="3"/>
  <c r="S342" i="3" s="1"/>
  <c r="Q341" i="3"/>
  <c r="R341" i="3" s="1"/>
  <c r="Q340" i="3"/>
  <c r="S340" i="3" s="1"/>
  <c r="Q339" i="3"/>
  <c r="R339" i="3" s="1"/>
  <c r="Q338" i="3"/>
  <c r="S338" i="3" s="1"/>
  <c r="Q337" i="3"/>
  <c r="R337" i="3" s="1"/>
  <c r="Q336" i="3"/>
  <c r="S336" i="3" s="1"/>
  <c r="Q335" i="3"/>
  <c r="S335" i="3" s="1"/>
  <c r="Q334" i="3"/>
  <c r="S334" i="3" s="1"/>
  <c r="Q333" i="3"/>
  <c r="R333" i="3" s="1"/>
  <c r="Q332" i="3"/>
  <c r="S332" i="3" s="1"/>
  <c r="Q331" i="3"/>
  <c r="S331" i="3" s="1"/>
  <c r="R12" i="3" l="1"/>
  <c r="D59" i="11"/>
  <c r="F59" i="11"/>
  <c r="R66" i="3"/>
  <c r="R62" i="3"/>
  <c r="R58" i="3"/>
  <c r="R68" i="3"/>
  <c r="R64" i="3"/>
  <c r="R60" i="3"/>
  <c r="R56" i="3"/>
  <c r="H59" i="11"/>
  <c r="R17" i="3"/>
  <c r="R67" i="3"/>
  <c r="R63" i="3"/>
  <c r="R59" i="3"/>
  <c r="R26" i="3"/>
  <c r="R16" i="3"/>
  <c r="R20" i="3"/>
  <c r="R32" i="3"/>
  <c r="R13" i="3"/>
  <c r="R30" i="3"/>
  <c r="R25" i="3"/>
  <c r="R332" i="3"/>
  <c r="R355" i="3"/>
  <c r="R21" i="3"/>
  <c r="R24" i="3"/>
  <c r="R347" i="3"/>
  <c r="R336" i="3"/>
  <c r="R351" i="3"/>
  <c r="R343" i="3"/>
  <c r="R359" i="3"/>
  <c r="R10" i="3"/>
  <c r="R14" i="3"/>
  <c r="R18" i="3"/>
  <c r="R22" i="3"/>
  <c r="R28" i="3"/>
  <c r="R331" i="3"/>
  <c r="R335" i="3"/>
  <c r="S341" i="3"/>
  <c r="S345" i="3"/>
  <c r="S349" i="3"/>
  <c r="S353" i="3"/>
  <c r="S357" i="3"/>
  <c r="S361" i="3"/>
  <c r="R364" i="3"/>
  <c r="S333" i="3"/>
  <c r="S337" i="3"/>
  <c r="R340" i="3"/>
  <c r="R344" i="3"/>
  <c r="R348" i="3"/>
  <c r="R352" i="3"/>
  <c r="R356" i="3"/>
  <c r="R360" i="3"/>
  <c r="R29" i="3"/>
  <c r="R33" i="3"/>
  <c r="R69" i="3"/>
  <c r="R11" i="3"/>
  <c r="R15" i="3"/>
  <c r="R19" i="3"/>
  <c r="R23" i="3"/>
  <c r="R27" i="3"/>
  <c r="R31" i="3"/>
  <c r="R65" i="3"/>
  <c r="R61" i="3"/>
  <c r="R57" i="3"/>
  <c r="R334" i="3"/>
  <c r="R338" i="3"/>
  <c r="S339" i="3"/>
  <c r="R342" i="3"/>
  <c r="R346" i="3"/>
  <c r="R350" i="3"/>
  <c r="R354" i="3"/>
  <c r="R358" i="3"/>
  <c r="R362" i="3"/>
  <c r="S363" i="3"/>
  <c r="L10" i="11" l="1"/>
  <c r="F10" i="11"/>
  <c r="J10" i="11"/>
  <c r="D10" i="11"/>
  <c r="H10" i="11"/>
  <c r="H56" i="11"/>
  <c r="H73" i="11" s="1"/>
  <c r="D56" i="11"/>
  <c r="D73" i="11" s="1"/>
  <c r="F56" i="11"/>
  <c r="F73" i="11" s="1"/>
  <c r="L59" i="11"/>
  <c r="J59" i="11"/>
  <c r="J56" i="11"/>
  <c r="L56" i="11"/>
  <c r="Q125" i="2"/>
  <c r="S125" i="2" s="1"/>
  <c r="Q124" i="2"/>
  <c r="S124" i="2" s="1"/>
  <c r="Q123" i="2"/>
  <c r="S123" i="2" s="1"/>
  <c r="Q122" i="2"/>
  <c r="S122" i="2" s="1"/>
  <c r="Q121" i="2"/>
  <c r="S121" i="2" s="1"/>
  <c r="Q120" i="2"/>
  <c r="S120" i="2" s="1"/>
  <c r="Q119" i="2"/>
  <c r="S119" i="2" s="1"/>
  <c r="Q118" i="2"/>
  <c r="S118" i="2" s="1"/>
  <c r="Q117" i="2"/>
  <c r="S117" i="2" s="1"/>
  <c r="Q116" i="2"/>
  <c r="S116" i="2" s="1"/>
  <c r="Q115" i="2"/>
  <c r="S115" i="2" s="1"/>
  <c r="Q114" i="2"/>
  <c r="S114" i="2" s="1"/>
  <c r="Q113" i="2"/>
  <c r="S113" i="2" s="1"/>
  <c r="Q112" i="2"/>
  <c r="S112" i="2" s="1"/>
  <c r="R123" i="2" l="1"/>
  <c r="R120" i="2"/>
  <c r="R124" i="2"/>
  <c r="R112" i="2"/>
  <c r="R116" i="2"/>
  <c r="R115" i="2"/>
  <c r="L73" i="11"/>
  <c r="J73" i="11"/>
  <c r="R122" i="2"/>
  <c r="R119" i="2"/>
  <c r="R118" i="2"/>
  <c r="R114" i="2"/>
  <c r="R113" i="2"/>
  <c r="R117" i="2"/>
  <c r="R121" i="2"/>
  <c r="R125" i="2"/>
  <c r="Q110" i="2" l="1"/>
  <c r="S110" i="2" s="1"/>
  <c r="Q109" i="2"/>
  <c r="S109" i="2" s="1"/>
  <c r="Q108" i="2"/>
  <c r="S108" i="2" s="1"/>
  <c r="Q107" i="2"/>
  <c r="S107" i="2" s="1"/>
  <c r="Q106" i="2"/>
  <c r="S106" i="2" s="1"/>
  <c r="R108" i="2" l="1"/>
  <c r="R109" i="2"/>
  <c r="R107" i="2"/>
  <c r="H47" i="11"/>
  <c r="R106" i="2"/>
  <c r="R110" i="2"/>
  <c r="D47" i="11" l="1"/>
  <c r="F47" i="11"/>
  <c r="L47" i="11"/>
  <c r="Q105" i="2"/>
  <c r="S105" i="2" s="1"/>
  <c r="Q104" i="2"/>
  <c r="S104" i="2" s="1"/>
  <c r="Q103" i="2"/>
  <c r="S103" i="2" s="1"/>
  <c r="Q102" i="2"/>
  <c r="S102" i="2" s="1"/>
  <c r="R104" i="2" l="1"/>
  <c r="F46" i="11"/>
  <c r="R103" i="2"/>
  <c r="R102" i="2"/>
  <c r="R105" i="2"/>
  <c r="H46" i="11" l="1"/>
  <c r="D46" i="11"/>
  <c r="J46" i="11"/>
  <c r="L46" i="11"/>
  <c r="Q99" i="2"/>
  <c r="S99" i="2" s="1"/>
  <c r="Q98" i="2"/>
  <c r="S98" i="2" s="1"/>
  <c r="Q97" i="2"/>
  <c r="S97" i="2" s="1"/>
  <c r="Q96" i="2"/>
  <c r="S96" i="2" s="1"/>
  <c r="Q95" i="2"/>
  <c r="S95" i="2" s="1"/>
  <c r="Q94" i="2"/>
  <c r="S94" i="2" s="1"/>
  <c r="Q93" i="2"/>
  <c r="S93" i="2" s="1"/>
  <c r="Q92" i="2"/>
  <c r="S92" i="2" s="1"/>
  <c r="Q91" i="2"/>
  <c r="S91" i="2" s="1"/>
  <c r="Q90" i="2"/>
  <c r="S90" i="2" s="1"/>
  <c r="Q89" i="2"/>
  <c r="S89" i="2" s="1"/>
  <c r="Q88" i="2"/>
  <c r="S88" i="2" s="1"/>
  <c r="Q87" i="2"/>
  <c r="S87" i="2" s="1"/>
  <c r="Q86" i="2"/>
  <c r="S86" i="2" s="1"/>
  <c r="Q85" i="2"/>
  <c r="S85" i="2" s="1"/>
  <c r="Q84" i="2"/>
  <c r="S84" i="2" s="1"/>
  <c r="Q83" i="2"/>
  <c r="S83" i="2" s="1"/>
  <c r="Q82" i="2"/>
  <c r="S82" i="2" s="1"/>
  <c r="Q81" i="2"/>
  <c r="S81" i="2" s="1"/>
  <c r="Q80" i="2"/>
  <c r="S80" i="2" s="1"/>
  <c r="Q79" i="2"/>
  <c r="S79" i="2" s="1"/>
  <c r="R81" i="2" l="1"/>
  <c r="R85" i="2"/>
  <c r="R89" i="2"/>
  <c r="R93" i="2"/>
  <c r="R97" i="2"/>
  <c r="R88" i="2"/>
  <c r="R82" i="2"/>
  <c r="R86" i="2"/>
  <c r="R90" i="2"/>
  <c r="R94" i="2"/>
  <c r="R98" i="2"/>
  <c r="R92" i="2"/>
  <c r="R84" i="2"/>
  <c r="R80" i="2"/>
  <c r="R96" i="2"/>
  <c r="R95" i="2"/>
  <c r="R79" i="2"/>
  <c r="R83" i="2"/>
  <c r="R99" i="2"/>
  <c r="R87" i="2"/>
  <c r="R91" i="2"/>
  <c r="F45" i="11" l="1"/>
  <c r="L45" i="11"/>
  <c r="J45" i="11"/>
  <c r="H45" i="11"/>
  <c r="D45" i="11"/>
  <c r="Q78" i="2"/>
  <c r="S78" i="2" s="1"/>
  <c r="Q77" i="2"/>
  <c r="S77" i="2" s="1"/>
  <c r="Q76" i="2"/>
  <c r="S76" i="2" s="1"/>
  <c r="Q75" i="2"/>
  <c r="S75" i="2" s="1"/>
  <c r="Q74" i="2"/>
  <c r="S74" i="2" s="1"/>
  <c r="Q73" i="2"/>
  <c r="S73" i="2" s="1"/>
  <c r="Q72" i="2"/>
  <c r="S72" i="2" s="1"/>
  <c r="Q71" i="2"/>
  <c r="S71" i="2" s="1"/>
  <c r="Q70" i="2"/>
  <c r="S70" i="2" s="1"/>
  <c r="Q69" i="2"/>
  <c r="S69" i="2" s="1"/>
  <c r="Q68" i="2"/>
  <c r="S68" i="2" s="1"/>
  <c r="Q67" i="2"/>
  <c r="S67" i="2" s="1"/>
  <c r="Q66" i="2"/>
  <c r="S66" i="2" s="1"/>
  <c r="Q65" i="2"/>
  <c r="S65" i="2" s="1"/>
  <c r="R68" i="2" l="1"/>
  <c r="R72" i="2"/>
  <c r="R69" i="2"/>
  <c r="R73" i="2"/>
  <c r="R77" i="2"/>
  <c r="R71" i="2"/>
  <c r="R67" i="2"/>
  <c r="R75" i="2"/>
  <c r="R78" i="2"/>
  <c r="R66" i="2"/>
  <c r="R65" i="2"/>
  <c r="F44" i="11"/>
  <c r="R76" i="2"/>
  <c r="R70" i="2"/>
  <c r="R74" i="2"/>
  <c r="L44" i="11" l="1"/>
  <c r="H44" i="11"/>
  <c r="J44" i="11"/>
  <c r="D44" i="11"/>
  <c r="Q64" i="2"/>
  <c r="S64" i="2" s="1"/>
  <c r="Q63" i="2"/>
  <c r="S63" i="2" s="1"/>
  <c r="Q62" i="2"/>
  <c r="S62" i="2" s="1"/>
  <c r="Q61" i="2"/>
  <c r="S61" i="2" s="1"/>
  <c r="R62" i="2" l="1"/>
  <c r="R63" i="2"/>
  <c r="H42" i="11"/>
  <c r="R64" i="2"/>
  <c r="R61" i="2"/>
  <c r="F42" i="11" l="1"/>
  <c r="J42" i="11"/>
  <c r="D42" i="11"/>
  <c r="L42" i="11"/>
  <c r="Q60" i="2"/>
  <c r="S60" i="2" s="1"/>
  <c r="Q57" i="2"/>
  <c r="S57" i="2" s="1"/>
  <c r="Q56" i="2"/>
  <c r="S56" i="2" s="1"/>
  <c r="Q55" i="2"/>
  <c r="S55" i="2" s="1"/>
  <c r="Q54" i="2"/>
  <c r="S54" i="2" s="1"/>
  <c r="Q53" i="2"/>
  <c r="S53" i="2" s="1"/>
  <c r="Q52" i="2"/>
  <c r="S52" i="2" s="1"/>
  <c r="Q51" i="2"/>
  <c r="S51" i="2" s="1"/>
  <c r="Q50" i="2"/>
  <c r="S50" i="2" s="1"/>
  <c r="Q49" i="2"/>
  <c r="S49" i="2" s="1"/>
  <c r="Q48" i="2"/>
  <c r="S48" i="2" s="1"/>
  <c r="Q47" i="2"/>
  <c r="S47" i="2" s="1"/>
  <c r="Q46" i="2"/>
  <c r="S46" i="2" s="1"/>
  <c r="Q45" i="2"/>
  <c r="S45" i="2" s="1"/>
  <c r="Q44" i="2"/>
  <c r="S44" i="2" s="1"/>
  <c r="R48" i="2" l="1"/>
  <c r="R56" i="2"/>
  <c r="R45" i="2"/>
  <c r="R49" i="2"/>
  <c r="R53" i="2"/>
  <c r="R57" i="2"/>
  <c r="R44" i="2"/>
  <c r="R55" i="2"/>
  <c r="R47" i="2"/>
  <c r="R52" i="2"/>
  <c r="R51" i="2"/>
  <c r="R60" i="2"/>
  <c r="R46" i="2"/>
  <c r="R50" i="2"/>
  <c r="R54" i="2"/>
  <c r="Q43" i="2" l="1"/>
  <c r="S43" i="2" s="1"/>
  <c r="Q41" i="2"/>
  <c r="S41" i="2" s="1"/>
  <c r="Q40" i="2"/>
  <c r="S40" i="2" s="1"/>
  <c r="Q39" i="2"/>
  <c r="S39" i="2" s="1"/>
  <c r="Q38" i="2"/>
  <c r="S38" i="2" s="1"/>
  <c r="Q37" i="2"/>
  <c r="S37" i="2" s="1"/>
  <c r="Q36" i="2"/>
  <c r="S36" i="2" s="1"/>
  <c r="Q35" i="2"/>
  <c r="S35" i="2" s="1"/>
  <c r="Q34" i="2"/>
  <c r="S34" i="2" s="1"/>
  <c r="Q33" i="2"/>
  <c r="S33" i="2" s="1"/>
  <c r="Q32" i="2"/>
  <c r="S32" i="2" s="1"/>
  <c r="Q31" i="2"/>
  <c r="S31" i="2" s="1"/>
  <c r="Q30" i="2"/>
  <c r="S30" i="2" s="1"/>
  <c r="Q29" i="2"/>
  <c r="S29" i="2" s="1"/>
  <c r="Q28" i="2"/>
  <c r="S28" i="2" s="1"/>
  <c r="Q27" i="2"/>
  <c r="S27" i="2" s="1"/>
  <c r="Q26" i="2"/>
  <c r="S26" i="2" s="1"/>
  <c r="Q25" i="2"/>
  <c r="S25" i="2" s="1"/>
  <c r="Q24" i="2"/>
  <c r="S24" i="2" s="1"/>
  <c r="Q23" i="2"/>
  <c r="S23" i="2" s="1"/>
  <c r="Q22" i="2"/>
  <c r="S22" i="2" s="1"/>
  <c r="Q21" i="2"/>
  <c r="S21" i="2" s="1"/>
  <c r="Q20" i="2"/>
  <c r="S20" i="2" s="1"/>
  <c r="Q19" i="2"/>
  <c r="S19" i="2" s="1"/>
  <c r="R31" i="2" l="1"/>
  <c r="R35" i="2"/>
  <c r="R19" i="2"/>
  <c r="R24" i="2"/>
  <c r="R32" i="2"/>
  <c r="R36" i="2"/>
  <c r="R25" i="2"/>
  <c r="R29" i="2"/>
  <c r="R33" i="2"/>
  <c r="R37" i="2"/>
  <c r="R41" i="2"/>
  <c r="R20" i="2"/>
  <c r="R28" i="2"/>
  <c r="R40" i="2"/>
  <c r="R22" i="2"/>
  <c r="R27" i="2"/>
  <c r="R23" i="2"/>
  <c r="R39" i="2"/>
  <c r="R26" i="2"/>
  <c r="R30" i="2"/>
  <c r="R34" i="2"/>
  <c r="R21" i="2"/>
  <c r="R38" i="2"/>
  <c r="R43" i="2"/>
  <c r="Q18" i="2" l="1"/>
  <c r="S18" i="2" s="1"/>
  <c r="Q17" i="2"/>
  <c r="S17" i="2" s="1"/>
  <c r="Q16" i="2"/>
  <c r="Q15" i="2"/>
  <c r="S15" i="2" s="1"/>
  <c r="Q14" i="2"/>
  <c r="Q13" i="2"/>
  <c r="S13" i="2" s="1"/>
  <c r="Q12" i="2"/>
  <c r="Q11" i="2"/>
  <c r="S11" i="2" s="1"/>
  <c r="Q10" i="2"/>
  <c r="R10" i="2" s="1"/>
  <c r="R12" i="2" l="1"/>
  <c r="S12" i="2"/>
  <c r="R16" i="2"/>
  <c r="S16" i="2"/>
  <c r="R14" i="2"/>
  <c r="S14" i="2"/>
  <c r="R15" i="2"/>
  <c r="R11" i="2"/>
  <c r="S10" i="2"/>
  <c r="R13" i="2"/>
  <c r="R17" i="2"/>
  <c r="R18" i="2"/>
  <c r="J39" i="11" l="1"/>
  <c r="H39" i="11"/>
  <c r="F39" i="11"/>
  <c r="L39" i="11"/>
  <c r="D39" i="11"/>
  <c r="Q527" i="4"/>
  <c r="S527" i="4" s="1"/>
  <c r="Q526" i="4"/>
  <c r="S526" i="4" s="1"/>
  <c r="Q525" i="4"/>
  <c r="S525" i="4" s="1"/>
  <c r="Q524" i="4"/>
  <c r="S524" i="4" s="1"/>
  <c r="Q523" i="4"/>
  <c r="S523" i="4" s="1"/>
  <c r="Q522" i="4"/>
  <c r="S522" i="4" s="1"/>
  <c r="Q521" i="4"/>
  <c r="S521" i="4" s="1"/>
  <c r="Q520" i="4"/>
  <c r="S520" i="4" s="1"/>
  <c r="Q519" i="4"/>
  <c r="S519" i="4" s="1"/>
  <c r="Q518" i="4"/>
  <c r="S518" i="4" s="1"/>
  <c r="Q517" i="4"/>
  <c r="S517" i="4" s="1"/>
  <c r="Q516" i="4"/>
  <c r="S516" i="4" s="1"/>
  <c r="Q515" i="4"/>
  <c r="S515" i="4" s="1"/>
  <c r="Q514" i="4"/>
  <c r="S514" i="4" s="1"/>
  <c r="Q513" i="4"/>
  <c r="S513" i="4" s="1"/>
  <c r="Q512" i="4"/>
  <c r="S512" i="4" s="1"/>
  <c r="Q511" i="4"/>
  <c r="S511" i="4" s="1"/>
  <c r="Q510" i="4"/>
  <c r="S510" i="4" s="1"/>
  <c r="Q509" i="4"/>
  <c r="S509" i="4" s="1"/>
  <c r="Q508" i="4"/>
  <c r="S508" i="4" s="1"/>
  <c r="Q507" i="4"/>
  <c r="S507" i="4" s="1"/>
  <c r="Q506" i="4"/>
  <c r="S506" i="4" s="1"/>
  <c r="Q505" i="4"/>
  <c r="S505" i="4" s="1"/>
  <c r="Q504" i="4"/>
  <c r="S504" i="4" s="1"/>
  <c r="Q503" i="4"/>
  <c r="S503" i="4" s="1"/>
  <c r="Q502" i="4"/>
  <c r="S502" i="4" s="1"/>
  <c r="Q501" i="4"/>
  <c r="S501" i="4" s="1"/>
  <c r="Q500" i="4"/>
  <c r="S500" i="4" s="1"/>
  <c r="Q499" i="4"/>
  <c r="S499" i="4" s="1"/>
  <c r="Q498" i="4"/>
  <c r="S498" i="4" s="1"/>
  <c r="Q497" i="4"/>
  <c r="S497" i="4" s="1"/>
  <c r="Q496" i="4"/>
  <c r="S496" i="4" s="1"/>
  <c r="Q495" i="4"/>
  <c r="S495" i="4" s="1"/>
  <c r="Q494" i="4"/>
  <c r="S494" i="4" s="1"/>
  <c r="Q493" i="4"/>
  <c r="S493" i="4" s="1"/>
  <c r="Q492" i="4"/>
  <c r="S492" i="4" s="1"/>
  <c r="Q491" i="4"/>
  <c r="S491" i="4" s="1"/>
  <c r="Q490" i="4"/>
  <c r="S490" i="4" s="1"/>
  <c r="Q489" i="4"/>
  <c r="S489" i="4" s="1"/>
  <c r="Q488" i="4"/>
  <c r="S488" i="4" s="1"/>
  <c r="Q487" i="4"/>
  <c r="S487" i="4" s="1"/>
  <c r="Q486" i="4"/>
  <c r="S486" i="4" s="1"/>
  <c r="Q485" i="4"/>
  <c r="S485" i="4" s="1"/>
  <c r="Q484" i="4"/>
  <c r="S484" i="4" s="1"/>
  <c r="Q483" i="4"/>
  <c r="S483" i="4" s="1"/>
  <c r="Q482" i="4"/>
  <c r="S482" i="4" s="1"/>
  <c r="Q481" i="4"/>
  <c r="S481" i="4" s="1"/>
  <c r="Q480" i="4"/>
  <c r="S480" i="4" s="1"/>
  <c r="Q479" i="4"/>
  <c r="S479" i="4" s="1"/>
  <c r="Q478" i="4"/>
  <c r="S478" i="4" s="1"/>
  <c r="Q477" i="4"/>
  <c r="S477" i="4" s="1"/>
  <c r="Q476" i="4"/>
  <c r="S476" i="4" s="1"/>
  <c r="Q475" i="4"/>
  <c r="S475" i="4" s="1"/>
  <c r="Q474" i="4"/>
  <c r="S474" i="4" s="1"/>
  <c r="Q473" i="4"/>
  <c r="S473" i="4" s="1"/>
  <c r="Q472" i="4"/>
  <c r="S472" i="4" s="1"/>
  <c r="Q471" i="4"/>
  <c r="S471" i="4" s="1"/>
  <c r="Q470" i="4"/>
  <c r="S470" i="4" s="1"/>
  <c r="Q469" i="4"/>
  <c r="S469" i="4" s="1"/>
  <c r="Q468" i="4"/>
  <c r="S468" i="4" s="1"/>
  <c r="Q467" i="4"/>
  <c r="S467" i="4" s="1"/>
  <c r="Q466" i="4"/>
  <c r="S466" i="4" s="1"/>
  <c r="Q465" i="4"/>
  <c r="S465" i="4" s="1"/>
  <c r="Q464" i="4"/>
  <c r="S464" i="4" s="1"/>
  <c r="Q463" i="4"/>
  <c r="S463" i="4" s="1"/>
  <c r="Q462" i="4"/>
  <c r="S462" i="4" s="1"/>
  <c r="Q461" i="4"/>
  <c r="S461" i="4" s="1"/>
  <c r="Q460" i="4"/>
  <c r="S460" i="4" s="1"/>
  <c r="Q459" i="4"/>
  <c r="S459" i="4" s="1"/>
  <c r="Q458" i="4"/>
  <c r="S458" i="4" s="1"/>
  <c r="Q457" i="4"/>
  <c r="S457" i="4" s="1"/>
  <c r="Q456" i="4"/>
  <c r="S456" i="4" s="1"/>
  <c r="Q455" i="4"/>
  <c r="S455" i="4" s="1"/>
  <c r="Q454" i="4"/>
  <c r="S454" i="4" s="1"/>
  <c r="Q453" i="4"/>
  <c r="S453" i="4" s="1"/>
  <c r="Q452" i="4"/>
  <c r="S452" i="4" s="1"/>
  <c r="Q451" i="4"/>
  <c r="S451" i="4" s="1"/>
  <c r="Q450" i="4"/>
  <c r="S450" i="4" s="1"/>
  <c r="Q449" i="4"/>
  <c r="S449" i="4" s="1"/>
  <c r="Q448" i="4"/>
  <c r="S448" i="4" s="1"/>
  <c r="Q447" i="4"/>
  <c r="S447" i="4" s="1"/>
  <c r="Q446" i="4"/>
  <c r="S446" i="4" s="1"/>
  <c r="Q445" i="4"/>
  <c r="S445" i="4" s="1"/>
  <c r="Q444" i="4"/>
  <c r="S444" i="4" s="1"/>
  <c r="Q443" i="4"/>
  <c r="S443" i="4" s="1"/>
  <c r="Q442" i="4"/>
  <c r="S442" i="4" s="1"/>
  <c r="Q441" i="4"/>
  <c r="S441" i="4" s="1"/>
  <c r="Q440" i="4"/>
  <c r="S440" i="4" s="1"/>
  <c r="Q439" i="4"/>
  <c r="S439" i="4" s="1"/>
  <c r="Q438" i="4"/>
  <c r="S438" i="4" s="1"/>
  <c r="Q437" i="4"/>
  <c r="S437" i="4" s="1"/>
  <c r="Q436" i="4"/>
  <c r="S436" i="4" s="1"/>
  <c r="Q435" i="4"/>
  <c r="S435" i="4" s="1"/>
  <c r="Q434" i="4"/>
  <c r="S434" i="4" s="1"/>
  <c r="Q433" i="4"/>
  <c r="S433" i="4" s="1"/>
  <c r="Q432" i="4"/>
  <c r="S432" i="4" s="1"/>
  <c r="Q431" i="4"/>
  <c r="S431" i="4" s="1"/>
  <c r="Q430" i="4"/>
  <c r="S430" i="4" s="1"/>
  <c r="Q429" i="4"/>
  <c r="S429" i="4" s="1"/>
  <c r="Q428" i="4"/>
  <c r="S428" i="4" s="1"/>
  <c r="Q427" i="4"/>
  <c r="S427" i="4" s="1"/>
  <c r="Q426" i="4"/>
  <c r="S426" i="4" s="1"/>
  <c r="Q425" i="4"/>
  <c r="S425" i="4" s="1"/>
  <c r="Q424" i="4"/>
  <c r="S424" i="4" s="1"/>
  <c r="Q423" i="4"/>
  <c r="S423" i="4" s="1"/>
  <c r="Q422" i="4"/>
  <c r="S422" i="4" s="1"/>
  <c r="Q421" i="4"/>
  <c r="S421" i="4" s="1"/>
  <c r="Q420" i="4"/>
  <c r="S420" i="4" s="1"/>
  <c r="Q419" i="4"/>
  <c r="S419" i="4" s="1"/>
  <c r="Q418" i="4"/>
  <c r="S418" i="4" s="1"/>
  <c r="Q417" i="4"/>
  <c r="S417" i="4" s="1"/>
  <c r="Q416" i="4"/>
  <c r="S416" i="4" s="1"/>
  <c r="Q415" i="4"/>
  <c r="S415" i="4" s="1"/>
  <c r="Q414" i="4"/>
  <c r="S414" i="4" s="1"/>
  <c r="Q413" i="4"/>
  <c r="S413" i="4" s="1"/>
  <c r="Q412" i="4"/>
  <c r="S412" i="4" s="1"/>
  <c r="Q411" i="4"/>
  <c r="S411" i="4" s="1"/>
  <c r="Q410" i="4"/>
  <c r="S410" i="4" s="1"/>
  <c r="Q409" i="4"/>
  <c r="S409" i="4" s="1"/>
  <c r="Q408" i="4"/>
  <c r="S408" i="4" s="1"/>
  <c r="Q407" i="4"/>
  <c r="S407" i="4" s="1"/>
  <c r="Q406" i="4"/>
  <c r="S406" i="4" s="1"/>
  <c r="Q405" i="4"/>
  <c r="S405" i="4" s="1"/>
  <c r="Q404" i="4"/>
  <c r="S404" i="4" s="1"/>
  <c r="Q403" i="4"/>
  <c r="S403" i="4" s="1"/>
  <c r="Q402" i="4"/>
  <c r="S402" i="4" s="1"/>
  <c r="Q401" i="4"/>
  <c r="S401" i="4" s="1"/>
  <c r="Q400" i="4"/>
  <c r="S400" i="4" s="1"/>
  <c r="Q399" i="4"/>
  <c r="S399" i="4" s="1"/>
  <c r="Q398" i="4"/>
  <c r="S398" i="4" s="1"/>
  <c r="Q397" i="4"/>
  <c r="S397" i="4" s="1"/>
  <c r="Q396" i="4"/>
  <c r="S396" i="4" s="1"/>
  <c r="Q395" i="4"/>
  <c r="S395" i="4" s="1"/>
  <c r="Q394" i="4"/>
  <c r="S394" i="4" s="1"/>
  <c r="Q393" i="4"/>
  <c r="S393" i="4" s="1"/>
  <c r="Q392" i="4"/>
  <c r="S392" i="4" s="1"/>
  <c r="Q391" i="4"/>
  <c r="S391" i="4" s="1"/>
  <c r="Q390" i="4"/>
  <c r="S390" i="4" s="1"/>
  <c r="Q389" i="4"/>
  <c r="S389" i="4" s="1"/>
  <c r="Q388" i="4"/>
  <c r="S388" i="4" s="1"/>
  <c r="Q387" i="4"/>
  <c r="S387" i="4" s="1"/>
  <c r="Q386" i="4"/>
  <c r="S386" i="4" s="1"/>
  <c r="Q385" i="4"/>
  <c r="S385" i="4" s="1"/>
  <c r="Q384" i="4"/>
  <c r="S384" i="4" s="1"/>
  <c r="Q383" i="4"/>
  <c r="S383" i="4" s="1"/>
  <c r="Q382" i="4"/>
  <c r="S382" i="4" s="1"/>
  <c r="Q381" i="4"/>
  <c r="S381" i="4" s="1"/>
  <c r="Q380" i="4"/>
  <c r="S380" i="4" s="1"/>
  <c r="Q379" i="4"/>
  <c r="S379" i="4" s="1"/>
  <c r="Q378" i="4"/>
  <c r="S378" i="4" s="1"/>
  <c r="Q377" i="4"/>
  <c r="S377" i="4" s="1"/>
  <c r="Q376" i="4"/>
  <c r="S376" i="4" s="1"/>
  <c r="Q375" i="4"/>
  <c r="S375" i="4" s="1"/>
  <c r="Q374" i="4"/>
  <c r="S374" i="4" s="1"/>
  <c r="Q373" i="4"/>
  <c r="S373" i="4" s="1"/>
  <c r="Q372" i="4"/>
  <c r="S372" i="4" s="1"/>
  <c r="Q371" i="4"/>
  <c r="S371" i="4" s="1"/>
  <c r="Q370" i="4"/>
  <c r="S370" i="4" s="1"/>
  <c r="Q369" i="4"/>
  <c r="S369" i="4" s="1"/>
  <c r="Q368" i="4"/>
  <c r="S368" i="4" s="1"/>
  <c r="Q367" i="4"/>
  <c r="S367" i="4" s="1"/>
  <c r="Q366" i="4"/>
  <c r="S366" i="4" s="1"/>
  <c r="Q365" i="4"/>
  <c r="S365" i="4" s="1"/>
  <c r="Q364" i="4"/>
  <c r="S364" i="4" s="1"/>
  <c r="Q363" i="4"/>
  <c r="S363" i="4" s="1"/>
  <c r="Q362" i="4"/>
  <c r="S362" i="4" s="1"/>
  <c r="Q361" i="4"/>
  <c r="S361" i="4" s="1"/>
  <c r="Q360" i="4"/>
  <c r="S360" i="4" s="1"/>
  <c r="Q359" i="4"/>
  <c r="S359" i="4" s="1"/>
  <c r="Q358" i="4"/>
  <c r="S358" i="4" s="1"/>
  <c r="Q357" i="4"/>
  <c r="S357" i="4" s="1"/>
  <c r="Q356" i="4"/>
  <c r="S356" i="4" s="1"/>
  <c r="Q355" i="4"/>
  <c r="S355" i="4" s="1"/>
  <c r="Q354" i="4"/>
  <c r="S354" i="4" s="1"/>
  <c r="Q353" i="4"/>
  <c r="S353" i="4" s="1"/>
  <c r="Q352" i="4"/>
  <c r="S352" i="4" s="1"/>
  <c r="Q351" i="4"/>
  <c r="S351" i="4" s="1"/>
  <c r="Q350" i="4"/>
  <c r="S350" i="4" s="1"/>
  <c r="Q349" i="4"/>
  <c r="S349" i="4" s="1"/>
  <c r="Q348" i="4"/>
  <c r="S348" i="4" s="1"/>
  <c r="Q347" i="4"/>
  <c r="S347" i="4" s="1"/>
  <c r="Q346" i="4"/>
  <c r="S346" i="4" s="1"/>
  <c r="Q345" i="4"/>
  <c r="S345" i="4" s="1"/>
  <c r="Q344" i="4"/>
  <c r="S344" i="4" s="1"/>
  <c r="Q343" i="4"/>
  <c r="S343" i="4" s="1"/>
  <c r="Q342" i="4"/>
  <c r="S342" i="4" s="1"/>
  <c r="Q341" i="4"/>
  <c r="S341" i="4" s="1"/>
  <c r="Q340" i="4"/>
  <c r="S340" i="4" s="1"/>
  <c r="Q339" i="4"/>
  <c r="S339" i="4" s="1"/>
  <c r="Q338" i="4"/>
  <c r="S338" i="4" s="1"/>
  <c r="Q337" i="4"/>
  <c r="S337" i="4" s="1"/>
  <c r="Q336" i="4"/>
  <c r="S336" i="4" s="1"/>
  <c r="Q335" i="4"/>
  <c r="S335" i="4" s="1"/>
  <c r="Q334" i="4"/>
  <c r="S334" i="4" s="1"/>
  <c r="Q333" i="4"/>
  <c r="S333" i="4" s="1"/>
  <c r="Q332" i="4"/>
  <c r="S332" i="4" s="1"/>
  <c r="Q331" i="4"/>
  <c r="S331" i="4" s="1"/>
  <c r="Q330" i="4"/>
  <c r="S330" i="4" s="1"/>
  <c r="Q329" i="4"/>
  <c r="S329" i="4" s="1"/>
  <c r="Q328" i="4"/>
  <c r="S328" i="4" s="1"/>
  <c r="Q327" i="4"/>
  <c r="S327" i="4" s="1"/>
  <c r="Q326" i="4"/>
  <c r="S326" i="4" s="1"/>
  <c r="Q325" i="4"/>
  <c r="S325" i="4" s="1"/>
  <c r="Q324" i="4"/>
  <c r="S324" i="4" s="1"/>
  <c r="Q323" i="4"/>
  <c r="S323" i="4" s="1"/>
  <c r="Q322" i="4"/>
  <c r="S322" i="4" s="1"/>
  <c r="Q321" i="4"/>
  <c r="S321" i="4" s="1"/>
  <c r="Q320" i="4"/>
  <c r="S320" i="4" s="1"/>
  <c r="Q319" i="4"/>
  <c r="S319" i="4" s="1"/>
  <c r="Q318" i="4"/>
  <c r="S318" i="4" s="1"/>
  <c r="Q317" i="4"/>
  <c r="S317" i="4" s="1"/>
  <c r="Q316" i="4"/>
  <c r="S316" i="4" s="1"/>
  <c r="Q315" i="4"/>
  <c r="S315" i="4" s="1"/>
  <c r="Q313" i="4"/>
  <c r="S313" i="4" s="1"/>
  <c r="Q312" i="4"/>
  <c r="S312" i="4" s="1"/>
  <c r="Q311" i="4"/>
  <c r="S311" i="4" s="1"/>
  <c r="Q310" i="4"/>
  <c r="S310" i="4" s="1"/>
  <c r="Q309" i="4"/>
  <c r="S309" i="4" s="1"/>
  <c r="Q308" i="4"/>
  <c r="S308" i="4" s="1"/>
  <c r="Q307" i="4"/>
  <c r="S307" i="4" s="1"/>
  <c r="Q306" i="4"/>
  <c r="S306" i="4" s="1"/>
  <c r="Q303" i="4"/>
  <c r="S303" i="4" s="1"/>
  <c r="Q302" i="4"/>
  <c r="S302" i="4" s="1"/>
  <c r="Q301" i="4"/>
  <c r="S301" i="4" s="1"/>
  <c r="Q300" i="4"/>
  <c r="S300" i="4" s="1"/>
  <c r="Q299" i="4"/>
  <c r="S299" i="4" s="1"/>
  <c r="R298" i="4"/>
  <c r="Q297" i="4"/>
  <c r="S297" i="4" s="1"/>
  <c r="Q296" i="4"/>
  <c r="S296" i="4" s="1"/>
  <c r="R295" i="4"/>
  <c r="Q294" i="4"/>
  <c r="S294" i="4" s="1"/>
  <c r="R293" i="4"/>
  <c r="Q292" i="4"/>
  <c r="S292" i="4" s="1"/>
  <c r="Q291" i="4"/>
  <c r="S291" i="4" s="1"/>
  <c r="R290" i="4"/>
  <c r="R289" i="4"/>
  <c r="R288" i="4"/>
  <c r="R287" i="4"/>
  <c r="R286" i="4"/>
  <c r="R285" i="4"/>
  <c r="Q284" i="4"/>
  <c r="S284" i="4" s="1"/>
  <c r="Q281" i="4"/>
  <c r="S281" i="4" s="1"/>
  <c r="Q280" i="4"/>
  <c r="S280" i="4" s="1"/>
  <c r="Q279" i="4"/>
  <c r="S279" i="4" s="1"/>
  <c r="Q278" i="4"/>
  <c r="S278" i="4" s="1"/>
  <c r="Q277" i="4"/>
  <c r="S277" i="4" s="1"/>
  <c r="Q276" i="4"/>
  <c r="S276" i="4" s="1"/>
  <c r="Q275" i="4"/>
  <c r="S275" i="4" s="1"/>
  <c r="Q274" i="4"/>
  <c r="S274" i="4" s="1"/>
  <c r="Q273" i="4"/>
  <c r="S273" i="4" s="1"/>
  <c r="Q272" i="4"/>
  <c r="S272" i="4" s="1"/>
  <c r="Q271" i="4"/>
  <c r="S271" i="4" s="1"/>
  <c r="Q270" i="4"/>
  <c r="S270" i="4" s="1"/>
  <c r="Q269" i="4"/>
  <c r="S269" i="4" s="1"/>
  <c r="Q268" i="4"/>
  <c r="S268" i="4" s="1"/>
  <c r="Q267" i="4"/>
  <c r="S267" i="4" s="1"/>
  <c r="Q266" i="4"/>
  <c r="S266" i="4" s="1"/>
  <c r="Q265" i="4"/>
  <c r="S265" i="4" s="1"/>
  <c r="Q264" i="4"/>
  <c r="S264" i="4" s="1"/>
  <c r="Q263" i="4"/>
  <c r="S263" i="4" s="1"/>
  <c r="Q262" i="4"/>
  <c r="S262" i="4" s="1"/>
  <c r="Q261" i="4"/>
  <c r="S261" i="4" s="1"/>
  <c r="Q260" i="4"/>
  <c r="S260" i="4" s="1"/>
  <c r="Q259" i="4"/>
  <c r="S259" i="4" s="1"/>
  <c r="Q258" i="4"/>
  <c r="S258" i="4" s="1"/>
  <c r="Q257" i="4"/>
  <c r="S257" i="4" s="1"/>
  <c r="Q256" i="4"/>
  <c r="S256" i="4" s="1"/>
  <c r="Q255" i="4"/>
  <c r="S255" i="4" s="1"/>
  <c r="Q254" i="4"/>
  <c r="S254" i="4" s="1"/>
  <c r="Q253" i="4"/>
  <c r="S253" i="4" s="1"/>
  <c r="Q252" i="4"/>
  <c r="S252" i="4" s="1"/>
  <c r="Q251" i="4"/>
  <c r="S251" i="4" s="1"/>
  <c r="Q250" i="4"/>
  <c r="S250" i="4" s="1"/>
  <c r="Q249" i="4"/>
  <c r="S249" i="4" s="1"/>
  <c r="Q248" i="4"/>
  <c r="S248" i="4" s="1"/>
  <c r="Q247" i="4"/>
  <c r="S247" i="4" s="1"/>
  <c r="Q246" i="4"/>
  <c r="S246" i="4" s="1"/>
  <c r="Q245" i="4"/>
  <c r="S245" i="4" s="1"/>
  <c r="Q244" i="4"/>
  <c r="S244" i="4" s="1"/>
  <c r="Q243" i="4"/>
  <c r="S243" i="4" s="1"/>
  <c r="Q242" i="4"/>
  <c r="S242" i="4" s="1"/>
  <c r="Q241" i="4"/>
  <c r="S241" i="4" s="1"/>
  <c r="Q240" i="4"/>
  <c r="S240" i="4" s="1"/>
  <c r="Q239" i="4"/>
  <c r="S239" i="4" s="1"/>
  <c r="Q238" i="4"/>
  <c r="S238" i="4" s="1"/>
  <c r="Q237" i="4"/>
  <c r="S237" i="4" s="1"/>
  <c r="Q236" i="4"/>
  <c r="S236" i="4" s="1"/>
  <c r="Q235" i="4"/>
  <c r="S235" i="4" s="1"/>
  <c r="Q234" i="4"/>
  <c r="S234" i="4" s="1"/>
  <c r="Q233" i="4"/>
  <c r="S233" i="4" s="1"/>
  <c r="Q232" i="4"/>
  <c r="S232" i="4" s="1"/>
  <c r="Q231" i="4"/>
  <c r="S231" i="4" s="1"/>
  <c r="Q230" i="4"/>
  <c r="S230" i="4" s="1"/>
  <c r="Q229" i="4"/>
  <c r="S229" i="4" s="1"/>
  <c r="Q228" i="4"/>
  <c r="S228" i="4" s="1"/>
  <c r="Q227" i="4"/>
  <c r="S227" i="4" s="1"/>
  <c r="Q226" i="4"/>
  <c r="S226" i="4" s="1"/>
  <c r="Q225" i="4"/>
  <c r="S225" i="4" s="1"/>
  <c r="Q224" i="4"/>
  <c r="S224" i="4" s="1"/>
  <c r="Q223" i="4"/>
  <c r="S223" i="4" s="1"/>
  <c r="Q222" i="4"/>
  <c r="S222" i="4" s="1"/>
  <c r="Q221" i="4"/>
  <c r="S221" i="4" s="1"/>
  <c r="Q220" i="4"/>
  <c r="S220" i="4" s="1"/>
  <c r="Q219" i="4"/>
  <c r="S219" i="4" s="1"/>
  <c r="Q218" i="4"/>
  <c r="S218" i="4" s="1"/>
  <c r="Q217" i="4"/>
  <c r="S217" i="4" s="1"/>
  <c r="Q216" i="4"/>
  <c r="S216" i="4" s="1"/>
  <c r="Q215" i="4"/>
  <c r="S215" i="4" s="1"/>
  <c r="Q214" i="4"/>
  <c r="S214" i="4" s="1"/>
  <c r="Q213" i="4"/>
  <c r="S213" i="4" s="1"/>
  <c r="Q212" i="4"/>
  <c r="S212" i="4" s="1"/>
  <c r="Q211" i="4"/>
  <c r="S211" i="4" s="1"/>
  <c r="Q210" i="4"/>
  <c r="S210" i="4" s="1"/>
  <c r="Q209" i="4"/>
  <c r="S209" i="4" s="1"/>
  <c r="Q208" i="4"/>
  <c r="S208" i="4" s="1"/>
  <c r="Q207" i="4"/>
  <c r="S207" i="4" s="1"/>
  <c r="Q206" i="4"/>
  <c r="S206" i="4" s="1"/>
  <c r="Q205" i="4"/>
  <c r="S205" i="4" s="1"/>
  <c r="Q204" i="4"/>
  <c r="S204" i="4" s="1"/>
  <c r="Q203" i="4"/>
  <c r="S203" i="4" s="1"/>
  <c r="Q202" i="4"/>
  <c r="S202" i="4" s="1"/>
  <c r="Q201" i="4"/>
  <c r="S201" i="4" s="1"/>
  <c r="Q200" i="4"/>
  <c r="S200" i="4" s="1"/>
  <c r="Q199" i="4"/>
  <c r="S199" i="4" s="1"/>
  <c r="Q198" i="4"/>
  <c r="S198" i="4" s="1"/>
  <c r="Q197" i="4"/>
  <c r="S197" i="4" s="1"/>
  <c r="Q196" i="4"/>
  <c r="S196" i="4" s="1"/>
  <c r="Q195" i="4"/>
  <c r="S195" i="4" s="1"/>
  <c r="Q194" i="4"/>
  <c r="S194" i="4" s="1"/>
  <c r="Q193" i="4"/>
  <c r="S193" i="4" s="1"/>
  <c r="Q192" i="4"/>
  <c r="S192" i="4" s="1"/>
  <c r="Q191" i="4"/>
  <c r="S191" i="4" s="1"/>
  <c r="Q190" i="4"/>
  <c r="S190" i="4" s="1"/>
  <c r="Q189" i="4"/>
  <c r="S189" i="4" s="1"/>
  <c r="Q188" i="4"/>
  <c r="S188" i="4" s="1"/>
  <c r="Q187" i="4"/>
  <c r="S187" i="4" s="1"/>
  <c r="Q186" i="4"/>
  <c r="S186" i="4" s="1"/>
  <c r="Q185" i="4"/>
  <c r="S185" i="4" s="1"/>
  <c r="Q184" i="4"/>
  <c r="S184" i="4" s="1"/>
  <c r="Q183" i="4"/>
  <c r="S183" i="4" s="1"/>
  <c r="Q182" i="4"/>
  <c r="S182" i="4" s="1"/>
  <c r="Q181" i="4"/>
  <c r="S181" i="4" s="1"/>
  <c r="Q180" i="4"/>
  <c r="S180" i="4" s="1"/>
  <c r="Q179" i="4"/>
  <c r="S179" i="4" s="1"/>
  <c r="Q176" i="4"/>
  <c r="S176" i="4" s="1"/>
  <c r="Q174" i="4"/>
  <c r="S174" i="4" s="1"/>
  <c r="Q173" i="4"/>
  <c r="S173" i="4" s="1"/>
  <c r="Q172" i="4"/>
  <c r="S172" i="4" s="1"/>
  <c r="Q171" i="4"/>
  <c r="S171" i="4" s="1"/>
  <c r="Q170" i="4"/>
  <c r="S170" i="4" s="1"/>
  <c r="Q169" i="4"/>
  <c r="S169" i="4" s="1"/>
  <c r="Q168" i="4"/>
  <c r="S168" i="4" s="1"/>
  <c r="Q167" i="4"/>
  <c r="S167" i="4" s="1"/>
  <c r="Q166" i="4"/>
  <c r="S166" i="4" s="1"/>
  <c r="Q165" i="4"/>
  <c r="S165" i="4" s="1"/>
  <c r="Q164" i="4"/>
  <c r="S164" i="4" s="1"/>
  <c r="Q163" i="4"/>
  <c r="S163" i="4" s="1"/>
  <c r="Q162" i="4"/>
  <c r="S162" i="4" s="1"/>
  <c r="Q161" i="4"/>
  <c r="S161" i="4" s="1"/>
  <c r="Q160" i="4"/>
  <c r="S160" i="4" s="1"/>
  <c r="Q159" i="4"/>
  <c r="S159" i="4" s="1"/>
  <c r="Q158" i="4"/>
  <c r="S158" i="4" s="1"/>
  <c r="Q157" i="4"/>
  <c r="S157" i="4" s="1"/>
  <c r="Q156" i="4"/>
  <c r="S156" i="4" s="1"/>
  <c r="Q155" i="4"/>
  <c r="S155" i="4" s="1"/>
  <c r="Q154" i="4"/>
  <c r="S154" i="4" s="1"/>
  <c r="Q153" i="4"/>
  <c r="S153" i="4" s="1"/>
  <c r="Q152" i="4"/>
  <c r="S152" i="4" s="1"/>
  <c r="Q151" i="4"/>
  <c r="S151" i="4" s="1"/>
  <c r="Q150" i="4"/>
  <c r="S150" i="4" s="1"/>
  <c r="Q149" i="4"/>
  <c r="S149" i="4" s="1"/>
  <c r="Q148" i="4"/>
  <c r="S148" i="4" s="1"/>
  <c r="Q147" i="4"/>
  <c r="S147" i="4" s="1"/>
  <c r="Q146" i="4"/>
  <c r="S146" i="4" s="1"/>
  <c r="Q145" i="4"/>
  <c r="S145" i="4" s="1"/>
  <c r="Q144" i="4"/>
  <c r="S144" i="4" s="1"/>
  <c r="Q143" i="4"/>
  <c r="S143" i="4" s="1"/>
  <c r="Q142" i="4"/>
  <c r="S142" i="4" s="1"/>
  <c r="Q141" i="4"/>
  <c r="S141" i="4" s="1"/>
  <c r="Q140" i="4"/>
  <c r="S140" i="4" s="1"/>
  <c r="Q139" i="4"/>
  <c r="S139" i="4" s="1"/>
  <c r="Q137" i="4"/>
  <c r="S137" i="4" s="1"/>
  <c r="Q136" i="4"/>
  <c r="S136" i="4" s="1"/>
  <c r="Q135" i="4"/>
  <c r="S135" i="4" s="1"/>
  <c r="Q134" i="4"/>
  <c r="S134" i="4" s="1"/>
  <c r="Q133" i="4"/>
  <c r="S133" i="4" s="1"/>
  <c r="Q132" i="4"/>
  <c r="S132" i="4" s="1"/>
  <c r="Q131" i="4"/>
  <c r="S131" i="4" s="1"/>
  <c r="Q130" i="4"/>
  <c r="S130" i="4" s="1"/>
  <c r="Q129" i="4"/>
  <c r="S129" i="4" s="1"/>
  <c r="Q128" i="4"/>
  <c r="S128" i="4" s="1"/>
  <c r="Q127" i="4"/>
  <c r="S127" i="4" s="1"/>
  <c r="Q126" i="4"/>
  <c r="S126" i="4" s="1"/>
  <c r="Q125" i="4"/>
  <c r="S125" i="4" s="1"/>
  <c r="Q124" i="4"/>
  <c r="S124" i="4" s="1"/>
  <c r="Q123" i="4"/>
  <c r="S123" i="4" s="1"/>
  <c r="Q122" i="4"/>
  <c r="S122" i="4" s="1"/>
  <c r="Q121" i="4"/>
  <c r="S121" i="4" s="1"/>
  <c r="Q120" i="4"/>
  <c r="S120" i="4" s="1"/>
  <c r="Q119" i="4"/>
  <c r="S119" i="4" s="1"/>
  <c r="Q118" i="4"/>
  <c r="S118" i="4" s="1"/>
  <c r="Q117" i="4"/>
  <c r="S117" i="4" s="1"/>
  <c r="Q116" i="4"/>
  <c r="S116" i="4" s="1"/>
  <c r="Q115" i="4"/>
  <c r="S115" i="4" s="1"/>
  <c r="Q114" i="4"/>
  <c r="S114" i="4" s="1"/>
  <c r="Q113" i="4"/>
  <c r="S113" i="4" s="1"/>
  <c r="Q112" i="4"/>
  <c r="S112" i="4" s="1"/>
  <c r="Q111" i="4"/>
  <c r="S111" i="4" s="1"/>
  <c r="Q110" i="4"/>
  <c r="S110" i="4" s="1"/>
  <c r="Q109" i="4"/>
  <c r="S109" i="4" s="1"/>
  <c r="Q108" i="4"/>
  <c r="S108" i="4" s="1"/>
  <c r="Q107" i="4"/>
  <c r="S107" i="4" s="1"/>
  <c r="Q106" i="4"/>
  <c r="S106" i="4" s="1"/>
  <c r="Q95" i="4"/>
  <c r="S95" i="4" s="1"/>
  <c r="Q94" i="4"/>
  <c r="S94" i="4" s="1"/>
  <c r="Q91" i="4"/>
  <c r="S91" i="4" s="1"/>
  <c r="Q90" i="4"/>
  <c r="S90" i="4" s="1"/>
  <c r="Q89" i="4"/>
  <c r="S89" i="4" s="1"/>
  <c r="Q88" i="4"/>
  <c r="S88" i="4" s="1"/>
  <c r="Q87" i="4"/>
  <c r="S87" i="4" s="1"/>
  <c r="Q86" i="4"/>
  <c r="S86" i="4" s="1"/>
  <c r="Q85" i="4"/>
  <c r="S85" i="4" s="1"/>
  <c r="Q84" i="4"/>
  <c r="S84" i="4" s="1"/>
  <c r="Q83" i="4"/>
  <c r="S83" i="4" s="1"/>
  <c r="Q82" i="4"/>
  <c r="S82" i="4" s="1"/>
  <c r="Q81" i="4"/>
  <c r="S81" i="4" s="1"/>
  <c r="Q80" i="4"/>
  <c r="S80" i="4" s="1"/>
  <c r="Q79" i="4"/>
  <c r="S79" i="4" s="1"/>
  <c r="Q78" i="4"/>
  <c r="S78" i="4" s="1"/>
  <c r="Q77" i="4"/>
  <c r="S77" i="4" s="1"/>
  <c r="Q76" i="4"/>
  <c r="S76" i="4" s="1"/>
  <c r="Q75" i="4"/>
  <c r="S75" i="4" s="1"/>
  <c r="Q74" i="4"/>
  <c r="S74" i="4" s="1"/>
  <c r="Q73" i="4"/>
  <c r="S73" i="4" s="1"/>
  <c r="Q72" i="4"/>
  <c r="S72" i="4" s="1"/>
  <c r="Q71" i="4"/>
  <c r="S71" i="4" s="1"/>
  <c r="Q70" i="4"/>
  <c r="S70" i="4" s="1"/>
  <c r="Q69" i="4"/>
  <c r="S69" i="4" s="1"/>
  <c r="Q68" i="4"/>
  <c r="S68" i="4" s="1"/>
  <c r="Q67" i="4"/>
  <c r="S67" i="4" s="1"/>
  <c r="Q66" i="4"/>
  <c r="S66" i="4" s="1"/>
  <c r="Q65" i="4"/>
  <c r="S65" i="4" s="1"/>
  <c r="Q64" i="4"/>
  <c r="S64" i="4" s="1"/>
  <c r="Q63" i="4"/>
  <c r="S63" i="4" s="1"/>
  <c r="Q62" i="4"/>
  <c r="S62" i="4" s="1"/>
  <c r="Q61" i="4"/>
  <c r="S61" i="4" s="1"/>
  <c r="Q60" i="4"/>
  <c r="S60" i="4" s="1"/>
  <c r="Q59" i="4"/>
  <c r="S59" i="4" s="1"/>
  <c r="Q58" i="4"/>
  <c r="S58" i="4" s="1"/>
  <c r="Q57" i="4"/>
  <c r="S57" i="4" s="1"/>
  <c r="Q56" i="4"/>
  <c r="S56" i="4" s="1"/>
  <c r="Q55" i="4"/>
  <c r="S55" i="4" s="1"/>
  <c r="Q54" i="4"/>
  <c r="S54" i="4" s="1"/>
  <c r="Q53" i="4"/>
  <c r="S53" i="4" s="1"/>
  <c r="Q52" i="4"/>
  <c r="S52" i="4" s="1"/>
  <c r="Q51" i="4"/>
  <c r="S51" i="4" s="1"/>
  <c r="Q50" i="4"/>
  <c r="S50" i="4" s="1"/>
  <c r="Q49" i="4"/>
  <c r="S49" i="4" s="1"/>
  <c r="Q48" i="4"/>
  <c r="S48" i="4" s="1"/>
  <c r="Q47" i="4"/>
  <c r="S47" i="4" s="1"/>
  <c r="Q46" i="4"/>
  <c r="S46" i="4" s="1"/>
  <c r="Q45" i="4"/>
  <c r="S45" i="4" s="1"/>
  <c r="Q44" i="4"/>
  <c r="S44" i="4" s="1"/>
  <c r="Q43" i="4"/>
  <c r="S43" i="4" s="1"/>
  <c r="Q42" i="4"/>
  <c r="S42" i="4" s="1"/>
  <c r="Q41" i="4"/>
  <c r="S41" i="4" s="1"/>
  <c r="Q40" i="4"/>
  <c r="S40" i="4" s="1"/>
  <c r="Q39" i="4"/>
  <c r="S39" i="4" s="1"/>
  <c r="Q38" i="4"/>
  <c r="S38" i="4" s="1"/>
  <c r="Q37" i="4"/>
  <c r="S37" i="4" s="1"/>
  <c r="Q36" i="4"/>
  <c r="S36" i="4" s="1"/>
  <c r="Q35" i="4"/>
  <c r="S35" i="4" s="1"/>
  <c r="R80" i="4" l="1"/>
  <c r="R294" i="4"/>
  <c r="R302" i="4"/>
  <c r="R308" i="4"/>
  <c r="R312" i="4"/>
  <c r="R317" i="4"/>
  <c r="R321" i="4"/>
  <c r="R325" i="4"/>
  <c r="R329" i="4"/>
  <c r="R333" i="4"/>
  <c r="R337" i="4"/>
  <c r="R341" i="4"/>
  <c r="R345" i="4"/>
  <c r="R349" i="4"/>
  <c r="R353" i="4"/>
  <c r="R357" i="4"/>
  <c r="R369" i="4"/>
  <c r="R497" i="4"/>
  <c r="R505" i="4"/>
  <c r="R517" i="4"/>
  <c r="R37" i="4"/>
  <c r="R41" i="4"/>
  <c r="R45" i="4"/>
  <c r="R49" i="4"/>
  <c r="R53" i="4"/>
  <c r="R57" i="4"/>
  <c r="R61" i="4"/>
  <c r="R65" i="4"/>
  <c r="R69" i="4"/>
  <c r="R73" i="4"/>
  <c r="R77" i="4"/>
  <c r="R81" i="4"/>
  <c r="R85" i="4"/>
  <c r="R89" i="4"/>
  <c r="R95" i="4"/>
  <c r="R109" i="4"/>
  <c r="R113" i="4"/>
  <c r="R117" i="4"/>
  <c r="R121" i="4"/>
  <c r="R125" i="4"/>
  <c r="R129" i="4"/>
  <c r="R137" i="4"/>
  <c r="R146" i="4"/>
  <c r="R154" i="4"/>
  <c r="R162" i="4"/>
  <c r="R170" i="4"/>
  <c r="R181" i="4"/>
  <c r="R189" i="4"/>
  <c r="R197" i="4"/>
  <c r="R205" i="4"/>
  <c r="R213" i="4"/>
  <c r="R221" i="4"/>
  <c r="R229" i="4"/>
  <c r="R237" i="4"/>
  <c r="R245" i="4"/>
  <c r="R253" i="4"/>
  <c r="R261" i="4"/>
  <c r="R269" i="4"/>
  <c r="R277" i="4"/>
  <c r="R291" i="4"/>
  <c r="R299" i="4"/>
  <c r="R322" i="4"/>
  <c r="R330" i="4"/>
  <c r="R382" i="4"/>
  <c r="R390" i="4"/>
  <c r="R398" i="4"/>
  <c r="R406" i="4"/>
  <c r="R410" i="4"/>
  <c r="R414" i="4"/>
  <c r="R422" i="4"/>
  <c r="R426" i="4"/>
  <c r="R430" i="4"/>
  <c r="R434" i="4"/>
  <c r="R438" i="4"/>
  <c r="R442" i="4"/>
  <c r="R446" i="4"/>
  <c r="R450" i="4"/>
  <c r="R454" i="4"/>
  <c r="R458" i="4"/>
  <c r="R462" i="4"/>
  <c r="R466" i="4"/>
  <c r="R470" i="4"/>
  <c r="R474" i="4"/>
  <c r="R478" i="4"/>
  <c r="R482" i="4"/>
  <c r="R486" i="4"/>
  <c r="R490" i="4"/>
  <c r="R494" i="4"/>
  <c r="R498" i="4"/>
  <c r="R502" i="4"/>
  <c r="R506" i="4"/>
  <c r="R510" i="4"/>
  <c r="R514" i="4"/>
  <c r="R518" i="4"/>
  <c r="R522" i="4"/>
  <c r="R526" i="4"/>
  <c r="R182" i="4"/>
  <c r="R246" i="4"/>
  <c r="R300" i="4"/>
  <c r="R306" i="4"/>
  <c r="R310" i="4"/>
  <c r="R315" i="4"/>
  <c r="R319" i="4"/>
  <c r="R323" i="4"/>
  <c r="R327" i="4"/>
  <c r="R331" i="4"/>
  <c r="R335" i="4"/>
  <c r="R339" i="4"/>
  <c r="R343" i="4"/>
  <c r="R347" i="4"/>
  <c r="R351" i="4"/>
  <c r="R355" i="4"/>
  <c r="R87" i="4"/>
  <c r="R91" i="4"/>
  <c r="R107" i="4"/>
  <c r="R111" i="4"/>
  <c r="R115" i="4"/>
  <c r="R119" i="4"/>
  <c r="R123" i="4"/>
  <c r="R127" i="4"/>
  <c r="R135" i="4"/>
  <c r="R144" i="4"/>
  <c r="R152" i="4"/>
  <c r="R160" i="4"/>
  <c r="R168" i="4"/>
  <c r="R179" i="4"/>
  <c r="R187" i="4"/>
  <c r="R195" i="4"/>
  <c r="R203" i="4"/>
  <c r="R211" i="4"/>
  <c r="R219" i="4"/>
  <c r="R227" i="4"/>
  <c r="R235" i="4"/>
  <c r="R243" i="4"/>
  <c r="R251" i="4"/>
  <c r="R259" i="4"/>
  <c r="R267" i="4"/>
  <c r="R275" i="4"/>
  <c r="R297" i="4"/>
  <c r="R360" i="4"/>
  <c r="R364" i="4"/>
  <c r="R368" i="4"/>
  <c r="R372" i="4"/>
  <c r="R376" i="4"/>
  <c r="R384" i="4"/>
  <c r="R392" i="4"/>
  <c r="R400" i="4"/>
  <c r="R408" i="4"/>
  <c r="R412" i="4"/>
  <c r="R416" i="4"/>
  <c r="R420" i="4"/>
  <c r="R424" i="4"/>
  <c r="R428" i="4"/>
  <c r="R432" i="4"/>
  <c r="R436" i="4"/>
  <c r="R440" i="4"/>
  <c r="R444" i="4"/>
  <c r="R452" i="4"/>
  <c r="R460" i="4"/>
  <c r="R464" i="4"/>
  <c r="R468" i="4"/>
  <c r="R472" i="4"/>
  <c r="R476" i="4"/>
  <c r="R480" i="4"/>
  <c r="R484" i="4"/>
  <c r="R488" i="4"/>
  <c r="R492" i="4"/>
  <c r="R496" i="4"/>
  <c r="R500" i="4"/>
  <c r="R504" i="4"/>
  <c r="R508" i="4"/>
  <c r="R512" i="4"/>
  <c r="R516" i="4"/>
  <c r="R524" i="4"/>
  <c r="R520" i="4"/>
  <c r="R418" i="4"/>
  <c r="R214" i="4"/>
  <c r="R449" i="4"/>
  <c r="R352" i="4"/>
  <c r="R163" i="4"/>
  <c r="R401" i="4"/>
  <c r="R68" i="4"/>
  <c r="R350" i="4"/>
  <c r="R481" i="4"/>
  <c r="R278" i="4"/>
  <c r="R84" i="4"/>
  <c r="R43" i="4"/>
  <c r="R461" i="4"/>
  <c r="R48" i="4"/>
  <c r="R128" i="4"/>
  <c r="R39" i="4"/>
  <c r="R59" i="4"/>
  <c r="R76" i="4"/>
  <c r="R52" i="4"/>
  <c r="R60" i="4"/>
  <c r="R71" i="4"/>
  <c r="R112" i="4"/>
  <c r="R190" i="4"/>
  <c r="R421" i="4"/>
  <c r="R453" i="4"/>
  <c r="R513" i="4"/>
  <c r="R36" i="4"/>
  <c r="R44" i="4"/>
  <c r="R55" i="4"/>
  <c r="R64" i="4"/>
  <c r="R75" i="4"/>
  <c r="R147" i="4"/>
  <c r="R171" i="4"/>
  <c r="R198" i="4"/>
  <c r="R230" i="4"/>
  <c r="R262" i="4"/>
  <c r="R303" i="4"/>
  <c r="R354" i="4"/>
  <c r="R356" i="4"/>
  <c r="R409" i="4"/>
  <c r="R441" i="4"/>
  <c r="R469" i="4"/>
  <c r="R437" i="4"/>
  <c r="R151" i="4"/>
  <c r="R218" i="4"/>
  <c r="R254" i="4"/>
  <c r="R320" i="4"/>
  <c r="R456" i="4"/>
  <c r="R35" i="4"/>
  <c r="R40" i="4"/>
  <c r="R51" i="4"/>
  <c r="R56" i="4"/>
  <c r="R72" i="4"/>
  <c r="R120" i="4"/>
  <c r="R155" i="4"/>
  <c r="R169" i="4"/>
  <c r="R309" i="4"/>
  <c r="R332" i="4"/>
  <c r="R473" i="4"/>
  <c r="R47" i="4"/>
  <c r="R63" i="4"/>
  <c r="R79" i="4"/>
  <c r="R139" i="4"/>
  <c r="R153" i="4"/>
  <c r="R186" i="4"/>
  <c r="R193" i="4"/>
  <c r="R206" i="4"/>
  <c r="R238" i="4"/>
  <c r="R270" i="4"/>
  <c r="R318" i="4"/>
  <c r="R361" i="4"/>
  <c r="R397" i="4"/>
  <c r="R485" i="4"/>
  <c r="R158" i="4"/>
  <c r="R188" i="4"/>
  <c r="R222" i="4"/>
  <c r="R67" i="4"/>
  <c r="R83" i="4"/>
  <c r="R94" i="4"/>
  <c r="R134" i="4"/>
  <c r="R142" i="4"/>
  <c r="R202" i="4"/>
  <c r="R209" i="4"/>
  <c r="R385" i="4"/>
  <c r="R448" i="4"/>
  <c r="R136" i="4"/>
  <c r="R167" i="4"/>
  <c r="R174" i="4"/>
  <c r="R204" i="4"/>
  <c r="R342" i="4"/>
  <c r="R348" i="4"/>
  <c r="R433" i="4"/>
  <c r="R220" i="4"/>
  <c r="R225" i="4"/>
  <c r="R234" i="4"/>
  <c r="R236" i="4"/>
  <c r="R241" i="4"/>
  <c r="R250" i="4"/>
  <c r="R252" i="4"/>
  <c r="R257" i="4"/>
  <c r="R266" i="4"/>
  <c r="R268" i="4"/>
  <c r="R273" i="4"/>
  <c r="R284" i="4"/>
  <c r="R292" i="4"/>
  <c r="R296" i="4"/>
  <c r="R316" i="4"/>
  <c r="R340" i="4"/>
  <c r="R344" i="4"/>
  <c r="R346" i="4"/>
  <c r="R377" i="4"/>
  <c r="R389" i="4"/>
  <c r="R405" i="4"/>
  <c r="R417" i="4"/>
  <c r="R429" i="4"/>
  <c r="R465" i="4"/>
  <c r="R501" i="4"/>
  <c r="R140" i="4"/>
  <c r="R156" i="4"/>
  <c r="R172" i="4"/>
  <c r="R191" i="4"/>
  <c r="R207" i="4"/>
  <c r="R223" i="4"/>
  <c r="R239" i="4"/>
  <c r="R255" i="4"/>
  <c r="R271" i="4"/>
  <c r="R336" i="4"/>
  <c r="R88" i="4"/>
  <c r="R108" i="4"/>
  <c r="R116" i="4"/>
  <c r="R124" i="4"/>
  <c r="R133" i="4"/>
  <c r="R143" i="4"/>
  <c r="R145" i="4"/>
  <c r="R150" i="4"/>
  <c r="R159" i="4"/>
  <c r="R161" i="4"/>
  <c r="R166" i="4"/>
  <c r="R176" i="4"/>
  <c r="R180" i="4"/>
  <c r="R185" i="4"/>
  <c r="R194" i="4"/>
  <c r="R196" i="4"/>
  <c r="R201" i="4"/>
  <c r="R210" i="4"/>
  <c r="R212" i="4"/>
  <c r="R217" i="4"/>
  <c r="R226" i="4"/>
  <c r="R228" i="4"/>
  <c r="R233" i="4"/>
  <c r="R242" i="4"/>
  <c r="R244" i="4"/>
  <c r="R249" i="4"/>
  <c r="R258" i="4"/>
  <c r="R260" i="4"/>
  <c r="R265" i="4"/>
  <c r="R274" i="4"/>
  <c r="R276" i="4"/>
  <c r="R281" i="4"/>
  <c r="R307" i="4"/>
  <c r="R311" i="4"/>
  <c r="R313" i="4"/>
  <c r="R358" i="4"/>
  <c r="R131" i="4"/>
  <c r="R148" i="4"/>
  <c r="R164" i="4"/>
  <c r="R183" i="4"/>
  <c r="R199" i="4"/>
  <c r="R215" i="4"/>
  <c r="R231" i="4"/>
  <c r="R247" i="4"/>
  <c r="R263" i="4"/>
  <c r="R279" i="4"/>
  <c r="R326" i="4"/>
  <c r="R334" i="4"/>
  <c r="R301" i="4"/>
  <c r="R338" i="4"/>
  <c r="R365" i="4"/>
  <c r="R373" i="4"/>
  <c r="R381" i="4"/>
  <c r="R393" i="4"/>
  <c r="R413" i="4"/>
  <c r="R425" i="4"/>
  <c r="R445" i="4"/>
  <c r="R457" i="4"/>
  <c r="R477" i="4"/>
  <c r="R324" i="4"/>
  <c r="R328" i="4"/>
  <c r="R493" i="4"/>
  <c r="R525" i="4"/>
  <c r="R489" i="4"/>
  <c r="R509" i="4"/>
  <c r="R521" i="4"/>
  <c r="R359" i="4"/>
  <c r="R370" i="4"/>
  <c r="R375" i="4"/>
  <c r="R380" i="4"/>
  <c r="R394" i="4"/>
  <c r="R366" i="4"/>
  <c r="R371" i="4"/>
  <c r="R383" i="4"/>
  <c r="R388" i="4"/>
  <c r="R402" i="4"/>
  <c r="R42" i="4"/>
  <c r="R46" i="4"/>
  <c r="R58" i="4"/>
  <c r="R66" i="4"/>
  <c r="R74" i="4"/>
  <c r="R78" i="4"/>
  <c r="R82" i="4"/>
  <c r="R90" i="4"/>
  <c r="R106" i="4"/>
  <c r="R114" i="4"/>
  <c r="R118" i="4"/>
  <c r="R126" i="4"/>
  <c r="R130" i="4"/>
  <c r="R362" i="4"/>
  <c r="R367" i="4"/>
  <c r="R378" i="4"/>
  <c r="R391" i="4"/>
  <c r="R396" i="4"/>
  <c r="R38" i="4"/>
  <c r="R50" i="4"/>
  <c r="R54" i="4"/>
  <c r="R62" i="4"/>
  <c r="R70" i="4"/>
  <c r="R86" i="4"/>
  <c r="R110" i="4"/>
  <c r="R122" i="4"/>
  <c r="R132" i="4"/>
  <c r="R141" i="4"/>
  <c r="R149" i="4"/>
  <c r="R157" i="4"/>
  <c r="R165" i="4"/>
  <c r="R173" i="4"/>
  <c r="R184" i="4"/>
  <c r="R192" i="4"/>
  <c r="R200" i="4"/>
  <c r="R208" i="4"/>
  <c r="R216" i="4"/>
  <c r="R224" i="4"/>
  <c r="R232" i="4"/>
  <c r="R240" i="4"/>
  <c r="R248" i="4"/>
  <c r="R256" i="4"/>
  <c r="R264" i="4"/>
  <c r="R272" i="4"/>
  <c r="R280" i="4"/>
  <c r="R363" i="4"/>
  <c r="R374" i="4"/>
  <c r="R386" i="4"/>
  <c r="R399" i="4"/>
  <c r="R404" i="4"/>
  <c r="R379" i="4"/>
  <c r="R387" i="4"/>
  <c r="R395" i="4"/>
  <c r="R403" i="4"/>
  <c r="R411" i="4"/>
  <c r="R419" i="4"/>
  <c r="R427" i="4"/>
  <c r="R435" i="4"/>
  <c r="R443" i="4"/>
  <c r="R451" i="4"/>
  <c r="R459" i="4"/>
  <c r="R467" i="4"/>
  <c r="R475" i="4"/>
  <c r="R483" i="4"/>
  <c r="R491" i="4"/>
  <c r="R499" i="4"/>
  <c r="R507" i="4"/>
  <c r="R515" i="4"/>
  <c r="R523" i="4"/>
  <c r="R407" i="4"/>
  <c r="R415" i="4"/>
  <c r="R423" i="4"/>
  <c r="R431" i="4"/>
  <c r="R439" i="4"/>
  <c r="R447" i="4"/>
  <c r="R455" i="4"/>
  <c r="R463" i="4"/>
  <c r="R471" i="4"/>
  <c r="R479" i="4"/>
  <c r="R487" i="4"/>
  <c r="R495" i="4"/>
  <c r="R503" i="4"/>
  <c r="R511" i="4"/>
  <c r="R519" i="4"/>
  <c r="R527" i="4"/>
  <c r="Q34" i="4"/>
  <c r="S34" i="4" s="1"/>
  <c r="Q33" i="4"/>
  <c r="S33" i="4" s="1"/>
  <c r="Q32" i="4"/>
  <c r="S32" i="4" s="1"/>
  <c r="Q31" i="4"/>
  <c r="S31" i="4" s="1"/>
  <c r="Q30" i="4"/>
  <c r="S30" i="4" s="1"/>
  <c r="Q29" i="4"/>
  <c r="S29" i="4" s="1"/>
  <c r="Q28" i="4"/>
  <c r="S28" i="4" s="1"/>
  <c r="Q27" i="4"/>
  <c r="S27" i="4" s="1"/>
  <c r="Q26" i="4"/>
  <c r="S26" i="4" s="1"/>
  <c r="Q25" i="4"/>
  <c r="S25" i="4" s="1"/>
  <c r="Q24" i="4"/>
  <c r="S24" i="4" s="1"/>
  <c r="Q23" i="4"/>
  <c r="S23" i="4" s="1"/>
  <c r="Q22" i="4"/>
  <c r="S22" i="4" s="1"/>
  <c r="Q21" i="4"/>
  <c r="S21" i="4" s="1"/>
  <c r="Q20" i="4"/>
  <c r="S20" i="4" s="1"/>
  <c r="Q19" i="4"/>
  <c r="S19" i="4" s="1"/>
  <c r="Q18" i="4"/>
  <c r="S18" i="4" s="1"/>
  <c r="Q17" i="4"/>
  <c r="S17" i="4" s="1"/>
  <c r="Q16" i="4"/>
  <c r="S16" i="4" s="1"/>
  <c r="Q15" i="4"/>
  <c r="S15" i="4" s="1"/>
  <c r="Q14" i="4"/>
  <c r="S14" i="4" s="1"/>
  <c r="Q13" i="4"/>
  <c r="S13" i="4" s="1"/>
  <c r="Q12" i="4"/>
  <c r="S12" i="4" s="1"/>
  <c r="Q11" i="4"/>
  <c r="S11" i="4" s="1"/>
  <c r="Q10" i="4"/>
  <c r="S10" i="4" s="1"/>
  <c r="R22" i="4" l="1"/>
  <c r="R30" i="4"/>
  <c r="R14" i="4"/>
  <c r="R26" i="4"/>
  <c r="R20" i="4"/>
  <c r="R24" i="4"/>
  <c r="R13" i="4"/>
  <c r="R29" i="4"/>
  <c r="R18" i="4"/>
  <c r="L96" i="11"/>
  <c r="D96" i="11"/>
  <c r="J96" i="11"/>
  <c r="H96" i="11"/>
  <c r="F96" i="11"/>
  <c r="L95" i="11"/>
  <c r="H95" i="11"/>
  <c r="F95" i="11"/>
  <c r="J95" i="11"/>
  <c r="D95" i="11"/>
  <c r="L94" i="11"/>
  <c r="D92" i="11"/>
  <c r="H94" i="11"/>
  <c r="J94" i="11"/>
  <c r="D94" i="11"/>
  <c r="F94" i="11"/>
  <c r="F90" i="11"/>
  <c r="L86" i="11"/>
  <c r="H86" i="11"/>
  <c r="J86" i="11"/>
  <c r="D86" i="11"/>
  <c r="F86" i="11"/>
  <c r="J82" i="11"/>
  <c r="F82" i="11"/>
  <c r="H82" i="11"/>
  <c r="D82" i="11"/>
  <c r="L82" i="11"/>
  <c r="F91" i="11"/>
  <c r="F89" i="11"/>
  <c r="R10" i="4"/>
  <c r="R25" i="4"/>
  <c r="R21" i="4"/>
  <c r="R17" i="4"/>
  <c r="R33" i="4"/>
  <c r="R16" i="4"/>
  <c r="R32" i="4"/>
  <c r="R12" i="4"/>
  <c r="R28" i="4"/>
  <c r="R11" i="4"/>
  <c r="R15" i="4"/>
  <c r="R19" i="4"/>
  <c r="R23" i="4"/>
  <c r="R27" i="4"/>
  <c r="R31" i="4"/>
  <c r="R34" i="4"/>
  <c r="Q521" i="5"/>
  <c r="S521" i="5" s="1"/>
  <c r="Q520" i="5"/>
  <c r="S520" i="5" s="1"/>
  <c r="Q519" i="5"/>
  <c r="S519" i="5" s="1"/>
  <c r="Q518" i="5"/>
  <c r="S518" i="5" s="1"/>
  <c r="Q517" i="5"/>
  <c r="Q516" i="5"/>
  <c r="S516" i="5" s="1"/>
  <c r="Q515" i="5"/>
  <c r="S515" i="5" s="1"/>
  <c r="Q514" i="5"/>
  <c r="Q513" i="5"/>
  <c r="Q512" i="5"/>
  <c r="S512" i="5" s="1"/>
  <c r="Q511" i="5"/>
  <c r="S511" i="5" s="1"/>
  <c r="Q510" i="5"/>
  <c r="Q508" i="5"/>
  <c r="Q507" i="5"/>
  <c r="S507" i="5" s="1"/>
  <c r="Q506" i="5"/>
  <c r="S506" i="5" s="1"/>
  <c r="Q505" i="5"/>
  <c r="Q504" i="5"/>
  <c r="Q503" i="5"/>
  <c r="S503" i="5" s="1"/>
  <c r="Q502" i="5"/>
  <c r="S502" i="5" s="1"/>
  <c r="Q501" i="5"/>
  <c r="Q500" i="5"/>
  <c r="Q499" i="5"/>
  <c r="S499" i="5" s="1"/>
  <c r="Q498" i="5"/>
  <c r="S498" i="5" s="1"/>
  <c r="Q495" i="5"/>
  <c r="Q494" i="5"/>
  <c r="Q493" i="5"/>
  <c r="S493" i="5" s="1"/>
  <c r="Q492" i="5"/>
  <c r="S492" i="5" s="1"/>
  <c r="Q491" i="5"/>
  <c r="Q490" i="5"/>
  <c r="Q489" i="5"/>
  <c r="S489" i="5" s="1"/>
  <c r="Q488" i="5"/>
  <c r="S488" i="5" s="1"/>
  <c r="Q487" i="5"/>
  <c r="Q486" i="5"/>
  <c r="Q485" i="5"/>
  <c r="S485" i="5" s="1"/>
  <c r="Q484" i="5"/>
  <c r="S484" i="5" s="1"/>
  <c r="Q483" i="5"/>
  <c r="Q482" i="5"/>
  <c r="Q481" i="5"/>
  <c r="S481" i="5" s="1"/>
  <c r="Q480" i="5"/>
  <c r="S480" i="5" s="1"/>
  <c r="Q479" i="5"/>
  <c r="Q478" i="5"/>
  <c r="Q477" i="5"/>
  <c r="S477" i="5" s="1"/>
  <c r="Q476" i="5"/>
  <c r="S476" i="5" s="1"/>
  <c r="Q475" i="5"/>
  <c r="Q474" i="5"/>
  <c r="Q473" i="5"/>
  <c r="S473" i="5" s="1"/>
  <c r="Q472" i="5"/>
  <c r="S472" i="5" s="1"/>
  <c r="Q471" i="5"/>
  <c r="Q470" i="5"/>
  <c r="Q469" i="5"/>
  <c r="S469" i="5" s="1"/>
  <c r="Q468" i="5"/>
  <c r="S468" i="5" s="1"/>
  <c r="Q467" i="5"/>
  <c r="Q466" i="5"/>
  <c r="Q465" i="5"/>
  <c r="S465" i="5" s="1"/>
  <c r="Q464" i="5"/>
  <c r="S464" i="5" s="1"/>
  <c r="Q463" i="5"/>
  <c r="Q462" i="5"/>
  <c r="Q461" i="5"/>
  <c r="S461" i="5" s="1"/>
  <c r="Q460" i="5"/>
  <c r="S460" i="5" s="1"/>
  <c r="Q459" i="5"/>
  <c r="Q458" i="5"/>
  <c r="Q457" i="5"/>
  <c r="S457" i="5" s="1"/>
  <c r="Q456" i="5"/>
  <c r="S456" i="5" s="1"/>
  <c r="Q455" i="5"/>
  <c r="Q454" i="5"/>
  <c r="Q453" i="5"/>
  <c r="S453" i="5" s="1"/>
  <c r="Q452" i="5"/>
  <c r="S452" i="5" s="1"/>
  <c r="Q451" i="5"/>
  <c r="Q450" i="5"/>
  <c r="Q449" i="5"/>
  <c r="S449" i="5" s="1"/>
  <c r="Q448" i="5"/>
  <c r="S448" i="5" s="1"/>
  <c r="Q447" i="5"/>
  <c r="Q446" i="5"/>
  <c r="Q445" i="5"/>
  <c r="S445" i="5" s="1"/>
  <c r="Q444" i="5"/>
  <c r="S444" i="5" s="1"/>
  <c r="Q443" i="5"/>
  <c r="Q442" i="5"/>
  <c r="S441" i="5"/>
  <c r="Q440" i="5"/>
  <c r="S440" i="5" s="1"/>
  <c r="Q434" i="5"/>
  <c r="Q433" i="5"/>
  <c r="S433" i="5" s="1"/>
  <c r="Q432" i="5"/>
  <c r="S432" i="5" s="1"/>
  <c r="Q431" i="5"/>
  <c r="S431" i="5" s="1"/>
  <c r="Q430" i="5"/>
  <c r="Q429" i="5"/>
  <c r="S429" i="5" s="1"/>
  <c r="Q428" i="5"/>
  <c r="S428" i="5" s="1"/>
  <c r="Q427" i="5"/>
  <c r="S427" i="5" s="1"/>
  <c r="Q426" i="5"/>
  <c r="Q425" i="5"/>
  <c r="S425" i="5" s="1"/>
  <c r="Q424" i="5"/>
  <c r="S424" i="5" s="1"/>
  <c r="Q423" i="5"/>
  <c r="S423" i="5" s="1"/>
  <c r="Q422" i="5"/>
  <c r="Q421" i="5"/>
  <c r="Q420" i="5"/>
  <c r="S420" i="5" s="1"/>
  <c r="Q419" i="5"/>
  <c r="S419" i="5" s="1"/>
  <c r="Q418" i="5"/>
  <c r="Q417" i="5"/>
  <c r="S417" i="5" s="1"/>
  <c r="Q416" i="5"/>
  <c r="S416" i="5" s="1"/>
  <c r="Q415" i="5"/>
  <c r="S415" i="5" s="1"/>
  <c r="Q414" i="5"/>
  <c r="Q413" i="5"/>
  <c r="S413" i="5" s="1"/>
  <c r="Q412" i="5"/>
  <c r="S412" i="5" s="1"/>
  <c r="Q411" i="5"/>
  <c r="S411" i="5" s="1"/>
  <c r="Q410" i="5"/>
  <c r="Q409" i="5"/>
  <c r="S409" i="5" s="1"/>
  <c r="Q408" i="5"/>
  <c r="S408" i="5" s="1"/>
  <c r="Q407" i="5"/>
  <c r="S407" i="5" s="1"/>
  <c r="Q406" i="5"/>
  <c r="Q405" i="5"/>
  <c r="Q404" i="5"/>
  <c r="S404" i="5" s="1"/>
  <c r="Q403" i="5"/>
  <c r="S403" i="5" s="1"/>
  <c r="Q402" i="5"/>
  <c r="Q401" i="5"/>
  <c r="S401" i="5" s="1"/>
  <c r="Q400" i="5"/>
  <c r="S400" i="5" s="1"/>
  <c r="Q399" i="5"/>
  <c r="S399" i="5" s="1"/>
  <c r="Q398" i="5"/>
  <c r="Q397" i="5"/>
  <c r="S397" i="5" s="1"/>
  <c r="Q396" i="5"/>
  <c r="S396" i="5" s="1"/>
  <c r="Q395" i="5"/>
  <c r="S395" i="5" s="1"/>
  <c r="Q394" i="5"/>
  <c r="Q393" i="5"/>
  <c r="S393" i="5" s="1"/>
  <c r="Q392" i="5"/>
  <c r="S392" i="5" s="1"/>
  <c r="Q391" i="5"/>
  <c r="S391" i="5" s="1"/>
  <c r="Q390" i="5"/>
  <c r="Q389" i="5"/>
  <c r="Q388" i="5"/>
  <c r="S388" i="5" s="1"/>
  <c r="Q387" i="5"/>
  <c r="S387" i="5" s="1"/>
  <c r="Q386" i="5"/>
  <c r="Q385" i="5"/>
  <c r="S385" i="5" s="1"/>
  <c r="Q384" i="5"/>
  <c r="S384" i="5" s="1"/>
  <c r="Q383" i="5"/>
  <c r="S383" i="5" s="1"/>
  <c r="Q382" i="5"/>
  <c r="Q381" i="5"/>
  <c r="S381" i="5" s="1"/>
  <c r="Q380" i="5"/>
  <c r="S380" i="5" s="1"/>
  <c r="Q379" i="5"/>
  <c r="S379" i="5" s="1"/>
  <c r="Q378" i="5"/>
  <c r="Q377" i="5"/>
  <c r="S377" i="5" s="1"/>
  <c r="Q376" i="5"/>
  <c r="S376" i="5" s="1"/>
  <c r="Q375" i="5"/>
  <c r="S375" i="5" s="1"/>
  <c r="Q374" i="5"/>
  <c r="Q373" i="5"/>
  <c r="S373" i="5" s="1"/>
  <c r="Q372" i="5"/>
  <c r="Q371" i="5"/>
  <c r="S371" i="5" s="1"/>
  <c r="Q370" i="5"/>
  <c r="Q369" i="5"/>
  <c r="S369" i="5" s="1"/>
  <c r="Q368" i="5"/>
  <c r="S368" i="5" s="1"/>
  <c r="Q367" i="5"/>
  <c r="S367" i="5" s="1"/>
  <c r="Q366" i="5"/>
  <c r="Q365" i="5"/>
  <c r="S365" i="5" s="1"/>
  <c r="Q364" i="5"/>
  <c r="Q363" i="5"/>
  <c r="S363" i="5" s="1"/>
  <c r="Q362" i="5"/>
  <c r="Q361" i="5"/>
  <c r="S361" i="5" s="1"/>
  <c r="Q360" i="5"/>
  <c r="S360" i="5" s="1"/>
  <c r="Q359" i="5"/>
  <c r="S359" i="5" s="1"/>
  <c r="Q358" i="5"/>
  <c r="Q357" i="5"/>
  <c r="S357" i="5" s="1"/>
  <c r="Q356" i="5"/>
  <c r="Q355" i="5"/>
  <c r="S355" i="5" s="1"/>
  <c r="Q354" i="5"/>
  <c r="Q353" i="5"/>
  <c r="S353" i="5" s="1"/>
  <c r="Q352" i="5"/>
  <c r="S352" i="5" s="1"/>
  <c r="Q351" i="5"/>
  <c r="S351" i="5" s="1"/>
  <c r="Q350" i="5"/>
  <c r="Q349" i="5"/>
  <c r="S349" i="5" s="1"/>
  <c r="Q348" i="5"/>
  <c r="Q347" i="5"/>
  <c r="S347" i="5" s="1"/>
  <c r="Q346" i="5"/>
  <c r="S346" i="5" s="1"/>
  <c r="Q345" i="5"/>
  <c r="S345" i="5" s="1"/>
  <c r="Q344" i="5"/>
  <c r="S344" i="5" s="1"/>
  <c r="Q343" i="5"/>
  <c r="Q342" i="5"/>
  <c r="S342" i="5" s="1"/>
  <c r="Q341" i="5"/>
  <c r="S341" i="5" s="1"/>
  <c r="Q340" i="5"/>
  <c r="Q339" i="5"/>
  <c r="S339" i="5" s="1"/>
  <c r="Q338" i="5"/>
  <c r="S338" i="5" s="1"/>
  <c r="Q337" i="5"/>
  <c r="S337" i="5" s="1"/>
  <c r="Q336" i="5"/>
  <c r="Q335" i="5"/>
  <c r="Q334" i="5"/>
  <c r="S334" i="5" s="1"/>
  <c r="Q333" i="5"/>
  <c r="S333" i="5" s="1"/>
  <c r="Q332" i="5"/>
  <c r="Q331" i="5"/>
  <c r="S331" i="5" s="1"/>
  <c r="Q330" i="5"/>
  <c r="S330" i="5" s="1"/>
  <c r="Q329" i="5"/>
  <c r="S329" i="5" s="1"/>
  <c r="Q328" i="5"/>
  <c r="Q327" i="5"/>
  <c r="Q326" i="5"/>
  <c r="S326" i="5" s="1"/>
  <c r="Q325" i="5"/>
  <c r="S325" i="5" s="1"/>
  <c r="Q324" i="5"/>
  <c r="Q323" i="5"/>
  <c r="S323" i="5" s="1"/>
  <c r="Q322" i="5"/>
  <c r="S322" i="5" s="1"/>
  <c r="Q321" i="5"/>
  <c r="S321" i="5" s="1"/>
  <c r="Q320" i="5"/>
  <c r="Q319" i="5"/>
  <c r="Q318" i="5"/>
  <c r="S318" i="5" s="1"/>
  <c r="Q317" i="5"/>
  <c r="S317" i="5" s="1"/>
  <c r="Q316" i="5"/>
  <c r="Q315" i="5"/>
  <c r="S315" i="5" s="1"/>
  <c r="Q314" i="5"/>
  <c r="S314" i="5" s="1"/>
  <c r="Q313" i="5"/>
  <c r="S313" i="5" s="1"/>
  <c r="Q312" i="5"/>
  <c r="Q311" i="5"/>
  <c r="Q310" i="5"/>
  <c r="S310" i="5" s="1"/>
  <c r="Q309" i="5"/>
  <c r="S309" i="5" s="1"/>
  <c r="Q308" i="5"/>
  <c r="Q307" i="5"/>
  <c r="S307" i="5" s="1"/>
  <c r="Q306" i="5"/>
  <c r="S306" i="5" s="1"/>
  <c r="Q305" i="5"/>
  <c r="S305" i="5" s="1"/>
  <c r="Q304" i="5"/>
  <c r="Q303" i="5"/>
  <c r="S303" i="5" s="1"/>
  <c r="Q302" i="5"/>
  <c r="S302" i="5" s="1"/>
  <c r="Q301" i="5"/>
  <c r="S301" i="5" s="1"/>
  <c r="Q300" i="5"/>
  <c r="Q299" i="5"/>
  <c r="S299" i="5" s="1"/>
  <c r="Q298" i="5"/>
  <c r="S298" i="5" s="1"/>
  <c r="Q297" i="5"/>
  <c r="S297" i="5" s="1"/>
  <c r="Q296" i="5"/>
  <c r="Q295" i="5"/>
  <c r="Q294" i="5"/>
  <c r="S294" i="5" s="1"/>
  <c r="Q293" i="5"/>
  <c r="S293" i="5" s="1"/>
  <c r="Q292" i="5"/>
  <c r="Q291" i="5"/>
  <c r="S291" i="5" s="1"/>
  <c r="Q290" i="5"/>
  <c r="S290" i="5" s="1"/>
  <c r="Q289" i="5"/>
  <c r="S289" i="5" s="1"/>
  <c r="Q288" i="5"/>
  <c r="Q287" i="5"/>
  <c r="S287" i="5" s="1"/>
  <c r="Q286" i="5"/>
  <c r="S286" i="5" s="1"/>
  <c r="Q285" i="5"/>
  <c r="S285" i="5" s="1"/>
  <c r="Q284" i="5"/>
  <c r="Q283" i="5"/>
  <c r="S283" i="5" s="1"/>
  <c r="Q282" i="5"/>
  <c r="S282" i="5" s="1"/>
  <c r="Q281" i="5"/>
  <c r="S281" i="5" s="1"/>
  <c r="Q280" i="5"/>
  <c r="Q279" i="5"/>
  <c r="Q278" i="5"/>
  <c r="S278" i="5" s="1"/>
  <c r="Q277" i="5"/>
  <c r="S277" i="5" s="1"/>
  <c r="Q276" i="5"/>
  <c r="Q275" i="5"/>
  <c r="S275" i="5" s="1"/>
  <c r="Q274" i="5"/>
  <c r="S274" i="5" s="1"/>
  <c r="Q273" i="5"/>
  <c r="S273" i="5" s="1"/>
  <c r="Q272" i="5"/>
  <c r="Q271" i="5"/>
  <c r="S271" i="5" s="1"/>
  <c r="Q270" i="5"/>
  <c r="S270" i="5" s="1"/>
  <c r="Q269" i="5"/>
  <c r="S269" i="5" s="1"/>
  <c r="Q268" i="5"/>
  <c r="S268" i="5" s="1"/>
  <c r="Q267" i="5"/>
  <c r="S267" i="5" s="1"/>
  <c r="Q265" i="5"/>
  <c r="S265" i="5" s="1"/>
  <c r="Q264" i="5"/>
  <c r="Q263" i="5"/>
  <c r="Q262" i="5"/>
  <c r="S262" i="5" s="1"/>
  <c r="Q261" i="5"/>
  <c r="S261" i="5" s="1"/>
  <c r="Q260" i="5"/>
  <c r="Q259" i="5"/>
  <c r="S259" i="5" s="1"/>
  <c r="Q258" i="5"/>
  <c r="S258" i="5" s="1"/>
  <c r="Q257" i="5"/>
  <c r="S257" i="5" s="1"/>
  <c r="R256" i="5"/>
  <c r="Q255" i="5"/>
  <c r="S255" i="5" s="1"/>
  <c r="Q254" i="5"/>
  <c r="S254" i="5" s="1"/>
  <c r="Q253" i="5"/>
  <c r="S253" i="5" s="1"/>
  <c r="Q252" i="5"/>
  <c r="S252" i="5" s="1"/>
  <c r="Q251" i="5"/>
  <c r="S251" i="5" s="1"/>
  <c r="Q250" i="5"/>
  <c r="S250" i="5" s="1"/>
  <c r="Q249" i="5"/>
  <c r="S249" i="5" s="1"/>
  <c r="Q248" i="5"/>
  <c r="Q247" i="5"/>
  <c r="Q246" i="5"/>
  <c r="S246" i="5" s="1"/>
  <c r="Q245" i="5"/>
  <c r="S245" i="5" s="1"/>
  <c r="Q244" i="5"/>
  <c r="S244" i="5" s="1"/>
  <c r="Q243" i="5"/>
  <c r="S243" i="5" s="1"/>
  <c r="Q242" i="5"/>
  <c r="S242" i="5" s="1"/>
  <c r="Q241" i="5"/>
  <c r="Q240" i="5"/>
  <c r="S240" i="5" s="1"/>
  <c r="Q239" i="5"/>
  <c r="S239" i="5" s="1"/>
  <c r="Q238" i="5"/>
  <c r="S238" i="5" s="1"/>
  <c r="Q237" i="5"/>
  <c r="Q235" i="5"/>
  <c r="Q234" i="5"/>
  <c r="S234" i="5" s="1"/>
  <c r="Q233" i="5"/>
  <c r="S233" i="5" s="1"/>
  <c r="Q232" i="5"/>
  <c r="Q231" i="5"/>
  <c r="S231" i="5" s="1"/>
  <c r="Q230" i="5"/>
  <c r="Q229" i="5"/>
  <c r="S229" i="5" s="1"/>
  <c r="Q228" i="5"/>
  <c r="Q227" i="5"/>
  <c r="S227" i="5" s="1"/>
  <c r="Q226" i="5"/>
  <c r="S226" i="5" s="1"/>
  <c r="Q225" i="5"/>
  <c r="S225" i="5" s="1"/>
  <c r="Q224" i="5"/>
  <c r="Q223" i="5"/>
  <c r="S223" i="5" s="1"/>
  <c r="Q222" i="5"/>
  <c r="Q221" i="5"/>
  <c r="S221" i="5" s="1"/>
  <c r="Q220" i="5"/>
  <c r="Q219" i="5"/>
  <c r="S219" i="5" s="1"/>
  <c r="Q218" i="5"/>
  <c r="S218" i="5" s="1"/>
  <c r="Q217" i="5"/>
  <c r="S217" i="5" s="1"/>
  <c r="Q216" i="5"/>
  <c r="Q215" i="5"/>
  <c r="Q214" i="5"/>
  <c r="S214" i="5" s="1"/>
  <c r="Q213" i="5"/>
  <c r="S213" i="5" s="1"/>
  <c r="Q212" i="5"/>
  <c r="Q211" i="5"/>
  <c r="S211" i="5" s="1"/>
  <c r="Q210" i="5"/>
  <c r="S210" i="5" s="1"/>
  <c r="Q209" i="5"/>
  <c r="S209" i="5" s="1"/>
  <c r="Q208" i="5"/>
  <c r="Q207" i="5"/>
  <c r="S207" i="5" s="1"/>
  <c r="Q206" i="5"/>
  <c r="Q205" i="5"/>
  <c r="S205" i="5" s="1"/>
  <c r="Q204" i="5"/>
  <c r="Q203" i="5"/>
  <c r="Q202" i="5"/>
  <c r="S202" i="5" s="1"/>
  <c r="Q201" i="5"/>
  <c r="S201" i="5" s="1"/>
  <c r="Q200" i="5"/>
  <c r="Q199" i="5"/>
  <c r="S199" i="5" s="1"/>
  <c r="Q198" i="5"/>
  <c r="Q197" i="5"/>
  <c r="S197" i="5" s="1"/>
  <c r="Q196" i="5"/>
  <c r="S196" i="5" s="1"/>
  <c r="Q195" i="5"/>
  <c r="S195" i="5" s="1"/>
  <c r="Q194" i="5"/>
  <c r="S194" i="5" s="1"/>
  <c r="Q193" i="5"/>
  <c r="Q192" i="5"/>
  <c r="S192" i="5" s="1"/>
  <c r="Q191" i="5"/>
  <c r="S191" i="5" s="1"/>
  <c r="Q190" i="5"/>
  <c r="Q189" i="5"/>
  <c r="S189" i="5" s="1"/>
  <c r="Q188" i="5"/>
  <c r="S188" i="5" s="1"/>
  <c r="Q186" i="5"/>
  <c r="S186" i="5" s="1"/>
  <c r="Q185" i="5"/>
  <c r="Q184" i="5"/>
  <c r="S184" i="5" s="1"/>
  <c r="Q183" i="5"/>
  <c r="S183" i="5" s="1"/>
  <c r="Q182" i="5"/>
  <c r="S182" i="5" s="1"/>
  <c r="Q181" i="5"/>
  <c r="Q180" i="5"/>
  <c r="S180" i="5" s="1"/>
  <c r="Q179" i="5"/>
  <c r="S179" i="5" s="1"/>
  <c r="Q178" i="5"/>
  <c r="S178" i="5" s="1"/>
  <c r="Q177" i="5"/>
  <c r="S177" i="5" s="1"/>
  <c r="Q176" i="5"/>
  <c r="Q175" i="5"/>
  <c r="S175" i="5" s="1"/>
  <c r="Q174" i="5"/>
  <c r="S174" i="5" s="1"/>
  <c r="Q173" i="5"/>
  <c r="Q172" i="5"/>
  <c r="Q171" i="5"/>
  <c r="S171" i="5" s="1"/>
  <c r="Q11" i="5"/>
  <c r="Q154" i="5"/>
  <c r="Q153" i="5"/>
  <c r="S153" i="5" s="1"/>
  <c r="Q152" i="5"/>
  <c r="S152" i="5" s="1"/>
  <c r="Q151" i="5"/>
  <c r="Q150" i="5"/>
  <c r="S150" i="5" s="1"/>
  <c r="Q149" i="5"/>
  <c r="S149" i="5" s="1"/>
  <c r="Q148" i="5"/>
  <c r="S148" i="5" s="1"/>
  <c r="Q147" i="5"/>
  <c r="Q146" i="5"/>
  <c r="S146" i="5" s="1"/>
  <c r="Q145" i="5"/>
  <c r="S145" i="5" s="1"/>
  <c r="Q144" i="5"/>
  <c r="S144" i="5" s="1"/>
  <c r="Q143" i="5"/>
  <c r="Q142" i="5"/>
  <c r="S142" i="5" s="1"/>
  <c r="Q141" i="5"/>
  <c r="S141" i="5" s="1"/>
  <c r="Q140" i="5"/>
  <c r="S140" i="5" s="1"/>
  <c r="Q139" i="5"/>
  <c r="Q138" i="5"/>
  <c r="Q137" i="5"/>
  <c r="S137" i="5" s="1"/>
  <c r="Q136" i="5"/>
  <c r="S136" i="5" s="1"/>
  <c r="Q135" i="5"/>
  <c r="Q134" i="5"/>
  <c r="S134" i="5" s="1"/>
  <c r="Q133" i="5"/>
  <c r="S133" i="5" s="1"/>
  <c r="Q132" i="5"/>
  <c r="S132" i="5" s="1"/>
  <c r="Q131" i="5"/>
  <c r="Q130" i="5"/>
  <c r="S130" i="5" s="1"/>
  <c r="Q129" i="5"/>
  <c r="S129" i="5" s="1"/>
  <c r="Q128" i="5"/>
  <c r="S128" i="5" s="1"/>
  <c r="Q127" i="5"/>
  <c r="Q170" i="5"/>
  <c r="Q169" i="5"/>
  <c r="Q168" i="5"/>
  <c r="S168" i="5" s="1"/>
  <c r="Q167" i="5"/>
  <c r="S167" i="5" s="1"/>
  <c r="Q166" i="5"/>
  <c r="S166" i="5" s="1"/>
  <c r="Q165" i="5"/>
  <c r="S165" i="5" s="1"/>
  <c r="Q164" i="5"/>
  <c r="S164" i="5" s="1"/>
  <c r="Q163" i="5"/>
  <c r="S163" i="5" s="1"/>
  <c r="Q162" i="5"/>
  <c r="S162" i="5" s="1"/>
  <c r="Q161" i="5"/>
  <c r="S161" i="5" s="1"/>
  <c r="Q160" i="5"/>
  <c r="S160" i="5" s="1"/>
  <c r="Q159" i="5"/>
  <c r="S159" i="5" s="1"/>
  <c r="Q158" i="5"/>
  <c r="S158" i="5" s="1"/>
  <c r="Q157" i="5"/>
  <c r="S157" i="5" s="1"/>
  <c r="Q156" i="5"/>
  <c r="S156" i="5" s="1"/>
  <c r="Q155" i="5"/>
  <c r="S155" i="5" s="1"/>
  <c r="S169" i="5" l="1"/>
  <c r="R169" i="5"/>
  <c r="D11" i="11"/>
  <c r="R172" i="5"/>
  <c r="S172" i="5"/>
  <c r="R176" i="5"/>
  <c r="S176" i="5"/>
  <c r="R193" i="5"/>
  <c r="S193" i="5"/>
  <c r="R350" i="5"/>
  <c r="S350" i="5"/>
  <c r="R354" i="5"/>
  <c r="S354" i="5"/>
  <c r="R358" i="5"/>
  <c r="S358" i="5"/>
  <c r="R362" i="5"/>
  <c r="S362" i="5"/>
  <c r="R366" i="5"/>
  <c r="S366" i="5"/>
  <c r="R370" i="5"/>
  <c r="S370" i="5"/>
  <c r="R374" i="5"/>
  <c r="S374" i="5"/>
  <c r="R378" i="5"/>
  <c r="S378" i="5"/>
  <c r="R382" i="5"/>
  <c r="S382" i="5"/>
  <c r="R386" i="5"/>
  <c r="S386" i="5"/>
  <c r="R390" i="5"/>
  <c r="S390" i="5"/>
  <c r="R394" i="5"/>
  <c r="S394" i="5"/>
  <c r="R398" i="5"/>
  <c r="S398" i="5"/>
  <c r="R402" i="5"/>
  <c r="S402" i="5"/>
  <c r="R406" i="5"/>
  <c r="S406" i="5"/>
  <c r="R410" i="5"/>
  <c r="S410" i="5"/>
  <c r="R414" i="5"/>
  <c r="S414" i="5"/>
  <c r="R418" i="5"/>
  <c r="S418" i="5"/>
  <c r="R422" i="5"/>
  <c r="S422" i="5"/>
  <c r="R426" i="5"/>
  <c r="S426" i="5"/>
  <c r="R430" i="5"/>
  <c r="S430" i="5"/>
  <c r="R434" i="5"/>
  <c r="S434" i="5"/>
  <c r="R443" i="5"/>
  <c r="S443" i="5"/>
  <c r="R447" i="5"/>
  <c r="S447" i="5"/>
  <c r="R451" i="5"/>
  <c r="S451" i="5"/>
  <c r="R455" i="5"/>
  <c r="S455" i="5"/>
  <c r="R459" i="5"/>
  <c r="S459" i="5"/>
  <c r="R463" i="5"/>
  <c r="S463" i="5"/>
  <c r="R467" i="5"/>
  <c r="S467" i="5"/>
  <c r="R471" i="5"/>
  <c r="S471" i="5"/>
  <c r="R475" i="5"/>
  <c r="S475" i="5"/>
  <c r="R479" i="5"/>
  <c r="S479" i="5"/>
  <c r="R483" i="5"/>
  <c r="S483" i="5"/>
  <c r="R487" i="5"/>
  <c r="S487" i="5"/>
  <c r="R491" i="5"/>
  <c r="S491" i="5"/>
  <c r="R495" i="5"/>
  <c r="S495" i="5"/>
  <c r="R501" i="5"/>
  <c r="S501" i="5"/>
  <c r="R505" i="5"/>
  <c r="S505" i="5"/>
  <c r="R510" i="5"/>
  <c r="S510" i="5"/>
  <c r="R514" i="5"/>
  <c r="S514" i="5"/>
  <c r="R170" i="5"/>
  <c r="S170" i="5"/>
  <c r="R138" i="5"/>
  <c r="S138" i="5"/>
  <c r="R154" i="5"/>
  <c r="S154" i="5"/>
  <c r="R173" i="5"/>
  <c r="S173" i="5"/>
  <c r="R181" i="5"/>
  <c r="S181" i="5"/>
  <c r="R185" i="5"/>
  <c r="S185" i="5"/>
  <c r="R190" i="5"/>
  <c r="S190" i="5"/>
  <c r="R198" i="5"/>
  <c r="S198" i="5"/>
  <c r="R206" i="5"/>
  <c r="S206" i="5"/>
  <c r="R222" i="5"/>
  <c r="S222" i="5"/>
  <c r="R230" i="5"/>
  <c r="S230" i="5"/>
  <c r="R279" i="5"/>
  <c r="S279" i="5"/>
  <c r="R295" i="5"/>
  <c r="S295" i="5"/>
  <c r="R311" i="5"/>
  <c r="S311" i="5"/>
  <c r="R319" i="5"/>
  <c r="S319" i="5"/>
  <c r="R327" i="5"/>
  <c r="S327" i="5"/>
  <c r="R335" i="5"/>
  <c r="S335" i="5"/>
  <c r="R343" i="5"/>
  <c r="S343" i="5"/>
  <c r="R127" i="5"/>
  <c r="S127" i="5"/>
  <c r="R131" i="5"/>
  <c r="S131" i="5"/>
  <c r="R135" i="5"/>
  <c r="S135" i="5"/>
  <c r="R139" i="5"/>
  <c r="S139" i="5"/>
  <c r="R143" i="5"/>
  <c r="S143" i="5"/>
  <c r="R147" i="5"/>
  <c r="S147" i="5"/>
  <c r="R151" i="5"/>
  <c r="S151" i="5"/>
  <c r="R11" i="5"/>
  <c r="S11" i="5"/>
  <c r="R203" i="5"/>
  <c r="S203" i="5"/>
  <c r="R215" i="5"/>
  <c r="S215" i="5"/>
  <c r="R235" i="5"/>
  <c r="S235" i="5"/>
  <c r="R247" i="5"/>
  <c r="S247" i="5"/>
  <c r="R263" i="5"/>
  <c r="S263" i="5"/>
  <c r="R272" i="5"/>
  <c r="S272" i="5"/>
  <c r="R276" i="5"/>
  <c r="S276" i="5"/>
  <c r="R280" i="5"/>
  <c r="S280" i="5"/>
  <c r="R284" i="5"/>
  <c r="S284" i="5"/>
  <c r="R288" i="5"/>
  <c r="S288" i="5"/>
  <c r="R292" i="5"/>
  <c r="S292" i="5"/>
  <c r="R296" i="5"/>
  <c r="S296" i="5"/>
  <c r="R300" i="5"/>
  <c r="S300" i="5"/>
  <c r="R304" i="5"/>
  <c r="S304" i="5"/>
  <c r="R308" i="5"/>
  <c r="S308" i="5"/>
  <c r="R312" i="5"/>
  <c r="S312" i="5"/>
  <c r="R316" i="5"/>
  <c r="S316" i="5"/>
  <c r="R320" i="5"/>
  <c r="S320" i="5"/>
  <c r="R324" i="5"/>
  <c r="S324" i="5"/>
  <c r="R328" i="5"/>
  <c r="S328" i="5"/>
  <c r="R332" i="5"/>
  <c r="S332" i="5"/>
  <c r="R336" i="5"/>
  <c r="S336" i="5"/>
  <c r="R340" i="5"/>
  <c r="S340" i="5"/>
  <c r="R348" i="5"/>
  <c r="S348" i="5"/>
  <c r="R356" i="5"/>
  <c r="S356" i="5"/>
  <c r="R364" i="5"/>
  <c r="S364" i="5"/>
  <c r="R372" i="5"/>
  <c r="S372" i="5"/>
  <c r="R200" i="5"/>
  <c r="S200" i="5"/>
  <c r="R204" i="5"/>
  <c r="S204" i="5"/>
  <c r="R208" i="5"/>
  <c r="S208" i="5"/>
  <c r="R212" i="5"/>
  <c r="S212" i="5"/>
  <c r="R216" i="5"/>
  <c r="S216" i="5"/>
  <c r="R220" i="5"/>
  <c r="S220" i="5"/>
  <c r="R224" i="5"/>
  <c r="S224" i="5"/>
  <c r="R228" i="5"/>
  <c r="S228" i="5"/>
  <c r="R232" i="5"/>
  <c r="S232" i="5"/>
  <c r="R237" i="5"/>
  <c r="S237" i="5"/>
  <c r="R241" i="5"/>
  <c r="S241" i="5"/>
  <c r="R248" i="5"/>
  <c r="S248" i="5"/>
  <c r="R260" i="5"/>
  <c r="S260" i="5"/>
  <c r="R264" i="5"/>
  <c r="S264" i="5"/>
  <c r="R389" i="5"/>
  <c r="S389" i="5"/>
  <c r="R405" i="5"/>
  <c r="S405" i="5"/>
  <c r="R421" i="5"/>
  <c r="S421" i="5"/>
  <c r="R442" i="5"/>
  <c r="S442" i="5"/>
  <c r="R446" i="5"/>
  <c r="S446" i="5"/>
  <c r="R450" i="5"/>
  <c r="S450" i="5"/>
  <c r="R454" i="5"/>
  <c r="S454" i="5"/>
  <c r="R458" i="5"/>
  <c r="S458" i="5"/>
  <c r="R462" i="5"/>
  <c r="S462" i="5"/>
  <c r="R466" i="5"/>
  <c r="S466" i="5"/>
  <c r="R470" i="5"/>
  <c r="S470" i="5"/>
  <c r="R474" i="5"/>
  <c r="S474" i="5"/>
  <c r="R478" i="5"/>
  <c r="S478" i="5"/>
  <c r="R482" i="5"/>
  <c r="S482" i="5"/>
  <c r="R486" i="5"/>
  <c r="S486" i="5"/>
  <c r="R490" i="5"/>
  <c r="S490" i="5"/>
  <c r="R494" i="5"/>
  <c r="S494" i="5"/>
  <c r="R500" i="5"/>
  <c r="S500" i="5"/>
  <c r="R504" i="5"/>
  <c r="S504" i="5"/>
  <c r="R508" i="5"/>
  <c r="S508" i="5"/>
  <c r="R513" i="5"/>
  <c r="S513" i="5"/>
  <c r="R517" i="5"/>
  <c r="S517" i="5"/>
  <c r="L80" i="11"/>
  <c r="D80" i="11"/>
  <c r="F80" i="11"/>
  <c r="H80" i="11"/>
  <c r="J80" i="11"/>
  <c r="J79" i="11"/>
  <c r="H79" i="11"/>
  <c r="L79" i="11"/>
  <c r="F79" i="11"/>
  <c r="D79" i="11"/>
  <c r="L11" i="11"/>
  <c r="J11" i="11"/>
  <c r="H11" i="11"/>
  <c r="F11" i="11"/>
  <c r="R244" i="5"/>
  <c r="R150" i="5"/>
  <c r="R184" i="5"/>
  <c r="R307" i="5"/>
  <c r="R275" i="5"/>
  <c r="R223" i="5"/>
  <c r="R291" i="5"/>
  <c r="R323" i="5"/>
  <c r="R339" i="5"/>
  <c r="R259" i="5"/>
  <c r="R315" i="5"/>
  <c r="R331" i="5"/>
  <c r="R130" i="5"/>
  <c r="R352" i="5"/>
  <c r="R368" i="5"/>
  <c r="R520" i="5"/>
  <c r="R133" i="5"/>
  <c r="R142" i="5"/>
  <c r="R189" i="5"/>
  <c r="R211" i="5"/>
  <c r="R385" i="5"/>
  <c r="R401" i="5"/>
  <c r="R417" i="5"/>
  <c r="R433" i="5"/>
  <c r="R345" i="5"/>
  <c r="R360" i="5"/>
  <c r="R376" i="5"/>
  <c r="R177" i="5"/>
  <c r="R240" i="5"/>
  <c r="R255" i="5"/>
  <c r="R271" i="5"/>
  <c r="R197" i="5"/>
  <c r="R219" i="5"/>
  <c r="R252" i="5"/>
  <c r="R268" i="5"/>
  <c r="R128" i="5"/>
  <c r="R134" i="5"/>
  <c r="R146" i="5"/>
  <c r="R194" i="5"/>
  <c r="R207" i="5"/>
  <c r="R180" i="5"/>
  <c r="R214" i="5"/>
  <c r="R231" i="5"/>
  <c r="R287" i="5"/>
  <c r="R303" i="5"/>
  <c r="R381" i="5"/>
  <c r="R397" i="5"/>
  <c r="R413" i="5"/>
  <c r="R429" i="5"/>
  <c r="R445" i="5"/>
  <c r="R449" i="5"/>
  <c r="R453" i="5"/>
  <c r="R457" i="5"/>
  <c r="R461" i="5"/>
  <c r="R465" i="5"/>
  <c r="R469" i="5"/>
  <c r="R473" i="5"/>
  <c r="R477" i="5"/>
  <c r="R481" i="5"/>
  <c r="R485" i="5"/>
  <c r="R489" i="5"/>
  <c r="R493" i="5"/>
  <c r="R499" i="5"/>
  <c r="R503" i="5"/>
  <c r="R507" i="5"/>
  <c r="R512" i="5"/>
  <c r="R516" i="5"/>
  <c r="R227" i="5"/>
  <c r="R251" i="5"/>
  <c r="R267" i="5"/>
  <c r="R283" i="5"/>
  <c r="R299" i="5"/>
  <c r="R310" i="5"/>
  <c r="R314" i="5"/>
  <c r="R318" i="5"/>
  <c r="R322" i="5"/>
  <c r="R326" i="5"/>
  <c r="R330" i="5"/>
  <c r="R334" i="5"/>
  <c r="R338" i="5"/>
  <c r="R342" i="5"/>
  <c r="R346" i="5"/>
  <c r="R347" i="5"/>
  <c r="R349" i="5"/>
  <c r="R353" i="5"/>
  <c r="R355" i="5"/>
  <c r="R357" i="5"/>
  <c r="R361" i="5"/>
  <c r="R363" i="5"/>
  <c r="R365" i="5"/>
  <c r="R369" i="5"/>
  <c r="R371" i="5"/>
  <c r="R373" i="5"/>
  <c r="R377" i="5"/>
  <c r="R393" i="5"/>
  <c r="R409" i="5"/>
  <c r="R425" i="5"/>
  <c r="R521" i="5"/>
  <c r="R182" i="5"/>
  <c r="R195" i="5"/>
  <c r="R245" i="5"/>
  <c r="R250" i="5"/>
  <c r="R309" i="5"/>
  <c r="R321" i="5"/>
  <c r="R333" i="5"/>
  <c r="R392" i="5"/>
  <c r="R141" i="5"/>
  <c r="R210" i="5"/>
  <c r="R226" i="5"/>
  <c r="R246" i="5"/>
  <c r="R257" i="5"/>
  <c r="R289" i="5"/>
  <c r="R305" i="5"/>
  <c r="R174" i="5"/>
  <c r="R178" i="5"/>
  <c r="R191" i="5"/>
  <c r="R277" i="5"/>
  <c r="R293" i="5"/>
  <c r="R313" i="5"/>
  <c r="R325" i="5"/>
  <c r="R337" i="5"/>
  <c r="R408" i="5"/>
  <c r="R424" i="5"/>
  <c r="R137" i="5"/>
  <c r="R145" i="5"/>
  <c r="R202" i="5"/>
  <c r="R234" i="5"/>
  <c r="R242" i="5"/>
  <c r="R171" i="5"/>
  <c r="R175" i="5"/>
  <c r="R179" i="5"/>
  <c r="R183" i="5"/>
  <c r="R188" i="5"/>
  <c r="R192" i="5"/>
  <c r="R196" i="5"/>
  <c r="R238" i="5"/>
  <c r="R243" i="5"/>
  <c r="R253" i="5"/>
  <c r="R258" i="5"/>
  <c r="R269" i="5"/>
  <c r="R285" i="5"/>
  <c r="R301" i="5"/>
  <c r="R186" i="5"/>
  <c r="R199" i="5"/>
  <c r="R261" i="5"/>
  <c r="R317" i="5"/>
  <c r="R329" i="5"/>
  <c r="R341" i="5"/>
  <c r="R149" i="5"/>
  <c r="R153" i="5"/>
  <c r="R218" i="5"/>
  <c r="R273" i="5"/>
  <c r="R129" i="5"/>
  <c r="R132" i="5"/>
  <c r="R136" i="5"/>
  <c r="R140" i="5"/>
  <c r="R144" i="5"/>
  <c r="R148" i="5"/>
  <c r="R152" i="5"/>
  <c r="R205" i="5"/>
  <c r="R213" i="5"/>
  <c r="R221" i="5"/>
  <c r="R229" i="5"/>
  <c r="R239" i="5"/>
  <c r="R249" i="5"/>
  <c r="R254" i="5"/>
  <c r="R265" i="5"/>
  <c r="R281" i="5"/>
  <c r="R297" i="5"/>
  <c r="R388" i="5"/>
  <c r="R404" i="5"/>
  <c r="R420" i="5"/>
  <c r="R441" i="5"/>
  <c r="R262" i="5"/>
  <c r="R266" i="5"/>
  <c r="R270" i="5"/>
  <c r="R274" i="5"/>
  <c r="R278" i="5"/>
  <c r="R282" i="5"/>
  <c r="R286" i="5"/>
  <c r="R290" i="5"/>
  <c r="R294" i="5"/>
  <c r="R298" i="5"/>
  <c r="R302" i="5"/>
  <c r="R306" i="5"/>
  <c r="R384" i="5"/>
  <c r="R400" i="5"/>
  <c r="R416" i="5"/>
  <c r="R432" i="5"/>
  <c r="R201" i="5"/>
  <c r="R209" i="5"/>
  <c r="R217" i="5"/>
  <c r="R225" i="5"/>
  <c r="R233" i="5"/>
  <c r="R380" i="5"/>
  <c r="R396" i="5"/>
  <c r="R412" i="5"/>
  <c r="R428" i="5"/>
  <c r="R344" i="5"/>
  <c r="R351" i="5"/>
  <c r="R359" i="5"/>
  <c r="R367" i="5"/>
  <c r="R375" i="5"/>
  <c r="R519" i="5"/>
  <c r="R379" i="5"/>
  <c r="R383" i="5"/>
  <c r="R387" i="5"/>
  <c r="R391" i="5"/>
  <c r="R395" i="5"/>
  <c r="R399" i="5"/>
  <c r="R403" i="5"/>
  <c r="R407" i="5"/>
  <c r="R411" i="5"/>
  <c r="R415" i="5"/>
  <c r="R419" i="5"/>
  <c r="R423" i="5"/>
  <c r="R427" i="5"/>
  <c r="R431" i="5"/>
  <c r="R440" i="5"/>
  <c r="R444" i="5"/>
  <c r="R448" i="5"/>
  <c r="R452" i="5"/>
  <c r="R456" i="5"/>
  <c r="R460" i="5"/>
  <c r="R464" i="5"/>
  <c r="R468" i="5"/>
  <c r="R472" i="5"/>
  <c r="R476" i="5"/>
  <c r="R480" i="5"/>
  <c r="R484" i="5"/>
  <c r="R488" i="5"/>
  <c r="R492" i="5"/>
  <c r="R498" i="5"/>
  <c r="R502" i="5"/>
  <c r="R506" i="5"/>
  <c r="R511" i="5"/>
  <c r="R515" i="5"/>
  <c r="R518" i="5"/>
  <c r="F120" i="11" l="1"/>
  <c r="F113" i="11"/>
  <c r="J110" i="11"/>
  <c r="L124" i="11"/>
  <c r="D124" i="11"/>
  <c r="J124" i="11"/>
  <c r="H124" i="11"/>
  <c r="F124" i="11"/>
  <c r="H122" i="11"/>
  <c r="L120" i="11"/>
  <c r="F122" i="11"/>
  <c r="J122" i="11"/>
  <c r="D122" i="11"/>
  <c r="L122" i="11"/>
  <c r="H120" i="11"/>
  <c r="J120" i="11"/>
  <c r="D120" i="11"/>
  <c r="L119" i="11"/>
  <c r="D119" i="11"/>
  <c r="J119" i="11"/>
  <c r="H119" i="11"/>
  <c r="F119" i="11"/>
  <c r="D114" i="11"/>
  <c r="L114" i="11"/>
  <c r="F114" i="11"/>
  <c r="H114" i="11"/>
  <c r="J114" i="11"/>
  <c r="D113" i="11"/>
  <c r="L113" i="11"/>
  <c r="H113" i="11"/>
  <c r="J113" i="11"/>
  <c r="H109" i="11"/>
  <c r="L109" i="11"/>
  <c r="J109" i="11"/>
  <c r="D109" i="11"/>
  <c r="F109" i="11"/>
  <c r="L103" i="11"/>
  <c r="D103" i="11"/>
  <c r="J103" i="11"/>
  <c r="H103" i="11"/>
  <c r="F103" i="11"/>
  <c r="N203" i="11" l="1"/>
  <c r="Q31" i="8"/>
  <c r="S31" i="8" s="1"/>
  <c r="Q30" i="8"/>
  <c r="Q29" i="8"/>
  <c r="Q28" i="8"/>
  <c r="S28" i="8" s="1"/>
  <c r="Q27" i="8"/>
  <c r="S27" i="8" s="1"/>
  <c r="Q26" i="8"/>
  <c r="Q25" i="8"/>
  <c r="S25" i="8" s="1"/>
  <c r="R29" i="8" l="1"/>
  <c r="S29" i="8"/>
  <c r="R26" i="8"/>
  <c r="S26" i="8"/>
  <c r="R30" i="8"/>
  <c r="S30" i="8"/>
  <c r="R25" i="8"/>
  <c r="R28" i="8"/>
  <c r="R31" i="8"/>
  <c r="R27" i="8"/>
  <c r="Q81" i="7" l="1"/>
  <c r="S81" i="7" s="1"/>
  <c r="Q80" i="7"/>
  <c r="Q79" i="7"/>
  <c r="S79" i="7" s="1"/>
  <c r="Q78" i="7"/>
  <c r="Q77" i="7"/>
  <c r="S77" i="7" s="1"/>
  <c r="Q76" i="7"/>
  <c r="Q75" i="7"/>
  <c r="S75" i="7" s="1"/>
  <c r="Q74" i="7"/>
  <c r="S74" i="7" s="1"/>
  <c r="Q73" i="7"/>
  <c r="S73" i="7" s="1"/>
  <c r="Q72" i="7"/>
  <c r="Q71" i="7"/>
  <c r="S71" i="7" s="1"/>
  <c r="Q70" i="7"/>
  <c r="S70" i="7" s="1"/>
  <c r="Q69" i="7"/>
  <c r="S69" i="7" s="1"/>
  <c r="Q68" i="7"/>
  <c r="Q67" i="7"/>
  <c r="Q66" i="7"/>
  <c r="S66" i="7" s="1"/>
  <c r="Q65" i="7"/>
  <c r="S65" i="7" s="1"/>
  <c r="Q64" i="7"/>
  <c r="Q63" i="7"/>
  <c r="Q62" i="7"/>
  <c r="S62" i="7" s="1"/>
  <c r="Q61" i="7"/>
  <c r="S61" i="7" s="1"/>
  <c r="R63" i="7" l="1"/>
  <c r="S63" i="7"/>
  <c r="R67" i="7"/>
  <c r="S67" i="7"/>
  <c r="R64" i="7"/>
  <c r="S64" i="7"/>
  <c r="R68" i="7"/>
  <c r="S68" i="7"/>
  <c r="R72" i="7"/>
  <c r="S72" i="7"/>
  <c r="R76" i="7"/>
  <c r="S76" i="7"/>
  <c r="R80" i="7"/>
  <c r="S80" i="7"/>
  <c r="R78" i="7"/>
  <c r="S78" i="7"/>
  <c r="R75" i="7"/>
  <c r="R71" i="7"/>
  <c r="R70" i="7"/>
  <c r="R79" i="7"/>
  <c r="R74" i="7"/>
  <c r="R81" i="7"/>
  <c r="R77" i="7"/>
  <c r="R62" i="7"/>
  <c r="R66" i="7"/>
  <c r="R65" i="7"/>
  <c r="R61" i="7"/>
  <c r="R69" i="7"/>
  <c r="R73" i="7"/>
  <c r="H148" i="11" l="1"/>
  <c r="L148" i="11"/>
  <c r="J148" i="11"/>
  <c r="D148" i="11"/>
  <c r="F148" i="11"/>
  <c r="Q60" i="7"/>
  <c r="S60" i="7" s="1"/>
  <c r="Q59" i="7"/>
  <c r="Q58" i="7"/>
  <c r="S58" i="7" s="1"/>
  <c r="Q57" i="7"/>
  <c r="Q56" i="7"/>
  <c r="Q55" i="7"/>
  <c r="Q54" i="7"/>
  <c r="S54" i="7" s="1"/>
  <c r="Q53" i="7"/>
  <c r="Q52" i="7"/>
  <c r="Q51" i="7"/>
  <c r="Q50" i="7"/>
  <c r="S50" i="7" s="1"/>
  <c r="R51" i="7" l="1"/>
  <c r="S51" i="7"/>
  <c r="R55" i="7"/>
  <c r="S55" i="7"/>
  <c r="R59" i="7"/>
  <c r="S59" i="7"/>
  <c r="R52" i="7"/>
  <c r="S52" i="7"/>
  <c r="R56" i="7"/>
  <c r="S56" i="7"/>
  <c r="R53" i="7"/>
  <c r="S53" i="7"/>
  <c r="R57" i="7"/>
  <c r="S57" i="7"/>
  <c r="R60" i="7"/>
  <c r="R50" i="7"/>
  <c r="R54" i="7"/>
  <c r="R58" i="7"/>
  <c r="L147" i="11" l="1"/>
  <c r="J147" i="11"/>
  <c r="F147" i="11"/>
  <c r="Q47" i="7"/>
  <c r="S47" i="7" s="1"/>
  <c r="Q48" i="7"/>
  <c r="Q49" i="7"/>
  <c r="Q42" i="7"/>
  <c r="S42" i="7" s="1"/>
  <c r="Q41" i="7"/>
  <c r="Q40" i="7"/>
  <c r="Q39" i="7"/>
  <c r="S39" i="7" s="1"/>
  <c r="Q38" i="7"/>
  <c r="S38" i="7" s="1"/>
  <c r="Q37" i="7"/>
  <c r="S37" i="7" s="1"/>
  <c r="Q36" i="7"/>
  <c r="Q35" i="7"/>
  <c r="S35" i="7" s="1"/>
  <c r="Q34" i="7"/>
  <c r="Q33" i="7"/>
  <c r="S33" i="7" s="1"/>
  <c r="Q32" i="7"/>
  <c r="Q31" i="7"/>
  <c r="S31" i="7" s="1"/>
  <c r="Q30" i="7"/>
  <c r="S30" i="7" s="1"/>
  <c r="Q29" i="7"/>
  <c r="S29" i="7" s="1"/>
  <c r="Q28" i="7"/>
  <c r="R49" i="7" l="1"/>
  <c r="S49" i="7"/>
  <c r="R32" i="7"/>
  <c r="S32" i="7"/>
  <c r="R36" i="7"/>
  <c r="S36" i="7"/>
  <c r="R40" i="7"/>
  <c r="S40" i="7"/>
  <c r="R48" i="7"/>
  <c r="S48" i="7"/>
  <c r="R41" i="7"/>
  <c r="S41" i="7"/>
  <c r="R34" i="7"/>
  <c r="S34" i="7"/>
  <c r="R46" i="7"/>
  <c r="S46" i="7"/>
  <c r="R28" i="7"/>
  <c r="S28" i="7"/>
  <c r="R47" i="7"/>
  <c r="R39" i="7"/>
  <c r="R35" i="7"/>
  <c r="R31" i="7"/>
  <c r="R30" i="7"/>
  <c r="R29" i="7"/>
  <c r="R33" i="7"/>
  <c r="R37" i="7"/>
  <c r="R38" i="7"/>
  <c r="R42" i="7"/>
  <c r="L145" i="11" l="1"/>
  <c r="D145" i="11"/>
  <c r="J145" i="11"/>
  <c r="H145" i="11"/>
  <c r="F145" i="11"/>
  <c r="Q15" i="7"/>
  <c r="Q16" i="7"/>
  <c r="Q17" i="7"/>
  <c r="S17" i="7" s="1"/>
  <c r="Q18" i="7"/>
  <c r="Q19" i="7"/>
  <c r="Q20" i="7"/>
  <c r="Q21" i="7"/>
  <c r="Q22" i="7"/>
  <c r="Q25" i="7"/>
  <c r="Q26" i="7"/>
  <c r="Q27" i="7"/>
  <c r="Q43" i="7"/>
  <c r="Q44" i="7"/>
  <c r="Q45" i="7"/>
  <c r="Q14" i="7"/>
  <c r="S14" i="7" s="1"/>
  <c r="Q13" i="7"/>
  <c r="Q12" i="7"/>
  <c r="Q11" i="7"/>
  <c r="S11" i="7" s="1"/>
  <c r="D40" i="11"/>
  <c r="F40" i="11"/>
  <c r="H40" i="11"/>
  <c r="J40" i="11"/>
  <c r="L40" i="11"/>
  <c r="D41" i="11"/>
  <c r="F41" i="11"/>
  <c r="H41" i="11"/>
  <c r="J41" i="11"/>
  <c r="L41" i="11"/>
  <c r="B43" i="11"/>
  <c r="D43" i="11"/>
  <c r="F43" i="11"/>
  <c r="H43" i="11"/>
  <c r="J43" i="11"/>
  <c r="L43" i="11"/>
  <c r="J47" i="11"/>
  <c r="D48" i="11"/>
  <c r="F48" i="11"/>
  <c r="H48" i="11"/>
  <c r="J48" i="11"/>
  <c r="L48" i="11"/>
  <c r="D81" i="11"/>
  <c r="F81" i="11"/>
  <c r="H81" i="11"/>
  <c r="J81" i="11"/>
  <c r="L81" i="11"/>
  <c r="D84" i="11"/>
  <c r="F84" i="11"/>
  <c r="H84" i="11"/>
  <c r="J84" i="11"/>
  <c r="L84" i="11"/>
  <c r="D85" i="11"/>
  <c r="F85" i="11"/>
  <c r="H85" i="11"/>
  <c r="J85" i="11"/>
  <c r="L85" i="11"/>
  <c r="D87" i="11"/>
  <c r="F87" i="11"/>
  <c r="H87" i="11"/>
  <c r="J87" i="11"/>
  <c r="L87" i="11"/>
  <c r="D83" i="11"/>
  <c r="F83" i="11"/>
  <c r="H83" i="11"/>
  <c r="J83" i="11"/>
  <c r="L83" i="11"/>
  <c r="D88" i="11"/>
  <c r="F88" i="11"/>
  <c r="H88" i="11"/>
  <c r="J88" i="11"/>
  <c r="L88" i="11"/>
  <c r="D89" i="11"/>
  <c r="H89" i="11"/>
  <c r="J89" i="11"/>
  <c r="L89" i="11"/>
  <c r="D90" i="11"/>
  <c r="H90" i="11"/>
  <c r="J90" i="11"/>
  <c r="L90" i="11"/>
  <c r="D91" i="11"/>
  <c r="H91" i="11"/>
  <c r="J91" i="11"/>
  <c r="L91" i="11"/>
  <c r="F92" i="11"/>
  <c r="H92" i="11"/>
  <c r="J92" i="11"/>
  <c r="L92" i="11"/>
  <c r="D93" i="11"/>
  <c r="F93" i="11"/>
  <c r="H93" i="11"/>
  <c r="J93" i="11"/>
  <c r="L93" i="11"/>
  <c r="D97" i="11"/>
  <c r="F97" i="11"/>
  <c r="H97" i="11"/>
  <c r="J97" i="11"/>
  <c r="L97" i="11"/>
  <c r="D104" i="11"/>
  <c r="F104" i="11"/>
  <c r="H104" i="11"/>
  <c r="J104" i="11"/>
  <c r="L104" i="11"/>
  <c r="D106" i="11"/>
  <c r="F106" i="11"/>
  <c r="H106" i="11"/>
  <c r="J106" i="11"/>
  <c r="L106" i="11"/>
  <c r="D107" i="11"/>
  <c r="F107" i="11"/>
  <c r="H107" i="11"/>
  <c r="J107" i="11"/>
  <c r="L107" i="11"/>
  <c r="D108" i="11"/>
  <c r="F108" i="11"/>
  <c r="H108" i="11"/>
  <c r="J108" i="11"/>
  <c r="L108" i="11"/>
  <c r="D110" i="11"/>
  <c r="F110" i="11"/>
  <c r="H110" i="11"/>
  <c r="L110" i="11"/>
  <c r="D111" i="11"/>
  <c r="F111" i="11"/>
  <c r="H111" i="11"/>
  <c r="J111" i="11"/>
  <c r="L111" i="11"/>
  <c r="D112" i="11"/>
  <c r="F112" i="11"/>
  <c r="H112" i="11"/>
  <c r="J112" i="11"/>
  <c r="L112" i="11"/>
  <c r="D115" i="11"/>
  <c r="F115" i="11"/>
  <c r="H115" i="11"/>
  <c r="J115" i="11"/>
  <c r="L115" i="11"/>
  <c r="D116" i="11"/>
  <c r="F116" i="11"/>
  <c r="H116" i="11"/>
  <c r="J116" i="11"/>
  <c r="L116" i="11"/>
  <c r="D117" i="11"/>
  <c r="F117" i="11"/>
  <c r="H117" i="11"/>
  <c r="J117" i="11"/>
  <c r="L117" i="11"/>
  <c r="D118" i="11"/>
  <c r="F118" i="11"/>
  <c r="H118" i="11"/>
  <c r="J118" i="11"/>
  <c r="L118" i="11"/>
  <c r="D121" i="11"/>
  <c r="F121" i="11"/>
  <c r="H121" i="11"/>
  <c r="J121" i="11"/>
  <c r="L121" i="11"/>
  <c r="D123" i="11"/>
  <c r="F123" i="11"/>
  <c r="H123" i="11"/>
  <c r="J123" i="11"/>
  <c r="L123" i="11"/>
  <c r="D125" i="11"/>
  <c r="F125" i="11"/>
  <c r="H125" i="11"/>
  <c r="J125" i="11"/>
  <c r="L125" i="11"/>
  <c r="D134" i="11"/>
  <c r="F134" i="11"/>
  <c r="H134" i="11"/>
  <c r="J134" i="11"/>
  <c r="L134" i="11"/>
  <c r="D147" i="11"/>
  <c r="H147" i="11"/>
  <c r="D158" i="11"/>
  <c r="F158" i="11"/>
  <c r="H158" i="11"/>
  <c r="J158" i="11"/>
  <c r="L158" i="11"/>
  <c r="D9" i="10"/>
  <c r="D10" i="10"/>
  <c r="D11" i="10"/>
  <c r="D12" i="10"/>
  <c r="D13" i="10"/>
  <c r="D14" i="10"/>
  <c r="D15" i="10"/>
  <c r="D16" i="10"/>
  <c r="D17" i="10"/>
  <c r="C18" i="10"/>
  <c r="E18" i="10"/>
  <c r="D20" i="10"/>
  <c r="D21" i="10"/>
  <c r="D28" i="10"/>
  <c r="C30" i="10"/>
  <c r="E30" i="10"/>
  <c r="B59" i="11"/>
  <c r="B63" i="11"/>
  <c r="B67" i="11"/>
  <c r="B71" i="11"/>
  <c r="C48" i="10"/>
  <c r="E48" i="10"/>
  <c r="D51" i="10"/>
  <c r="B81" i="11" s="1"/>
  <c r="D58" i="10"/>
  <c r="B88" i="11" s="1"/>
  <c r="D59" i="10"/>
  <c r="B89" i="11" s="1"/>
  <c r="D62" i="10"/>
  <c r="B92" i="11" s="1"/>
  <c r="D63" i="10"/>
  <c r="B93" i="11" s="1"/>
  <c r="C68" i="10"/>
  <c r="E68" i="10"/>
  <c r="D70" i="10"/>
  <c r="D72" i="10"/>
  <c r="D73" i="10"/>
  <c r="D76" i="10"/>
  <c r="D77" i="10"/>
  <c r="D78" i="10"/>
  <c r="D81" i="10"/>
  <c r="D83" i="10"/>
  <c r="D87" i="10"/>
  <c r="D89" i="10"/>
  <c r="C92" i="10"/>
  <c r="E92" i="10"/>
  <c r="D95" i="10"/>
  <c r="B135" i="11"/>
  <c r="B137" i="11"/>
  <c r="C99" i="10"/>
  <c r="E99" i="10"/>
  <c r="D101" i="10"/>
  <c r="B145" i="11"/>
  <c r="D103" i="10"/>
  <c r="D104" i="10"/>
  <c r="C106" i="10"/>
  <c r="E106" i="10"/>
  <c r="D107" i="10"/>
  <c r="D109" i="10"/>
  <c r="D110" i="10"/>
  <c r="D111" i="10"/>
  <c r="D112" i="10"/>
  <c r="D113" i="10"/>
  <c r="C117" i="10"/>
  <c r="E117" i="10"/>
  <c r="D119" i="10"/>
  <c r="D120" i="10"/>
  <c r="D123" i="10"/>
  <c r="D124" i="10"/>
  <c r="D127" i="10"/>
  <c r="D128" i="10"/>
  <c r="D129" i="10"/>
  <c r="D130" i="10"/>
  <c r="D132" i="10"/>
  <c r="D134" i="10"/>
  <c r="D135" i="10"/>
  <c r="D139" i="10"/>
  <c r="C141" i="10"/>
  <c r="E141" i="10"/>
  <c r="Q12" i="9"/>
  <c r="S12" i="9" s="1"/>
  <c r="Q13" i="9"/>
  <c r="S13" i="9" s="1"/>
  <c r="Q14" i="9"/>
  <c r="S14" i="9" s="1"/>
  <c r="Q15" i="9"/>
  <c r="Q16" i="9"/>
  <c r="S16" i="9" s="1"/>
  <c r="Q17" i="9"/>
  <c r="S17" i="9" s="1"/>
  <c r="Q18" i="9"/>
  <c r="S18" i="9" s="1"/>
  <c r="Q19" i="9"/>
  <c r="S19" i="9" s="1"/>
  <c r="Q20" i="9"/>
  <c r="S20" i="9" s="1"/>
  <c r="Q21" i="9"/>
  <c r="S21" i="9" s="1"/>
  <c r="Q22" i="9"/>
  <c r="S22" i="9" s="1"/>
  <c r="Q23" i="9"/>
  <c r="S23" i="9" s="1"/>
  <c r="Q24" i="9"/>
  <c r="S24" i="9" s="1"/>
  <c r="Q25" i="9"/>
  <c r="S25" i="9" s="1"/>
  <c r="Q26" i="9"/>
  <c r="Q27" i="9"/>
  <c r="S27" i="9" s="1"/>
  <c r="Q28" i="9"/>
  <c r="S28" i="9" s="1"/>
  <c r="Q29" i="9"/>
  <c r="Q30" i="9"/>
  <c r="S30" i="9" s="1"/>
  <c r="Q31" i="9"/>
  <c r="S31" i="9" s="1"/>
  <c r="Q32" i="9"/>
  <c r="S32" i="9" s="1"/>
  <c r="Q33" i="9"/>
  <c r="S33" i="9" s="1"/>
  <c r="Q34" i="9"/>
  <c r="S34" i="9" s="1"/>
  <c r="Q35" i="9"/>
  <c r="S35" i="9" s="1"/>
  <c r="Q36" i="9"/>
  <c r="S36" i="9" s="1"/>
  <c r="Q37" i="9"/>
  <c r="S37" i="9" s="1"/>
  <c r="Q38" i="9"/>
  <c r="Q39" i="9"/>
  <c r="S39" i="9" s="1"/>
  <c r="Q40" i="9"/>
  <c r="S40" i="9" s="1"/>
  <c r="Q41" i="9"/>
  <c r="S41" i="9" s="1"/>
  <c r="Q42" i="9"/>
  <c r="S42" i="9" s="1"/>
  <c r="Q43" i="9"/>
  <c r="S43" i="9" s="1"/>
  <c r="Q44" i="9"/>
  <c r="S44" i="9" s="1"/>
  <c r="Q45" i="9"/>
  <c r="S45" i="9" s="1"/>
  <c r="Q46" i="9"/>
  <c r="S46" i="9" s="1"/>
  <c r="Q47" i="9"/>
  <c r="Q48" i="9"/>
  <c r="S48" i="9" s="1"/>
  <c r="Q49" i="9"/>
  <c r="S49" i="9" s="1"/>
  <c r="Q50" i="9"/>
  <c r="S50" i="9" s="1"/>
  <c r="Q51" i="9"/>
  <c r="S51" i="9" s="1"/>
  <c r="Q52" i="9"/>
  <c r="S52" i="9" s="1"/>
  <c r="Q53" i="9"/>
  <c r="Q54" i="9"/>
  <c r="S54" i="9" s="1"/>
  <c r="Q55" i="9"/>
  <c r="Q56" i="9"/>
  <c r="S56" i="9" s="1"/>
  <c r="Q57" i="9"/>
  <c r="Q58" i="9"/>
  <c r="Q59" i="9"/>
  <c r="S59" i="9" s="1"/>
  <c r="Q60" i="9"/>
  <c r="S60" i="9" s="1"/>
  <c r="Q61" i="9"/>
  <c r="Q62" i="9"/>
  <c r="S62" i="9" s="1"/>
  <c r="Q63" i="9"/>
  <c r="Q64" i="9"/>
  <c r="S64" i="9" s="1"/>
  <c r="Q65" i="9"/>
  <c r="Q66" i="9"/>
  <c r="S66" i="9" s="1"/>
  <c r="Q67" i="9"/>
  <c r="S67" i="9" s="1"/>
  <c r="Q71" i="9"/>
  <c r="S71" i="9" s="1"/>
  <c r="Q72" i="9"/>
  <c r="Q73" i="9"/>
  <c r="S73" i="9" s="1"/>
  <c r="Q74" i="9"/>
  <c r="S74" i="9" s="1"/>
  <c r="Q75" i="9"/>
  <c r="S75" i="9" s="1"/>
  <c r="Q76" i="9"/>
  <c r="S76" i="9" s="1"/>
  <c r="Q77" i="9"/>
  <c r="S77" i="9" s="1"/>
  <c r="Q78" i="9"/>
  <c r="S78" i="9" s="1"/>
  <c r="Q79" i="9"/>
  <c r="S79" i="9" s="1"/>
  <c r="Q80" i="9"/>
  <c r="S80" i="9" s="1"/>
  <c r="Q81" i="9"/>
  <c r="Q82" i="9"/>
  <c r="Q83" i="9"/>
  <c r="S83" i="9" s="1"/>
  <c r="Q84" i="9"/>
  <c r="S84" i="9" s="1"/>
  <c r="Q85" i="9"/>
  <c r="S85" i="9" s="1"/>
  <c r="Q86" i="9"/>
  <c r="S86" i="9" s="1"/>
  <c r="Q87" i="9"/>
  <c r="S87" i="9" s="1"/>
  <c r="Q88" i="9"/>
  <c r="Q89" i="9"/>
  <c r="S89" i="9" s="1"/>
  <c r="Q90" i="9"/>
  <c r="S90" i="9" s="1"/>
  <c r="Q91" i="9"/>
  <c r="S91" i="9" s="1"/>
  <c r="Q92" i="9"/>
  <c r="S92" i="9" s="1"/>
  <c r="Q93" i="9"/>
  <c r="Q94" i="9"/>
  <c r="S94" i="9" s="1"/>
  <c r="Q95" i="9"/>
  <c r="S95" i="9" s="1"/>
  <c r="Q96" i="9"/>
  <c r="Q97" i="9"/>
  <c r="S97" i="9" s="1"/>
  <c r="Q98" i="9"/>
  <c r="Q99" i="9"/>
  <c r="S99" i="9" s="1"/>
  <c r="Q100" i="9"/>
  <c r="Q101" i="9"/>
  <c r="S101" i="9" s="1"/>
  <c r="Q102" i="9"/>
  <c r="S102" i="9" s="1"/>
  <c r="Q103" i="9"/>
  <c r="S103" i="9" s="1"/>
  <c r="Q104" i="9"/>
  <c r="S104" i="9" s="1"/>
  <c r="Q105" i="9"/>
  <c r="Q106" i="9"/>
  <c r="S106" i="9" s="1"/>
  <c r="Q108" i="9"/>
  <c r="S108" i="9" s="1"/>
  <c r="Q110" i="9"/>
  <c r="S110" i="9" s="1"/>
  <c r="Q111" i="9"/>
  <c r="S111" i="9" s="1"/>
  <c r="Q112" i="9"/>
  <c r="S112" i="9" s="1"/>
  <c r="Q113" i="9"/>
  <c r="S113" i="9" s="1"/>
  <c r="Q114" i="9"/>
  <c r="S114" i="9" s="1"/>
  <c r="Q115" i="9"/>
  <c r="Q116" i="9"/>
  <c r="Q117" i="9"/>
  <c r="S117" i="9" s="1"/>
  <c r="Q118" i="9"/>
  <c r="S118" i="9" s="1"/>
  <c r="Q119" i="9"/>
  <c r="S119" i="9" s="1"/>
  <c r="Q120" i="9"/>
  <c r="S120" i="9" s="1"/>
  <c r="Q121" i="9"/>
  <c r="S121" i="9" s="1"/>
  <c r="Q122" i="9"/>
  <c r="Q123" i="9"/>
  <c r="S123" i="9" s="1"/>
  <c r="Q124" i="9"/>
  <c r="S124" i="9" s="1"/>
  <c r="Q125" i="9"/>
  <c r="S125" i="9" s="1"/>
  <c r="Q126" i="9"/>
  <c r="S126" i="9" s="1"/>
  <c r="Q127" i="9"/>
  <c r="S127" i="9" s="1"/>
  <c r="Q128" i="9"/>
  <c r="S128" i="9" s="1"/>
  <c r="Q129" i="9"/>
  <c r="S129" i="9" s="1"/>
  <c r="Q130" i="9"/>
  <c r="Q131" i="9"/>
  <c r="Q132" i="9"/>
  <c r="Q133" i="9"/>
  <c r="S133" i="9" s="1"/>
  <c r="Q134" i="9"/>
  <c r="S134" i="9" s="1"/>
  <c r="Q135" i="9"/>
  <c r="Q136" i="9"/>
  <c r="S136" i="9" s="1"/>
  <c r="Q137" i="9"/>
  <c r="S137" i="9" s="1"/>
  <c r="Q138" i="9"/>
  <c r="Q139" i="9"/>
  <c r="Q140" i="9"/>
  <c r="S140" i="9" s="1"/>
  <c r="Q141" i="9"/>
  <c r="S141" i="9" s="1"/>
  <c r="Q142" i="9"/>
  <c r="S142" i="9" s="1"/>
  <c r="Q143" i="9"/>
  <c r="S143" i="9" s="1"/>
  <c r="Q150" i="9"/>
  <c r="S150" i="9" s="1"/>
  <c r="Q151" i="9"/>
  <c r="S151" i="9" s="1"/>
  <c r="Q152" i="9"/>
  <c r="S152" i="9" s="1"/>
  <c r="Q153" i="9"/>
  <c r="Q154" i="9"/>
  <c r="S154" i="9" s="1"/>
  <c r="Q155" i="9"/>
  <c r="S155" i="9" s="1"/>
  <c r="Q156" i="9"/>
  <c r="S156" i="9" s="1"/>
  <c r="Q157" i="9"/>
  <c r="S157" i="9" s="1"/>
  <c r="Q158" i="9"/>
  <c r="S158" i="9" s="1"/>
  <c r="Q159" i="9"/>
  <c r="Q160" i="9"/>
  <c r="Q161" i="9"/>
  <c r="S161" i="9" s="1"/>
  <c r="Q162" i="9"/>
  <c r="S162" i="9" s="1"/>
  <c r="Q163" i="9"/>
  <c r="S163" i="9" s="1"/>
  <c r="Q164" i="9"/>
  <c r="S164" i="9" s="1"/>
  <c r="Q165" i="9"/>
  <c r="S165" i="9" s="1"/>
  <c r="Q166" i="9"/>
  <c r="S166" i="9" s="1"/>
  <c r="Q167" i="9"/>
  <c r="Q168" i="9"/>
  <c r="Q169" i="9"/>
  <c r="S169" i="9" s="1"/>
  <c r="Q170" i="9"/>
  <c r="S170" i="9" s="1"/>
  <c r="Q171" i="9"/>
  <c r="S171" i="9" s="1"/>
  <c r="Q172" i="9"/>
  <c r="S172" i="9" s="1"/>
  <c r="Q173" i="9"/>
  <c r="S173" i="9" s="1"/>
  <c r="Q174" i="9"/>
  <c r="S174" i="9" s="1"/>
  <c r="Q175" i="9"/>
  <c r="S175" i="9" s="1"/>
  <c r="Q176" i="9"/>
  <c r="Q177" i="9"/>
  <c r="S177" i="9" s="1"/>
  <c r="Q178" i="9"/>
  <c r="S178" i="9" s="1"/>
  <c r="Q179" i="9"/>
  <c r="S179" i="9" s="1"/>
  <c r="Q180" i="9"/>
  <c r="S180" i="9" s="1"/>
  <c r="Q181" i="9"/>
  <c r="S181" i="9" s="1"/>
  <c r="Q182" i="9"/>
  <c r="S182" i="9" s="1"/>
  <c r="Q183" i="9"/>
  <c r="S183" i="9" s="1"/>
  <c r="Q184" i="9"/>
  <c r="Q185" i="9"/>
  <c r="Q186" i="9"/>
  <c r="S186" i="9" s="1"/>
  <c r="Q187" i="9"/>
  <c r="S187" i="9" s="1"/>
  <c r="Q188" i="9"/>
  <c r="S188" i="9" s="1"/>
  <c r="Q189" i="9"/>
  <c r="S189" i="9" s="1"/>
  <c r="Q190" i="9"/>
  <c r="S190" i="9" s="1"/>
  <c r="Q191" i="9"/>
  <c r="Q192" i="9"/>
  <c r="S192" i="9" s="1"/>
  <c r="Q193" i="9"/>
  <c r="Q194" i="9"/>
  <c r="S194" i="9" s="1"/>
  <c r="Q195" i="9"/>
  <c r="S195" i="9" s="1"/>
  <c r="Q196" i="9"/>
  <c r="S196" i="9" s="1"/>
  <c r="Q197" i="9"/>
  <c r="S197" i="9" s="1"/>
  <c r="Q198" i="9"/>
  <c r="S198" i="9" s="1"/>
  <c r="Q199" i="9"/>
  <c r="Q200" i="9"/>
  <c r="S200" i="9" s="1"/>
  <c r="Q201" i="9"/>
  <c r="Q203" i="9"/>
  <c r="S203" i="9" s="1"/>
  <c r="Q204" i="9"/>
  <c r="Q205" i="9"/>
  <c r="S205" i="9" s="1"/>
  <c r="Q206" i="9"/>
  <c r="S206" i="9" s="1"/>
  <c r="Q207" i="9"/>
  <c r="S207" i="9" s="1"/>
  <c r="Q208" i="9"/>
  <c r="Q209" i="9"/>
  <c r="S209" i="9" s="1"/>
  <c r="Q210" i="9"/>
  <c r="S210" i="9" s="1"/>
  <c r="Q211" i="9"/>
  <c r="S211" i="9" s="1"/>
  <c r="Q212" i="9"/>
  <c r="S212" i="9" s="1"/>
  <c r="Q213" i="9"/>
  <c r="Q214" i="9"/>
  <c r="S214" i="9" s="1"/>
  <c r="Q215" i="9"/>
  <c r="S215" i="9" s="1"/>
  <c r="Q216" i="9"/>
  <c r="S216" i="9" s="1"/>
  <c r="Q217" i="9"/>
  <c r="S217" i="9" s="1"/>
  <c r="Q218" i="9"/>
  <c r="S218" i="9" s="1"/>
  <c r="Q219" i="9"/>
  <c r="S219" i="9" s="1"/>
  <c r="Q220" i="9"/>
  <c r="S220" i="9" s="1"/>
  <c r="Q221" i="9"/>
  <c r="S221" i="9" s="1"/>
  <c r="Q222" i="9"/>
  <c r="S222" i="9" s="1"/>
  <c r="Q223" i="9"/>
  <c r="S223" i="9" s="1"/>
  <c r="Q224" i="9"/>
  <c r="S224" i="9" s="1"/>
  <c r="Q225" i="9"/>
  <c r="S225" i="9" s="1"/>
  <c r="Q226" i="9"/>
  <c r="S226" i="9" s="1"/>
  <c r="Q227" i="9"/>
  <c r="S227" i="9" s="1"/>
  <c r="Q228" i="9"/>
  <c r="S228" i="9" s="1"/>
  <c r="Q229" i="9"/>
  <c r="S229" i="9" s="1"/>
  <c r="Q230" i="9"/>
  <c r="S230" i="9" s="1"/>
  <c r="Q231" i="9"/>
  <c r="S231" i="9" s="1"/>
  <c r="Q232" i="9"/>
  <c r="S232" i="9" s="1"/>
  <c r="Q233" i="9"/>
  <c r="S233" i="9" s="1"/>
  <c r="Q234" i="9"/>
  <c r="S234" i="9" s="1"/>
  <c r="Q235" i="9"/>
  <c r="S235" i="9" s="1"/>
  <c r="Q236" i="9"/>
  <c r="S236" i="9" s="1"/>
  <c r="Q237" i="9"/>
  <c r="S237" i="9" s="1"/>
  <c r="Q238" i="9"/>
  <c r="S238" i="9" s="1"/>
  <c r="Q239" i="9"/>
  <c r="S239" i="9" s="1"/>
  <c r="Q240" i="9"/>
  <c r="S240" i="9" s="1"/>
  <c r="Q241" i="9"/>
  <c r="S241" i="9" s="1"/>
  <c r="Q242" i="9"/>
  <c r="S242" i="9" s="1"/>
  <c r="Q243" i="9"/>
  <c r="S243" i="9" s="1"/>
  <c r="Q244" i="9"/>
  <c r="S244" i="9" s="1"/>
  <c r="Q245" i="9"/>
  <c r="S245" i="9" s="1"/>
  <c r="Q246" i="9"/>
  <c r="S246" i="9" s="1"/>
  <c r="Q247" i="9"/>
  <c r="S247" i="9" s="1"/>
  <c r="Q248" i="9"/>
  <c r="S248" i="9" s="1"/>
  <c r="Q249" i="9"/>
  <c r="S249" i="9" s="1"/>
  <c r="Q250" i="9"/>
  <c r="S250" i="9" s="1"/>
  <c r="Q251" i="9"/>
  <c r="S251" i="9" s="1"/>
  <c r="Q252" i="9"/>
  <c r="S252" i="9" s="1"/>
  <c r="Q254" i="9"/>
  <c r="S254" i="9" s="1"/>
  <c r="Q255" i="9"/>
  <c r="S255" i="9" s="1"/>
  <c r="Q256" i="9"/>
  <c r="S256" i="9" s="1"/>
  <c r="Q257" i="9"/>
  <c r="S257" i="9" s="1"/>
  <c r="Q258" i="9"/>
  <c r="S258" i="9" s="1"/>
  <c r="Q259" i="9"/>
  <c r="S259" i="9" s="1"/>
  <c r="Q260" i="9"/>
  <c r="S260" i="9" s="1"/>
  <c r="Q261" i="9"/>
  <c r="S261" i="9" s="1"/>
  <c r="Q262" i="9"/>
  <c r="S262" i="9" s="1"/>
  <c r="Q263" i="9"/>
  <c r="S263" i="9" s="1"/>
  <c r="Q264" i="9"/>
  <c r="S264" i="9" s="1"/>
  <c r="Q265" i="9"/>
  <c r="S265" i="9" s="1"/>
  <c r="Q266" i="9"/>
  <c r="S266" i="9" s="1"/>
  <c r="Q267" i="9"/>
  <c r="S267" i="9" s="1"/>
  <c r="Q268" i="9"/>
  <c r="S268" i="9" s="1"/>
  <c r="Q269" i="9"/>
  <c r="S269" i="9" s="1"/>
  <c r="Q270" i="9"/>
  <c r="S270" i="9" s="1"/>
  <c r="Q271" i="9"/>
  <c r="S271" i="9" s="1"/>
  <c r="Q272" i="9"/>
  <c r="S272" i="9" s="1"/>
  <c r="Q273" i="9"/>
  <c r="S273" i="9" s="1"/>
  <c r="Q274" i="9"/>
  <c r="S274" i="9" s="1"/>
  <c r="Q275" i="9"/>
  <c r="S275" i="9" s="1"/>
  <c r="Q276" i="9"/>
  <c r="S276" i="9" s="1"/>
  <c r="Q277" i="9"/>
  <c r="S277" i="9" s="1"/>
  <c r="Q278" i="9"/>
  <c r="S278" i="9" s="1"/>
  <c r="Q279" i="9"/>
  <c r="S279" i="9" s="1"/>
  <c r="Q280" i="9"/>
  <c r="S280" i="9" s="1"/>
  <c r="Q281" i="9"/>
  <c r="S281" i="9" s="1"/>
  <c r="Q282" i="9"/>
  <c r="S282" i="9" s="1"/>
  <c r="Q283" i="9"/>
  <c r="S283" i="9" s="1"/>
  <c r="Q284" i="9"/>
  <c r="S284" i="9" s="1"/>
  <c r="Q285" i="9"/>
  <c r="S285" i="9" s="1"/>
  <c r="Q286" i="9"/>
  <c r="S286" i="9" s="1"/>
  <c r="Q287" i="9"/>
  <c r="S287" i="9" s="1"/>
  <c r="Q288" i="9"/>
  <c r="S288" i="9" s="1"/>
  <c r="Q289" i="9"/>
  <c r="S289" i="9" s="1"/>
  <c r="Q290" i="9"/>
  <c r="S290" i="9" s="1"/>
  <c r="Q291" i="9"/>
  <c r="S291" i="9" s="1"/>
  <c r="Q292" i="9"/>
  <c r="S292" i="9" s="1"/>
  <c r="Q293" i="9"/>
  <c r="S293" i="9" s="1"/>
  <c r="Q294" i="9"/>
  <c r="S294" i="9" s="1"/>
  <c r="Q295" i="9"/>
  <c r="S295" i="9" s="1"/>
  <c r="Q296" i="9"/>
  <c r="S296" i="9" s="1"/>
  <c r="Q297" i="9"/>
  <c r="S297" i="9" s="1"/>
  <c r="Q298" i="9"/>
  <c r="S298" i="9" s="1"/>
  <c r="Q299" i="9"/>
  <c r="S299" i="9" s="1"/>
  <c r="Q300" i="9"/>
  <c r="S300" i="9" s="1"/>
  <c r="Q301" i="9"/>
  <c r="S301" i="9" s="1"/>
  <c r="Q302" i="9"/>
  <c r="S302" i="9" s="1"/>
  <c r="Q303" i="9"/>
  <c r="S303" i="9" s="1"/>
  <c r="Q304" i="9"/>
  <c r="S304" i="9" s="1"/>
  <c r="Q305" i="9"/>
  <c r="S305" i="9" s="1"/>
  <c r="Q306" i="9"/>
  <c r="S306" i="9" s="1"/>
  <c r="Q307" i="9"/>
  <c r="S307" i="9" s="1"/>
  <c r="Q308" i="9"/>
  <c r="S308" i="9" s="1"/>
  <c r="Q309" i="9"/>
  <c r="S309" i="9" s="1"/>
  <c r="Q310" i="9"/>
  <c r="S310" i="9" s="1"/>
  <c r="Q311" i="9"/>
  <c r="S311" i="9" s="1"/>
  <c r="Q312" i="9"/>
  <c r="S312" i="9" s="1"/>
  <c r="Q313" i="9"/>
  <c r="S313" i="9" s="1"/>
  <c r="Q314" i="9"/>
  <c r="S314" i="9" s="1"/>
  <c r="Q315" i="9"/>
  <c r="S315" i="9" s="1"/>
  <c r="Q316" i="9"/>
  <c r="S316" i="9" s="1"/>
  <c r="Q317" i="9"/>
  <c r="S317" i="9" s="1"/>
  <c r="Q318" i="9"/>
  <c r="S318" i="9" s="1"/>
  <c r="Q319" i="9"/>
  <c r="S319" i="9" s="1"/>
  <c r="Q320" i="9"/>
  <c r="S320" i="9" s="1"/>
  <c r="Q321" i="9"/>
  <c r="S321" i="9" s="1"/>
  <c r="Q322" i="9"/>
  <c r="S322" i="9" s="1"/>
  <c r="Q323" i="9"/>
  <c r="S323" i="9" s="1"/>
  <c r="Q324" i="9"/>
  <c r="S324" i="9" s="1"/>
  <c r="Q325" i="9"/>
  <c r="S325" i="9" s="1"/>
  <c r="Q326" i="9"/>
  <c r="S326" i="9" s="1"/>
  <c r="Q327" i="9"/>
  <c r="S327" i="9" s="1"/>
  <c r="Q328" i="9"/>
  <c r="S328" i="9" s="1"/>
  <c r="Q329" i="9"/>
  <c r="S329" i="9" s="1"/>
  <c r="Q330" i="9"/>
  <c r="S330" i="9" s="1"/>
  <c r="Q331" i="9"/>
  <c r="S331" i="9" s="1"/>
  <c r="Q332" i="9"/>
  <c r="S332" i="9" s="1"/>
  <c r="Q333" i="9"/>
  <c r="S333" i="9" s="1"/>
  <c r="Q334" i="9"/>
  <c r="S334" i="9" s="1"/>
  <c r="Q335" i="9"/>
  <c r="S335" i="9" s="1"/>
  <c r="Q336" i="9"/>
  <c r="S336" i="9" s="1"/>
  <c r="Q337" i="9"/>
  <c r="S337" i="9" s="1"/>
  <c r="Q338" i="9"/>
  <c r="S338" i="9" s="1"/>
  <c r="Q339" i="9"/>
  <c r="S339" i="9" s="1"/>
  <c r="Q340" i="9"/>
  <c r="S340" i="9" s="1"/>
  <c r="Q341" i="9"/>
  <c r="S341" i="9" s="1"/>
  <c r="Q342" i="9"/>
  <c r="S342" i="9" s="1"/>
  <c r="Q343" i="9"/>
  <c r="S343" i="9" s="1"/>
  <c r="Q344" i="9"/>
  <c r="S344" i="9" s="1"/>
  <c r="Q345" i="9"/>
  <c r="S345" i="9" s="1"/>
  <c r="Q348" i="9"/>
  <c r="S348" i="9" s="1"/>
  <c r="Q349" i="9"/>
  <c r="S349" i="9" s="1"/>
  <c r="Q350" i="9"/>
  <c r="S350" i="9" s="1"/>
  <c r="Q351" i="9"/>
  <c r="S351" i="9" s="1"/>
  <c r="Q352" i="9"/>
  <c r="S352" i="9" s="1"/>
  <c r="Q353" i="9"/>
  <c r="S353" i="9" s="1"/>
  <c r="Q354" i="9"/>
  <c r="S354" i="9" s="1"/>
  <c r="Q355" i="9"/>
  <c r="S355" i="9" s="1"/>
  <c r="Q356" i="9"/>
  <c r="S356" i="9" s="1"/>
  <c r="Q357" i="9"/>
  <c r="S357" i="9" s="1"/>
  <c r="Q358" i="9"/>
  <c r="S358" i="9" s="1"/>
  <c r="Q359" i="9"/>
  <c r="S359" i="9" s="1"/>
  <c r="Q360" i="9"/>
  <c r="S360" i="9" s="1"/>
  <c r="Q361" i="9"/>
  <c r="S361" i="9" s="1"/>
  <c r="Q362" i="9"/>
  <c r="S362" i="9" s="1"/>
  <c r="Q363" i="9"/>
  <c r="S363" i="9" s="1"/>
  <c r="Q364" i="9"/>
  <c r="S364" i="9" s="1"/>
  <c r="Q365" i="9"/>
  <c r="S365" i="9" s="1"/>
  <c r="Q366" i="9"/>
  <c r="S366" i="9" s="1"/>
  <c r="Q367" i="9"/>
  <c r="S367" i="9" s="1"/>
  <c r="Q368" i="9"/>
  <c r="S368" i="9" s="1"/>
  <c r="Q369" i="9"/>
  <c r="S369" i="9" s="1"/>
  <c r="Q370" i="9"/>
  <c r="S370" i="9" s="1"/>
  <c r="Q371" i="9"/>
  <c r="S371" i="9" s="1"/>
  <c r="Q372" i="9"/>
  <c r="S372" i="9" s="1"/>
  <c r="Q373" i="9"/>
  <c r="S373" i="9" s="1"/>
  <c r="Q374" i="9"/>
  <c r="S374" i="9" s="1"/>
  <c r="Q375" i="9"/>
  <c r="S375" i="9" s="1"/>
  <c r="Q376" i="9"/>
  <c r="S376" i="9" s="1"/>
  <c r="Q377" i="9"/>
  <c r="S377" i="9" s="1"/>
  <c r="Q378" i="9"/>
  <c r="S378" i="9" s="1"/>
  <c r="Q379" i="9"/>
  <c r="S379" i="9" s="1"/>
  <c r="Q380" i="9"/>
  <c r="S380" i="9" s="1"/>
  <c r="Q381" i="9"/>
  <c r="S381" i="9" s="1"/>
  <c r="Q382" i="9"/>
  <c r="S382" i="9" s="1"/>
  <c r="Q383" i="9"/>
  <c r="S383" i="9" s="1"/>
  <c r="Q384" i="9"/>
  <c r="S384" i="9" s="1"/>
  <c r="Q385" i="9"/>
  <c r="S385" i="9" s="1"/>
  <c r="Q386" i="9"/>
  <c r="S386" i="9" s="1"/>
  <c r="Q387" i="9"/>
  <c r="S387" i="9" s="1"/>
  <c r="Q388" i="9"/>
  <c r="S388" i="9" s="1"/>
  <c r="Q389" i="9"/>
  <c r="S389" i="9" s="1"/>
  <c r="Q390" i="9"/>
  <c r="S390" i="9" s="1"/>
  <c r="Q391" i="9"/>
  <c r="S391" i="9" s="1"/>
  <c r="Q392" i="9"/>
  <c r="S392" i="9" s="1"/>
  <c r="Q393" i="9"/>
  <c r="S393" i="9" s="1"/>
  <c r="Q394" i="9"/>
  <c r="S394" i="9" s="1"/>
  <c r="Q395" i="9"/>
  <c r="S395" i="9" s="1"/>
  <c r="Q396" i="9"/>
  <c r="S396" i="9" s="1"/>
  <c r="Q397" i="9"/>
  <c r="S397" i="9" s="1"/>
  <c r="Q398" i="9"/>
  <c r="S398" i="9" s="1"/>
  <c r="Q399" i="9"/>
  <c r="S399" i="9" s="1"/>
  <c r="Q408" i="9"/>
  <c r="S408" i="9" s="1"/>
  <c r="Q415" i="9"/>
  <c r="S415" i="9" s="1"/>
  <c r="Q416" i="9"/>
  <c r="S416" i="9" s="1"/>
  <c r="Q417" i="9"/>
  <c r="S417" i="9" s="1"/>
  <c r="Q418" i="9"/>
  <c r="S418" i="9" s="1"/>
  <c r="Q419" i="9"/>
  <c r="S419" i="9" s="1"/>
  <c r="Q420" i="9"/>
  <c r="S420" i="9" s="1"/>
  <c r="Q421" i="9"/>
  <c r="S421" i="9" s="1"/>
  <c r="Q422" i="9"/>
  <c r="S422" i="9" s="1"/>
  <c r="Q434" i="9"/>
  <c r="S434" i="9" s="1"/>
  <c r="Q435" i="9"/>
  <c r="S435" i="9" s="1"/>
  <c r="Q436" i="9"/>
  <c r="S436" i="9" s="1"/>
  <c r="Q437" i="9"/>
  <c r="S437" i="9" s="1"/>
  <c r="Q438" i="9"/>
  <c r="S438" i="9" s="1"/>
  <c r="Q439" i="9"/>
  <c r="S439" i="9" s="1"/>
  <c r="Q440" i="9"/>
  <c r="S440" i="9" s="1"/>
  <c r="Q443" i="9"/>
  <c r="S443" i="9" s="1"/>
  <c r="Q444" i="9"/>
  <c r="S444" i="9" s="1"/>
  <c r="Q445" i="9"/>
  <c r="S445" i="9" s="1"/>
  <c r="Q446" i="9"/>
  <c r="S446" i="9" s="1"/>
  <c r="Q447" i="9"/>
  <c r="S447" i="9" s="1"/>
  <c r="Q448" i="9"/>
  <c r="S448" i="9" s="1"/>
  <c r="Q449" i="9"/>
  <c r="S449" i="9" s="1"/>
  <c r="Q450" i="9"/>
  <c r="S450" i="9" s="1"/>
  <c r="Q451" i="9"/>
  <c r="S451" i="9" s="1"/>
  <c r="Q453" i="9"/>
  <c r="S453" i="9" s="1"/>
  <c r="Q454" i="9"/>
  <c r="S454" i="9" s="1"/>
  <c r="Q455" i="9"/>
  <c r="S455" i="9" s="1"/>
  <c r="Q456" i="9"/>
  <c r="S456" i="9" s="1"/>
  <c r="Q457" i="9"/>
  <c r="S457" i="9" s="1"/>
  <c r="Q458" i="9"/>
  <c r="S458" i="9" s="1"/>
  <c r="Q459" i="9"/>
  <c r="S459" i="9" s="1"/>
  <c r="Q460" i="9"/>
  <c r="S460" i="9" s="1"/>
  <c r="Q461" i="9"/>
  <c r="S461" i="9" s="1"/>
  <c r="Q462" i="9"/>
  <c r="S462" i="9" s="1"/>
  <c r="Q463" i="9"/>
  <c r="S463" i="9" s="1"/>
  <c r="Q464" i="9"/>
  <c r="S464" i="9" s="1"/>
  <c r="Q465" i="9"/>
  <c r="S465" i="9" s="1"/>
  <c r="Q466" i="9"/>
  <c r="S466" i="9" s="1"/>
  <c r="Q467" i="9"/>
  <c r="S467" i="9" s="1"/>
  <c r="Q468" i="9"/>
  <c r="S468" i="9" s="1"/>
  <c r="Q469" i="9"/>
  <c r="S469" i="9" s="1"/>
  <c r="Q470" i="9"/>
  <c r="S470" i="9" s="1"/>
  <c r="Q471" i="9"/>
  <c r="S471" i="9" s="1"/>
  <c r="Q472" i="9"/>
  <c r="S472" i="9" s="1"/>
  <c r="Q473" i="9"/>
  <c r="S473" i="9" s="1"/>
  <c r="Q474" i="9"/>
  <c r="S474" i="9" s="1"/>
  <c r="Q475" i="9"/>
  <c r="S475" i="9" s="1"/>
  <c r="Q476" i="9"/>
  <c r="S476" i="9" s="1"/>
  <c r="Q477" i="9"/>
  <c r="S477" i="9" s="1"/>
  <c r="Q478" i="9"/>
  <c r="S478" i="9" s="1"/>
  <c r="Q479" i="9"/>
  <c r="S479" i="9" s="1"/>
  <c r="Q480" i="9"/>
  <c r="S480" i="9" s="1"/>
  <c r="Q481" i="9"/>
  <c r="S481" i="9" s="1"/>
  <c r="Q482" i="9"/>
  <c r="S482" i="9" s="1"/>
  <c r="Q483" i="9"/>
  <c r="S483" i="9" s="1"/>
  <c r="Q484" i="9"/>
  <c r="S484" i="9" s="1"/>
  <c r="Q485" i="9"/>
  <c r="S485" i="9" s="1"/>
  <c r="Q486" i="9"/>
  <c r="S486" i="9" s="1"/>
  <c r="Q487" i="9"/>
  <c r="S487" i="9" s="1"/>
  <c r="Q488" i="9"/>
  <c r="S488" i="9" s="1"/>
  <c r="Q489" i="9"/>
  <c r="S489" i="9" s="1"/>
  <c r="Q490" i="9"/>
  <c r="S490" i="9" s="1"/>
  <c r="Q491" i="9"/>
  <c r="S491" i="9" s="1"/>
  <c r="Q492" i="9"/>
  <c r="S492" i="9" s="1"/>
  <c r="Q493" i="9"/>
  <c r="S493" i="9" s="1"/>
  <c r="Q494" i="9"/>
  <c r="S494" i="9" s="1"/>
  <c r="Q495" i="9"/>
  <c r="S495" i="9" s="1"/>
  <c r="Q496" i="9"/>
  <c r="S496" i="9" s="1"/>
  <c r="Q497" i="9"/>
  <c r="S497" i="9" s="1"/>
  <c r="Q498" i="9"/>
  <c r="S498" i="9" s="1"/>
  <c r="Q499" i="9"/>
  <c r="S499" i="9" s="1"/>
  <c r="Q500" i="9"/>
  <c r="S500" i="9" s="1"/>
  <c r="Q501" i="9"/>
  <c r="S501" i="9" s="1"/>
  <c r="Q502" i="9"/>
  <c r="S502" i="9" s="1"/>
  <c r="Q503" i="9"/>
  <c r="S503" i="9" s="1"/>
  <c r="Q505" i="9"/>
  <c r="S505" i="9" s="1"/>
  <c r="Q506" i="9"/>
  <c r="Q507" i="9"/>
  <c r="Q508" i="9"/>
  <c r="Q509" i="9"/>
  <c r="Q510" i="9"/>
  <c r="Q511" i="9"/>
  <c r="Q512" i="9"/>
  <c r="S512" i="9" s="1"/>
  <c r="Q513" i="9"/>
  <c r="S513" i="9" s="1"/>
  <c r="Q514" i="9"/>
  <c r="S514" i="9" s="1"/>
  <c r="Q515" i="9"/>
  <c r="Q516" i="9"/>
  <c r="S516" i="9" s="1"/>
  <c r="Q517" i="9"/>
  <c r="Q518" i="9"/>
  <c r="Q519" i="9"/>
  <c r="Q520" i="9"/>
  <c r="S520" i="9" s="1"/>
  <c r="Q521" i="9"/>
  <c r="Q522" i="9"/>
  <c r="S522" i="9" s="1"/>
  <c r="Q523" i="9"/>
  <c r="Q524" i="9"/>
  <c r="S524" i="9" s="1"/>
  <c r="Q525" i="9"/>
  <c r="Q526" i="9"/>
  <c r="S526" i="9" s="1"/>
  <c r="Q527" i="9"/>
  <c r="Q528" i="9"/>
  <c r="Q529" i="9"/>
  <c r="Q530" i="9"/>
  <c r="Q531" i="9"/>
  <c r="S531" i="9" s="1"/>
  <c r="Q532" i="9"/>
  <c r="Q533" i="9"/>
  <c r="Q534" i="9"/>
  <c r="Q535" i="9"/>
  <c r="Q536" i="9"/>
  <c r="S536" i="9" s="1"/>
  <c r="Q537" i="9"/>
  <c r="Q538" i="9"/>
  <c r="Q539" i="9"/>
  <c r="S539" i="9" s="1"/>
  <c r="Q540" i="9"/>
  <c r="S540" i="9" s="1"/>
  <c r="Q541" i="9"/>
  <c r="S541" i="9" s="1"/>
  <c r="Q542" i="9"/>
  <c r="S542" i="9" s="1"/>
  <c r="Q543" i="9"/>
  <c r="Q544" i="9"/>
  <c r="Q545" i="9"/>
  <c r="Q546" i="9"/>
  <c r="S546" i="9" s="1"/>
  <c r="Q547" i="9"/>
  <c r="S547" i="9" s="1"/>
  <c r="Q551" i="9"/>
  <c r="S551" i="9" s="1"/>
  <c r="Q552" i="9"/>
  <c r="S552" i="9" s="1"/>
  <c r="Q553" i="9"/>
  <c r="S553" i="9" s="1"/>
  <c r="Q554" i="9"/>
  <c r="S554" i="9" s="1"/>
  <c r="Q555" i="9"/>
  <c r="S555" i="9" s="1"/>
  <c r="Q556" i="9"/>
  <c r="S556" i="9" s="1"/>
  <c r="Q557" i="9"/>
  <c r="S557" i="9" s="1"/>
  <c r="Q558" i="9"/>
  <c r="S558" i="9" s="1"/>
  <c r="Q559" i="9"/>
  <c r="S559" i="9" s="1"/>
  <c r="Q560" i="9"/>
  <c r="S560" i="9" s="1"/>
  <c r="Q561" i="9"/>
  <c r="S561" i="9" s="1"/>
  <c r="Q562" i="9"/>
  <c r="S562" i="9" s="1"/>
  <c r="Q563" i="9"/>
  <c r="S563" i="9" s="1"/>
  <c r="Q564" i="9"/>
  <c r="S564" i="9" s="1"/>
  <c r="Q565" i="9"/>
  <c r="S565" i="9" s="1"/>
  <c r="Q566" i="9"/>
  <c r="S566" i="9" s="1"/>
  <c r="Q567" i="9"/>
  <c r="S567" i="9" s="1"/>
  <c r="Q568" i="9"/>
  <c r="S568" i="9" s="1"/>
  <c r="Q12" i="8"/>
  <c r="S12" i="8" s="1"/>
  <c r="Q13" i="8"/>
  <c r="Q14" i="8"/>
  <c r="S14" i="8" s="1"/>
  <c r="Q15" i="8"/>
  <c r="S15" i="8" s="1"/>
  <c r="Q16" i="8"/>
  <c r="S16" i="8" s="1"/>
  <c r="Q17" i="8"/>
  <c r="Q21" i="8"/>
  <c r="Q22" i="8"/>
  <c r="S22" i="8" s="1"/>
  <c r="Q23" i="8"/>
  <c r="S23" i="8" s="1"/>
  <c r="Q24" i="8"/>
  <c r="S24" i="8" s="1"/>
  <c r="Q32" i="8"/>
  <c r="S32" i="8" s="1"/>
  <c r="Q33" i="8"/>
  <c r="Q34" i="8"/>
  <c r="S34" i="8" s="1"/>
  <c r="Q35" i="8"/>
  <c r="S35" i="8" s="1"/>
  <c r="Q36" i="8"/>
  <c r="S36" i="8" s="1"/>
  <c r="Q37" i="8"/>
  <c r="Q38" i="8"/>
  <c r="Q39" i="8"/>
  <c r="S39" i="8" s="1"/>
  <c r="Q40" i="8"/>
  <c r="S40" i="8" s="1"/>
  <c r="Q41" i="8"/>
  <c r="S41" i="8" s="1"/>
  <c r="Q42" i="8"/>
  <c r="Q43" i="8"/>
  <c r="S43" i="8" s="1"/>
  <c r="Q44" i="8"/>
  <c r="S44" i="8" s="1"/>
  <c r="Q45" i="8"/>
  <c r="S45" i="8" s="1"/>
  <c r="Q46" i="8"/>
  <c r="S46" i="8" s="1"/>
  <c r="Q47" i="8"/>
  <c r="S47" i="8" s="1"/>
  <c r="Q48" i="8"/>
  <c r="S48" i="8" s="1"/>
  <c r="Q49" i="8"/>
  <c r="Q50" i="8"/>
  <c r="S50" i="8" s="1"/>
  <c r="Q51" i="8"/>
  <c r="S51" i="8" s="1"/>
  <c r="Q52" i="8"/>
  <c r="S52" i="8" s="1"/>
  <c r="Q53" i="8"/>
  <c r="S53" i="8" s="1"/>
  <c r="Q54" i="8"/>
  <c r="Q55" i="8"/>
  <c r="S55" i="8" s="1"/>
  <c r="Q56" i="8"/>
  <c r="S56" i="8" s="1"/>
  <c r="Q57" i="8"/>
  <c r="Q58" i="8"/>
  <c r="S58" i="8" s="1"/>
  <c r="Q59" i="8"/>
  <c r="S59" i="8" s="1"/>
  <c r="Q60" i="8"/>
  <c r="S60" i="8" s="1"/>
  <c r="Q61" i="8"/>
  <c r="S61" i="8" s="1"/>
  <c r="Q62" i="8"/>
  <c r="S62" i="8" s="1"/>
  <c r="Q63" i="8"/>
  <c r="S63" i="8" s="1"/>
  <c r="Q65" i="8"/>
  <c r="S65" i="8" s="1"/>
  <c r="Q66" i="8"/>
  <c r="Q67" i="8"/>
  <c r="S67" i="8" s="1"/>
  <c r="Q68" i="8"/>
  <c r="S68" i="8" s="1"/>
  <c r="Q69" i="8"/>
  <c r="S69" i="8" s="1"/>
  <c r="Q70" i="8"/>
  <c r="S70" i="8" s="1"/>
  <c r="Q71" i="8"/>
  <c r="Q72" i="8"/>
  <c r="S72" i="8" s="1"/>
  <c r="Q73" i="8"/>
  <c r="S73" i="8" s="1"/>
  <c r="Q74" i="8"/>
  <c r="Q75" i="8"/>
  <c r="Q76" i="8"/>
  <c r="S76" i="8" s="1"/>
  <c r="Q77" i="8"/>
  <c r="S77" i="8" s="1"/>
  <c r="Q78" i="8"/>
  <c r="S78" i="8" s="1"/>
  <c r="Q79" i="8"/>
  <c r="Q80" i="8"/>
  <c r="S80" i="8" s="1"/>
  <c r="Q81" i="8"/>
  <c r="S81" i="8" s="1"/>
  <c r="Q82" i="8"/>
  <c r="Q83" i="8"/>
  <c r="S83" i="8" s="1"/>
  <c r="Q84" i="8"/>
  <c r="S84" i="8" s="1"/>
  <c r="Q85" i="8"/>
  <c r="S85" i="8" s="1"/>
  <c r="Q86" i="8"/>
  <c r="Q87" i="8"/>
  <c r="Q88" i="8"/>
  <c r="S88" i="8" s="1"/>
  <c r="Q89" i="8"/>
  <c r="S89" i="8" s="1"/>
  <c r="Q90" i="8"/>
  <c r="S90" i="8" s="1"/>
  <c r="Q91" i="8"/>
  <c r="Q92" i="8"/>
  <c r="S92" i="8" s="1"/>
  <c r="Q93" i="8"/>
  <c r="S93" i="8" s="1"/>
  <c r="Q94" i="8"/>
  <c r="S94" i="8" s="1"/>
  <c r="Q95" i="8"/>
  <c r="Q96" i="8"/>
  <c r="S96" i="8" s="1"/>
  <c r="Q97" i="8"/>
  <c r="S97" i="8" s="1"/>
  <c r="Q98" i="8"/>
  <c r="Q99" i="8"/>
  <c r="S99" i="8" s="1"/>
  <c r="Q100" i="8"/>
  <c r="S100" i="8" s="1"/>
  <c r="Q101" i="8"/>
  <c r="S101" i="8" s="1"/>
  <c r="Q102" i="8"/>
  <c r="S102" i="8" s="1"/>
  <c r="Q103" i="8"/>
  <c r="Q104" i="8"/>
  <c r="S104" i="8" s="1"/>
  <c r="Q105" i="8"/>
  <c r="S105" i="8" s="1"/>
  <c r="Q106" i="8"/>
  <c r="S106" i="8" s="1"/>
  <c r="Q107" i="8"/>
  <c r="S107" i="8" s="1"/>
  <c r="Q108" i="8"/>
  <c r="S108" i="8" s="1"/>
  <c r="Q109" i="8"/>
  <c r="S109" i="8" s="1"/>
  <c r="Q110" i="8"/>
  <c r="S110" i="8" s="1"/>
  <c r="Q111" i="8"/>
  <c r="Q112" i="8"/>
  <c r="S112" i="8" s="1"/>
  <c r="Q113" i="8"/>
  <c r="S113" i="8" s="1"/>
  <c r="Q114" i="8"/>
  <c r="Q115" i="8"/>
  <c r="S115" i="8" s="1"/>
  <c r="Q116" i="8"/>
  <c r="S116" i="8" s="1"/>
  <c r="Q117" i="8"/>
  <c r="S117" i="8" s="1"/>
  <c r="Q118" i="8"/>
  <c r="S118" i="8" s="1"/>
  <c r="Q119" i="8"/>
  <c r="Q120" i="8"/>
  <c r="S120" i="8" s="1"/>
  <c r="Q121" i="8"/>
  <c r="S121" i="8" s="1"/>
  <c r="Q123" i="8"/>
  <c r="R269" i="2"/>
  <c r="S269" i="2"/>
  <c r="R270" i="2"/>
  <c r="S270" i="2"/>
  <c r="R271" i="2"/>
  <c r="S271" i="2"/>
  <c r="R272" i="2"/>
  <c r="S272" i="2"/>
  <c r="R273" i="2"/>
  <c r="S273" i="2"/>
  <c r="R274" i="2"/>
  <c r="S274" i="2"/>
  <c r="R275" i="2"/>
  <c r="S275" i="2"/>
  <c r="R276" i="2"/>
  <c r="S276" i="2"/>
  <c r="R277" i="2"/>
  <c r="S277" i="2"/>
  <c r="R435" i="2"/>
  <c r="S435" i="2"/>
  <c r="R436" i="2"/>
  <c r="S436" i="2"/>
  <c r="R437" i="2"/>
  <c r="S437" i="2"/>
  <c r="R438" i="2"/>
  <c r="S438" i="2"/>
  <c r="R439" i="2"/>
  <c r="S439" i="2"/>
  <c r="E142" i="10" l="1"/>
  <c r="R17" i="8"/>
  <c r="S17" i="8"/>
  <c r="R13" i="8"/>
  <c r="S13" i="8"/>
  <c r="R543" i="9"/>
  <c r="S543" i="9"/>
  <c r="R535" i="9"/>
  <c r="S535" i="9"/>
  <c r="R527" i="9"/>
  <c r="S527" i="9"/>
  <c r="R523" i="9"/>
  <c r="S523" i="9"/>
  <c r="R519" i="9"/>
  <c r="S519" i="9"/>
  <c r="R515" i="9"/>
  <c r="S515" i="9"/>
  <c r="R511" i="9"/>
  <c r="S511" i="9"/>
  <c r="R507" i="9"/>
  <c r="S507" i="9"/>
  <c r="R119" i="8"/>
  <c r="S119" i="8"/>
  <c r="R111" i="8"/>
  <c r="S111" i="8"/>
  <c r="R103" i="8"/>
  <c r="S103" i="8"/>
  <c r="R95" i="8"/>
  <c r="S95" i="8"/>
  <c r="R91" i="8"/>
  <c r="S91" i="8"/>
  <c r="R87" i="8"/>
  <c r="S87" i="8"/>
  <c r="R79" i="8"/>
  <c r="S79" i="8"/>
  <c r="R75" i="8"/>
  <c r="S75" i="8"/>
  <c r="R71" i="8"/>
  <c r="S71" i="8"/>
  <c r="R54" i="8"/>
  <c r="S54" i="8"/>
  <c r="R42" i="8"/>
  <c r="S42" i="8"/>
  <c r="R38" i="8"/>
  <c r="S38" i="8"/>
  <c r="R538" i="9"/>
  <c r="S538" i="9"/>
  <c r="R534" i="9"/>
  <c r="S534" i="9"/>
  <c r="R530" i="9"/>
  <c r="S530" i="9"/>
  <c r="R518" i="9"/>
  <c r="S518" i="9"/>
  <c r="R510" i="9"/>
  <c r="S510" i="9"/>
  <c r="R506" i="9"/>
  <c r="S506" i="9"/>
  <c r="R123" i="8"/>
  <c r="S123" i="8"/>
  <c r="R114" i="8"/>
  <c r="S114" i="8"/>
  <c r="R98" i="8"/>
  <c r="S98" i="8"/>
  <c r="R86" i="8"/>
  <c r="S86" i="8"/>
  <c r="R82" i="8"/>
  <c r="S82" i="8"/>
  <c r="R74" i="8"/>
  <c r="S74" i="8"/>
  <c r="R66" i="8"/>
  <c r="S66" i="8"/>
  <c r="R57" i="8"/>
  <c r="S57" i="8"/>
  <c r="R49" i="8"/>
  <c r="S49" i="8"/>
  <c r="R37" i="8"/>
  <c r="S37" i="8"/>
  <c r="R33" i="8"/>
  <c r="S33" i="8"/>
  <c r="R545" i="9"/>
  <c r="S545" i="9"/>
  <c r="R537" i="9"/>
  <c r="S537" i="9"/>
  <c r="R533" i="9"/>
  <c r="S533" i="9"/>
  <c r="R529" i="9"/>
  <c r="S529" i="9"/>
  <c r="R525" i="9"/>
  <c r="S525" i="9"/>
  <c r="R521" i="9"/>
  <c r="S521" i="9"/>
  <c r="R517" i="9"/>
  <c r="S517" i="9"/>
  <c r="R509" i="9"/>
  <c r="S509" i="9"/>
  <c r="R21" i="8"/>
  <c r="S21" i="8"/>
  <c r="R544" i="9"/>
  <c r="S544" i="9"/>
  <c r="R532" i="9"/>
  <c r="S532" i="9"/>
  <c r="R528" i="9"/>
  <c r="S528" i="9"/>
  <c r="R508" i="9"/>
  <c r="S508" i="9"/>
  <c r="R27" i="7"/>
  <c r="S27" i="7"/>
  <c r="R21" i="7"/>
  <c r="S21" i="7"/>
  <c r="R13" i="7"/>
  <c r="S13" i="7"/>
  <c r="R43" i="7"/>
  <c r="S43" i="7"/>
  <c r="R22" i="7"/>
  <c r="S22" i="7"/>
  <c r="R18" i="7"/>
  <c r="S18" i="7"/>
  <c r="R45" i="7"/>
  <c r="S45" i="7"/>
  <c r="R26" i="7"/>
  <c r="S26" i="7"/>
  <c r="R20" i="7"/>
  <c r="S20" i="7"/>
  <c r="R16" i="7"/>
  <c r="S16" i="7"/>
  <c r="R12" i="7"/>
  <c r="S12" i="7"/>
  <c r="R44" i="7"/>
  <c r="S44" i="7"/>
  <c r="R25" i="7"/>
  <c r="S25" i="7"/>
  <c r="R19" i="7"/>
  <c r="S19" i="7"/>
  <c r="R15" i="7"/>
  <c r="S15" i="7"/>
  <c r="C142" i="10"/>
  <c r="D98" i="11"/>
  <c r="R567" i="9"/>
  <c r="R563" i="9"/>
  <c r="R559" i="9"/>
  <c r="R551" i="9"/>
  <c r="R520" i="9"/>
  <c r="R512" i="9"/>
  <c r="R475" i="9"/>
  <c r="R440" i="9"/>
  <c r="R392" i="9"/>
  <c r="R384" i="9"/>
  <c r="R377" i="9"/>
  <c r="R365" i="9"/>
  <c r="R357" i="9"/>
  <c r="R343" i="9"/>
  <c r="R331" i="9"/>
  <c r="R323" i="9"/>
  <c r="R319" i="9"/>
  <c r="R311" i="9"/>
  <c r="R307" i="9"/>
  <c r="R299" i="9"/>
  <c r="R295" i="9"/>
  <c r="R287" i="9"/>
  <c r="R279" i="9"/>
  <c r="R275" i="9"/>
  <c r="R263" i="9"/>
  <c r="R259" i="9"/>
  <c r="R255" i="9"/>
  <c r="R246" i="9"/>
  <c r="R242" i="9"/>
  <c r="R234" i="9"/>
  <c r="R230" i="9"/>
  <c r="R226" i="9"/>
  <c r="R218" i="9"/>
  <c r="R201" i="9"/>
  <c r="S201" i="9"/>
  <c r="R193" i="9"/>
  <c r="S193" i="9"/>
  <c r="R185" i="9"/>
  <c r="S185" i="9"/>
  <c r="R153" i="9"/>
  <c r="S153" i="9"/>
  <c r="D175" i="11" s="1"/>
  <c r="R132" i="9"/>
  <c r="S132" i="9"/>
  <c r="R116" i="9"/>
  <c r="S116" i="9"/>
  <c r="R98" i="9"/>
  <c r="S98" i="9"/>
  <c r="R82" i="9"/>
  <c r="S82" i="9"/>
  <c r="R63" i="9"/>
  <c r="S63" i="9"/>
  <c r="R55" i="9"/>
  <c r="S55" i="9"/>
  <c r="R47" i="9"/>
  <c r="S47" i="9"/>
  <c r="R15" i="9"/>
  <c r="S15" i="9"/>
  <c r="R421" i="9"/>
  <c r="R417" i="9"/>
  <c r="R376" i="9"/>
  <c r="R372" i="9"/>
  <c r="R368" i="9"/>
  <c r="R360" i="9"/>
  <c r="R352" i="9"/>
  <c r="R348" i="9"/>
  <c r="R338" i="9"/>
  <c r="R326" i="9"/>
  <c r="R318" i="9"/>
  <c r="R306" i="9"/>
  <c r="R274" i="9"/>
  <c r="R266" i="9"/>
  <c r="R241" i="9"/>
  <c r="R233" i="9"/>
  <c r="R213" i="9"/>
  <c r="S213" i="9"/>
  <c r="R184" i="9"/>
  <c r="S184" i="9"/>
  <c r="R176" i="9"/>
  <c r="S176" i="9"/>
  <c r="R168" i="9"/>
  <c r="S168" i="9"/>
  <c r="R160" i="9"/>
  <c r="S160" i="9"/>
  <c r="R139" i="9"/>
  <c r="S139" i="9"/>
  <c r="R135" i="9"/>
  <c r="S135" i="9"/>
  <c r="R131" i="9"/>
  <c r="S131" i="9"/>
  <c r="R115" i="9"/>
  <c r="S115" i="9"/>
  <c r="R105" i="9"/>
  <c r="S105" i="9"/>
  <c r="R93" i="9"/>
  <c r="S93" i="9"/>
  <c r="R81" i="9"/>
  <c r="S81" i="9"/>
  <c r="R58" i="9"/>
  <c r="S58" i="9"/>
  <c r="R38" i="9"/>
  <c r="S38" i="9"/>
  <c r="R26" i="9"/>
  <c r="S26" i="9"/>
  <c r="R542" i="9"/>
  <c r="R497" i="9"/>
  <c r="R493" i="9"/>
  <c r="R489" i="9"/>
  <c r="R485" i="9"/>
  <c r="R477" i="9"/>
  <c r="R473" i="9"/>
  <c r="R465" i="9"/>
  <c r="R461" i="9"/>
  <c r="R457" i="9"/>
  <c r="R453" i="9"/>
  <c r="R444" i="9"/>
  <c r="R438" i="9"/>
  <c r="R420" i="9"/>
  <c r="R416" i="9"/>
  <c r="R394" i="9"/>
  <c r="R386" i="9"/>
  <c r="R224" i="9"/>
  <c r="R208" i="9"/>
  <c r="S208" i="9"/>
  <c r="R204" i="9"/>
  <c r="S204" i="9"/>
  <c r="R199" i="9"/>
  <c r="S199" i="9"/>
  <c r="R191" i="9"/>
  <c r="S191" i="9"/>
  <c r="R167" i="9"/>
  <c r="S167" i="9"/>
  <c r="R159" i="9"/>
  <c r="S159" i="9"/>
  <c r="R138" i="9"/>
  <c r="S138" i="9"/>
  <c r="R130" i="9"/>
  <c r="S130" i="9"/>
  <c r="R122" i="9"/>
  <c r="S122" i="9"/>
  <c r="R100" i="9"/>
  <c r="S100" i="9"/>
  <c r="R96" i="9"/>
  <c r="S96" i="9"/>
  <c r="R88" i="9"/>
  <c r="S88" i="9"/>
  <c r="R72" i="9"/>
  <c r="S72" i="9"/>
  <c r="R65" i="9"/>
  <c r="S65" i="9"/>
  <c r="J172" i="11" s="1"/>
  <c r="R61" i="9"/>
  <c r="S61" i="9"/>
  <c r="R57" i="9"/>
  <c r="S57" i="9"/>
  <c r="R53" i="9"/>
  <c r="S53" i="9"/>
  <c r="R29" i="9"/>
  <c r="S29" i="9"/>
  <c r="R568" i="9"/>
  <c r="R564" i="9"/>
  <c r="R552" i="9"/>
  <c r="R505" i="9"/>
  <c r="R500" i="9"/>
  <c r="R492" i="9"/>
  <c r="R480" i="9"/>
  <c r="R472" i="9"/>
  <c r="R468" i="9"/>
  <c r="R460" i="9"/>
  <c r="R447" i="9"/>
  <c r="R437" i="9"/>
  <c r="R397" i="9"/>
  <c r="R389" i="9"/>
  <c r="R381" i="9"/>
  <c r="R378" i="9"/>
  <c r="R370" i="9"/>
  <c r="R354" i="9"/>
  <c r="R344" i="9"/>
  <c r="R336" i="9"/>
  <c r="R328" i="9"/>
  <c r="R320" i="9"/>
  <c r="R312" i="9"/>
  <c r="R304" i="9"/>
  <c r="R296" i="9"/>
  <c r="R280" i="9"/>
  <c r="R272" i="9"/>
  <c r="R264" i="9"/>
  <c r="R247" i="9"/>
  <c r="R239" i="9"/>
  <c r="R231" i="9"/>
  <c r="E67" i="11"/>
  <c r="G67" i="11"/>
  <c r="M67" i="11"/>
  <c r="I67" i="11"/>
  <c r="N67" i="11"/>
  <c r="O67" i="11" s="1"/>
  <c r="K67" i="11"/>
  <c r="J98" i="11"/>
  <c r="E63" i="11"/>
  <c r="N63" i="11"/>
  <c r="O63" i="11" s="1"/>
  <c r="M63" i="11"/>
  <c r="G63" i="11"/>
  <c r="K63" i="11"/>
  <c r="I63" i="11"/>
  <c r="H98" i="11"/>
  <c r="N145" i="11"/>
  <c r="O145" i="11" s="1"/>
  <c r="F98" i="11"/>
  <c r="L98" i="11"/>
  <c r="L126" i="11"/>
  <c r="J126" i="11"/>
  <c r="H126" i="11"/>
  <c r="F126" i="11"/>
  <c r="K59" i="11"/>
  <c r="N59" i="11"/>
  <c r="O59" i="11" s="1"/>
  <c r="M59" i="11"/>
  <c r="I59" i="11"/>
  <c r="G59" i="11"/>
  <c r="E59" i="11"/>
  <c r="E71" i="11"/>
  <c r="K71" i="11"/>
  <c r="G71" i="11"/>
  <c r="N71" i="11"/>
  <c r="O71" i="11" s="1"/>
  <c r="I71" i="11"/>
  <c r="M71" i="11"/>
  <c r="N43" i="11"/>
  <c r="R182" i="9"/>
  <c r="R298" i="9"/>
  <c r="R291" i="9"/>
  <c r="R228" i="9"/>
  <c r="R158" i="9"/>
  <c r="R142" i="9"/>
  <c r="R92" i="9"/>
  <c r="R89" i="9"/>
  <c r="R522" i="9"/>
  <c r="R50" i="9"/>
  <c r="R44" i="9"/>
  <c r="R107" i="8"/>
  <c r="R53" i="8"/>
  <c r="R50" i="8"/>
  <c r="R536" i="9"/>
  <c r="R491" i="9"/>
  <c r="R484" i="9"/>
  <c r="R327" i="9"/>
  <c r="R180" i="9"/>
  <c r="R252" i="9"/>
  <c r="R209" i="9"/>
  <c r="R156" i="9"/>
  <c r="R113" i="9"/>
  <c r="R110" i="9"/>
  <c r="R77" i="9"/>
  <c r="R22" i="9"/>
  <c r="R109" i="8"/>
  <c r="R23" i="8"/>
  <c r="R85" i="8"/>
  <c r="R78" i="8"/>
  <c r="R32" i="8"/>
  <c r="R541" i="9"/>
  <c r="R524" i="9"/>
  <c r="R502" i="9"/>
  <c r="R373" i="9"/>
  <c r="R267" i="9"/>
  <c r="R261" i="9"/>
  <c r="R212" i="9"/>
  <c r="R207" i="9"/>
  <c r="R200" i="9"/>
  <c r="R163" i="9"/>
  <c r="R79" i="9"/>
  <c r="R14" i="9"/>
  <c r="R101" i="8"/>
  <c r="R94" i="8"/>
  <c r="R69" i="8"/>
  <c r="R48" i="8"/>
  <c r="R41" i="8"/>
  <c r="R118" i="8"/>
  <c r="R115" i="8"/>
  <c r="R102" i="8"/>
  <c r="R90" i="8"/>
  <c r="R67" i="8"/>
  <c r="R46" i="8"/>
  <c r="R36" i="8"/>
  <c r="R16" i="8"/>
  <c r="R479" i="9"/>
  <c r="R455" i="9"/>
  <c r="R385" i="9"/>
  <c r="R361" i="9"/>
  <c r="R317" i="9"/>
  <c r="R315" i="9"/>
  <c r="R285" i="9"/>
  <c r="R250" i="9"/>
  <c r="R174" i="9"/>
  <c r="R172" i="9"/>
  <c r="R123" i="9"/>
  <c r="R121" i="9"/>
  <c r="R119" i="9"/>
  <c r="R87" i="9"/>
  <c r="R42" i="9"/>
  <c r="R20" i="9"/>
  <c r="D48" i="10"/>
  <c r="R113" i="8"/>
  <c r="R106" i="8"/>
  <c r="R70" i="8"/>
  <c r="R65" i="8"/>
  <c r="R61" i="8"/>
  <c r="R58" i="8"/>
  <c r="R22" i="8"/>
  <c r="R499" i="9"/>
  <c r="R496" i="9"/>
  <c r="R470" i="9"/>
  <c r="R467" i="9"/>
  <c r="R449" i="9"/>
  <c r="R393" i="9"/>
  <c r="R309" i="9"/>
  <c r="R301" i="9"/>
  <c r="R283" i="9"/>
  <c r="R269" i="9"/>
  <c r="R221" i="9"/>
  <c r="R215" i="9"/>
  <c r="R152" i="9"/>
  <c r="R126" i="9"/>
  <c r="R30" i="9"/>
  <c r="R18" i="9"/>
  <c r="R554" i="9"/>
  <c r="R531" i="9"/>
  <c r="R435" i="9"/>
  <c r="R422" i="9"/>
  <c r="R383" i="9"/>
  <c r="R293" i="9"/>
  <c r="R244" i="9"/>
  <c r="R236" i="9"/>
  <c r="R195" i="9"/>
  <c r="R179" i="9"/>
  <c r="R137" i="9"/>
  <c r="R73" i="9"/>
  <c r="R97" i="8"/>
  <c r="R93" i="8"/>
  <c r="R83" i="8"/>
  <c r="R62" i="8"/>
  <c r="R60" i="8"/>
  <c r="R44" i="8"/>
  <c r="R12" i="8"/>
  <c r="R562" i="9"/>
  <c r="R487" i="9"/>
  <c r="R482" i="9"/>
  <c r="R474" i="9"/>
  <c r="R462" i="9"/>
  <c r="R277" i="9"/>
  <c r="R34" i="9"/>
  <c r="R117" i="8"/>
  <c r="R110" i="8"/>
  <c r="R99" i="8"/>
  <c r="R81" i="8"/>
  <c r="R77" i="8"/>
  <c r="R52" i="8"/>
  <c r="R45" i="8"/>
  <c r="R34" i="8"/>
  <c r="R351" i="9"/>
  <c r="R566" i="9"/>
  <c r="R353" i="9"/>
  <c r="R271" i="9"/>
  <c r="R76" i="9"/>
  <c r="R31" i="9"/>
  <c r="R456" i="9"/>
  <c r="R450" i="9"/>
  <c r="R436" i="9"/>
  <c r="R369" i="9"/>
  <c r="R334" i="9"/>
  <c r="R205" i="9"/>
  <c r="R127" i="9"/>
  <c r="R498" i="9"/>
  <c r="R486" i="9"/>
  <c r="R481" i="9"/>
  <c r="R476" i="9"/>
  <c r="R362" i="9"/>
  <c r="R339" i="9"/>
  <c r="R303" i="9"/>
  <c r="R238" i="9"/>
  <c r="R217" i="9"/>
  <c r="R171" i="9"/>
  <c r="R143" i="9"/>
  <c r="R101" i="9"/>
  <c r="R556" i="9"/>
  <c r="R488" i="9"/>
  <c r="R483" i="9"/>
  <c r="R471" i="9"/>
  <c r="R464" i="9"/>
  <c r="R451" i="9"/>
  <c r="R446" i="9"/>
  <c r="R439" i="9"/>
  <c r="R408" i="9"/>
  <c r="R356" i="9"/>
  <c r="R342" i="9"/>
  <c r="R288" i="9"/>
  <c r="R256" i="9"/>
  <c r="R192" i="9"/>
  <c r="R175" i="9"/>
  <c r="R164" i="9"/>
  <c r="R161" i="9"/>
  <c r="R150" i="9"/>
  <c r="R104" i="9"/>
  <c r="R62" i="9"/>
  <c r="R46" i="9"/>
  <c r="R41" i="9"/>
  <c r="R36" i="9"/>
  <c r="R21" i="9"/>
  <c r="R555" i="9"/>
  <c r="R503" i="9"/>
  <c r="R380" i="9"/>
  <c r="R314" i="9"/>
  <c r="R282" i="9"/>
  <c r="R249" i="9"/>
  <c r="R124" i="9"/>
  <c r="R97" i="9"/>
  <c r="R12" i="9"/>
  <c r="R469" i="9"/>
  <c r="R419" i="9"/>
  <c r="R560" i="9"/>
  <c r="R558" i="9"/>
  <c r="R526" i="9"/>
  <c r="R514" i="9"/>
  <c r="R501" i="9"/>
  <c r="R494" i="9"/>
  <c r="R466" i="9"/>
  <c r="R459" i="9"/>
  <c r="R454" i="9"/>
  <c r="R448" i="9"/>
  <c r="R443" i="9"/>
  <c r="R434" i="9"/>
  <c r="R388" i="9"/>
  <c r="R335" i="9"/>
  <c r="R322" i="9"/>
  <c r="R290" i="9"/>
  <c r="R258" i="9"/>
  <c r="R196" i="9"/>
  <c r="R134" i="9"/>
  <c r="R111" i="9"/>
  <c r="R103" i="9"/>
  <c r="R90" i="9"/>
  <c r="R85" i="9"/>
  <c r="R71" i="9"/>
  <c r="R25" i="9"/>
  <c r="R546" i="9"/>
  <c r="R540" i="9"/>
  <c r="R516" i="9"/>
  <c r="R495" i="9"/>
  <c r="R490" i="9"/>
  <c r="R478" i="9"/>
  <c r="R463" i="9"/>
  <c r="R458" i="9"/>
  <c r="R445" i="9"/>
  <c r="R399" i="9"/>
  <c r="R359" i="9"/>
  <c r="R349" i="9"/>
  <c r="R333" i="9"/>
  <c r="R225" i="9"/>
  <c r="R223" i="9"/>
  <c r="R188" i="9"/>
  <c r="R169" i="9"/>
  <c r="R66" i="9"/>
  <c r="R54" i="9"/>
  <c r="R52" i="9"/>
  <c r="R33" i="9"/>
  <c r="R391" i="9"/>
  <c r="R367" i="9"/>
  <c r="R325" i="9"/>
  <c r="R37" i="9"/>
  <c r="R23" i="9"/>
  <c r="L163" i="11"/>
  <c r="R121" i="8"/>
  <c r="R105" i="8"/>
  <c r="R89" i="8"/>
  <c r="R73" i="8"/>
  <c r="R56" i="8"/>
  <c r="R40" i="8"/>
  <c r="R15" i="8"/>
  <c r="D18" i="10"/>
  <c r="D33" i="11"/>
  <c r="H33" i="11"/>
  <c r="L33" i="11"/>
  <c r="F33" i="11"/>
  <c r="J33" i="11"/>
  <c r="F31" i="11"/>
  <c r="L31" i="11"/>
  <c r="H31" i="11"/>
  <c r="D31" i="11"/>
  <c r="J31" i="11"/>
  <c r="J137" i="11"/>
  <c r="K137" i="11" s="1"/>
  <c r="D137" i="11"/>
  <c r="E137" i="11" s="1"/>
  <c r="L137" i="11"/>
  <c r="M137" i="11" s="1"/>
  <c r="F137" i="11"/>
  <c r="G137" i="11" s="1"/>
  <c r="H137" i="11"/>
  <c r="I137" i="11" s="1"/>
  <c r="J133" i="11"/>
  <c r="K133" i="11" s="1"/>
  <c r="D133" i="11"/>
  <c r="L133" i="11"/>
  <c r="F133" i="11"/>
  <c r="G133" i="11" s="1"/>
  <c r="H133" i="11"/>
  <c r="I133" i="11" s="1"/>
  <c r="H132" i="11"/>
  <c r="J132" i="11"/>
  <c r="D132" i="11"/>
  <c r="F132" i="11"/>
  <c r="R120" i="8"/>
  <c r="R116" i="8"/>
  <c r="R112" i="8"/>
  <c r="R108" i="8"/>
  <c r="R104" i="8"/>
  <c r="R100" i="8"/>
  <c r="R96" i="8"/>
  <c r="R92" i="8"/>
  <c r="R88" i="8"/>
  <c r="R84" i="8"/>
  <c r="R80" i="8"/>
  <c r="R76" i="8"/>
  <c r="R72" i="8"/>
  <c r="R68" i="8"/>
  <c r="R63" i="8"/>
  <c r="R59" i="8"/>
  <c r="R55" i="8"/>
  <c r="R51" i="8"/>
  <c r="R47" i="8"/>
  <c r="R43" i="8"/>
  <c r="R39" i="8"/>
  <c r="R35" i="8"/>
  <c r="R24" i="8"/>
  <c r="R14" i="8"/>
  <c r="R565" i="9"/>
  <c r="R561" i="9"/>
  <c r="R557" i="9"/>
  <c r="R553" i="9"/>
  <c r="R547" i="9"/>
  <c r="R539" i="9"/>
  <c r="R513" i="9"/>
  <c r="R418" i="9"/>
  <c r="R415" i="9"/>
  <c r="R396" i="9"/>
  <c r="R390" i="9"/>
  <c r="R379" i="9"/>
  <c r="R375" i="9"/>
  <c r="R364" i="9"/>
  <c r="R358" i="9"/>
  <c r="R345" i="9"/>
  <c r="R341" i="9"/>
  <c r="R330" i="9"/>
  <c r="R324" i="9"/>
  <c r="R313" i="9"/>
  <c r="R305" i="9"/>
  <c r="R297" i="9"/>
  <c r="R289" i="9"/>
  <c r="R281" i="9"/>
  <c r="R273" i="9"/>
  <c r="R265" i="9"/>
  <c r="R257" i="9"/>
  <c r="R248" i="9"/>
  <c r="R240" i="9"/>
  <c r="R232" i="9"/>
  <c r="R219" i="9"/>
  <c r="R210" i="9"/>
  <c r="R206" i="9"/>
  <c r="R197" i="9"/>
  <c r="R183" i="9"/>
  <c r="R154" i="9"/>
  <c r="R140" i="9"/>
  <c r="R136" i="9"/>
  <c r="R128" i="9"/>
  <c r="R114" i="9"/>
  <c r="R83" i="9"/>
  <c r="R74" i="9"/>
  <c r="R67" i="9"/>
  <c r="R59" i="9"/>
  <c r="R45" i="9"/>
  <c r="R16" i="9"/>
  <c r="H28" i="11"/>
  <c r="J28" i="11"/>
  <c r="F28" i="11"/>
  <c r="L28" i="11"/>
  <c r="L26" i="11"/>
  <c r="F26" i="11"/>
  <c r="H26" i="11"/>
  <c r="J26" i="11"/>
  <c r="D8" i="11"/>
  <c r="H8" i="11"/>
  <c r="L8" i="11"/>
  <c r="F8" i="11"/>
  <c r="J8" i="11"/>
  <c r="H24" i="11"/>
  <c r="L24" i="11"/>
  <c r="F24" i="11"/>
  <c r="J24" i="11"/>
  <c r="J49" i="11"/>
  <c r="D49" i="11"/>
  <c r="L49" i="11"/>
  <c r="L50" i="11" s="1"/>
  <c r="F49" i="11"/>
  <c r="H49" i="11"/>
  <c r="F157" i="11"/>
  <c r="H157" i="11"/>
  <c r="J157" i="11"/>
  <c r="D157" i="11"/>
  <c r="L157" i="11"/>
  <c r="R382" i="9"/>
  <c r="R371" i="9"/>
  <c r="R350" i="9"/>
  <c r="R337" i="9"/>
  <c r="R316" i="9"/>
  <c r="R308" i="9"/>
  <c r="R300" i="9"/>
  <c r="R292" i="9"/>
  <c r="R284" i="9"/>
  <c r="R276" i="9"/>
  <c r="R268" i="9"/>
  <c r="R260" i="9"/>
  <c r="R251" i="9"/>
  <c r="R243" i="9"/>
  <c r="R235" i="9"/>
  <c r="R227" i="9"/>
  <c r="R187" i="9"/>
  <c r="R166" i="9"/>
  <c r="R162" i="9"/>
  <c r="R118" i="9"/>
  <c r="R95" i="9"/>
  <c r="R91" i="9"/>
  <c r="R49" i="9"/>
  <c r="R28" i="9"/>
  <c r="R24" i="9"/>
  <c r="J29" i="11"/>
  <c r="F29" i="11"/>
  <c r="L29" i="11"/>
  <c r="H29" i="11"/>
  <c r="H32" i="11"/>
  <c r="D32" i="11"/>
  <c r="J32" i="11"/>
  <c r="F32" i="11"/>
  <c r="L32" i="11"/>
  <c r="F30" i="11"/>
  <c r="L30" i="11"/>
  <c r="H30" i="11"/>
  <c r="D30" i="11"/>
  <c r="J30" i="11"/>
  <c r="L27" i="11"/>
  <c r="F27" i="11"/>
  <c r="H27" i="11"/>
  <c r="J27" i="11"/>
  <c r="G135" i="11"/>
  <c r="I135" i="11"/>
  <c r="K135" i="11"/>
  <c r="M135" i="11"/>
  <c r="R395" i="9"/>
  <c r="R374" i="9"/>
  <c r="R363" i="9"/>
  <c r="R340" i="9"/>
  <c r="R329" i="9"/>
  <c r="R310" i="9"/>
  <c r="R302" i="9"/>
  <c r="R294" i="9"/>
  <c r="R286" i="9"/>
  <c r="R278" i="9"/>
  <c r="R270" i="9"/>
  <c r="R262" i="9"/>
  <c r="R254" i="9"/>
  <c r="R245" i="9"/>
  <c r="R237" i="9"/>
  <c r="R229" i="9"/>
  <c r="R216" i="9"/>
  <c r="R186" i="9"/>
  <c r="R177" i="9"/>
  <c r="R173" i="9"/>
  <c r="R165" i="9"/>
  <c r="R151" i="9"/>
  <c r="R117" i="9"/>
  <c r="R106" i="9"/>
  <c r="R102" i="9"/>
  <c r="R94" i="9"/>
  <c r="R80" i="9"/>
  <c r="R48" i="9"/>
  <c r="R39" i="9"/>
  <c r="R35" i="9"/>
  <c r="R27" i="9"/>
  <c r="R13" i="9"/>
  <c r="F25" i="11"/>
  <c r="J25" i="11"/>
  <c r="L25" i="11"/>
  <c r="H25" i="11"/>
  <c r="R398" i="9"/>
  <c r="R387" i="9"/>
  <c r="R366" i="9"/>
  <c r="R355" i="9"/>
  <c r="R332" i="9"/>
  <c r="R321" i="9"/>
  <c r="R220" i="9"/>
  <c r="R198" i="9"/>
  <c r="R194" i="9"/>
  <c r="R155" i="9"/>
  <c r="R129" i="9"/>
  <c r="R125" i="9"/>
  <c r="R84" i="9"/>
  <c r="R60" i="9"/>
  <c r="R56" i="9"/>
  <c r="R17" i="9"/>
  <c r="R214" i="9"/>
  <c r="R203" i="9"/>
  <c r="R181" i="9"/>
  <c r="R170" i="9"/>
  <c r="R133" i="9"/>
  <c r="R112" i="9"/>
  <c r="R99" i="9"/>
  <c r="R78" i="9"/>
  <c r="R64" i="9"/>
  <c r="R43" i="9"/>
  <c r="R32" i="9"/>
  <c r="R222" i="9"/>
  <c r="R211" i="9"/>
  <c r="R189" i="9"/>
  <c r="R178" i="9"/>
  <c r="R157" i="9"/>
  <c r="R141" i="9"/>
  <c r="R120" i="9"/>
  <c r="R108" i="9"/>
  <c r="R86" i="9"/>
  <c r="R75" i="9"/>
  <c r="R51" i="9"/>
  <c r="R40" i="9"/>
  <c r="R19" i="9"/>
  <c r="G82" i="11"/>
  <c r="B48" i="11"/>
  <c r="B44" i="11"/>
  <c r="E44" i="11" s="1"/>
  <c r="B39" i="11"/>
  <c r="B33" i="11"/>
  <c r="B29" i="11"/>
  <c r="B25" i="11"/>
  <c r="B163" i="11"/>
  <c r="B159" i="11"/>
  <c r="B155" i="11"/>
  <c r="D117" i="10"/>
  <c r="B206" i="11" s="1"/>
  <c r="G81" i="11"/>
  <c r="D30" i="10"/>
  <c r="B200" i="11" s="1"/>
  <c r="B47" i="11"/>
  <c r="I47" i="11" s="1"/>
  <c r="B42" i="11"/>
  <c r="B32" i="11"/>
  <c r="B28" i="11"/>
  <c r="B24" i="11"/>
  <c r="B162" i="11"/>
  <c r="B158" i="11"/>
  <c r="B156" i="11"/>
  <c r="B80" i="11"/>
  <c r="B46" i="11"/>
  <c r="N46" i="11" s="1"/>
  <c r="B41" i="11"/>
  <c r="B31" i="11"/>
  <c r="B27" i="11"/>
  <c r="B161" i="11"/>
  <c r="B157" i="11"/>
  <c r="D68" i="10"/>
  <c r="B202" i="11" s="1"/>
  <c r="B79" i="11"/>
  <c r="K79" i="11" s="1"/>
  <c r="B49" i="11"/>
  <c r="B45" i="11"/>
  <c r="B40" i="11"/>
  <c r="B30" i="11"/>
  <c r="B26" i="11"/>
  <c r="B164" i="11"/>
  <c r="B160" i="11"/>
  <c r="G89" i="11"/>
  <c r="R17" i="7"/>
  <c r="R11" i="7"/>
  <c r="B122" i="11"/>
  <c r="B118" i="11"/>
  <c r="B114" i="11"/>
  <c r="N114" i="11" s="1"/>
  <c r="B110" i="11"/>
  <c r="B106" i="11"/>
  <c r="B193" i="11"/>
  <c r="B189" i="11"/>
  <c r="B185" i="11"/>
  <c r="B181" i="11"/>
  <c r="B177" i="11"/>
  <c r="B173" i="11"/>
  <c r="D141" i="10"/>
  <c r="B207" i="11" s="1"/>
  <c r="B125" i="11"/>
  <c r="N125" i="11" s="1"/>
  <c r="B121" i="11"/>
  <c r="B117" i="11"/>
  <c r="B113" i="11"/>
  <c r="N113" i="11" s="1"/>
  <c r="B109" i="11"/>
  <c r="N109" i="11" s="1"/>
  <c r="B105" i="11"/>
  <c r="B192" i="11"/>
  <c r="B188" i="11"/>
  <c r="B184" i="11"/>
  <c r="B180" i="11"/>
  <c r="B176" i="11"/>
  <c r="B172" i="11"/>
  <c r="D126" i="11"/>
  <c r="B120" i="11"/>
  <c r="B116" i="11"/>
  <c r="N116" i="11" s="1"/>
  <c r="B112" i="11"/>
  <c r="B108" i="11"/>
  <c r="B104" i="11"/>
  <c r="B191" i="11"/>
  <c r="B187" i="11"/>
  <c r="B183" i="11"/>
  <c r="B179" i="11"/>
  <c r="B175" i="11"/>
  <c r="B124" i="11"/>
  <c r="N124" i="11" s="1"/>
  <c r="D92" i="10"/>
  <c r="B203" i="11" s="1"/>
  <c r="B123" i="11"/>
  <c r="B119" i="11"/>
  <c r="N119" i="11" s="1"/>
  <c r="B115" i="11"/>
  <c r="B111" i="11"/>
  <c r="B107" i="11"/>
  <c r="B103" i="11"/>
  <c r="I103" i="11" s="1"/>
  <c r="B190" i="11"/>
  <c r="B186" i="11"/>
  <c r="B182" i="11"/>
  <c r="B178" i="11"/>
  <c r="B174" i="11"/>
  <c r="B147" i="11"/>
  <c r="M145" i="11"/>
  <c r="E145" i="11"/>
  <c r="B143" i="11"/>
  <c r="D106" i="10"/>
  <c r="B205" i="11" s="1"/>
  <c r="B146" i="11"/>
  <c r="K145" i="11"/>
  <c r="I145" i="11"/>
  <c r="B148" i="11"/>
  <c r="G145" i="11"/>
  <c r="B144" i="11"/>
  <c r="B69" i="11"/>
  <c r="B65" i="11"/>
  <c r="B61" i="11"/>
  <c r="B57" i="11"/>
  <c r="R14" i="7"/>
  <c r="B134" i="11"/>
  <c r="D99" i="10"/>
  <c r="B204" i="11" s="1"/>
  <c r="B136" i="11"/>
  <c r="D12" i="11"/>
  <c r="H12" i="11"/>
  <c r="L12" i="11"/>
  <c r="F12" i="11"/>
  <c r="J12" i="11"/>
  <c r="D9" i="11"/>
  <c r="H9" i="11"/>
  <c r="L9" i="11"/>
  <c r="F9" i="11"/>
  <c r="J9" i="11"/>
  <c r="B72" i="11"/>
  <c r="B70" i="11"/>
  <c r="B68" i="11"/>
  <c r="B66" i="11"/>
  <c r="B64" i="11"/>
  <c r="B62" i="11"/>
  <c r="B60" i="11"/>
  <c r="B58" i="11"/>
  <c r="B56" i="11"/>
  <c r="C26" i="11" l="1"/>
  <c r="L182" i="11"/>
  <c r="F174" i="11"/>
  <c r="H171" i="11"/>
  <c r="F208" i="11"/>
  <c r="B10" i="11"/>
  <c r="B201" i="11"/>
  <c r="B8" i="11"/>
  <c r="N8" i="11" s="1"/>
  <c r="O8" i="11" s="1"/>
  <c r="B199" i="11"/>
  <c r="M133" i="11"/>
  <c r="L138" i="11"/>
  <c r="J171" i="11"/>
  <c r="F186" i="11"/>
  <c r="F187" i="11"/>
  <c r="F182" i="11"/>
  <c r="D182" i="11"/>
  <c r="F164" i="11"/>
  <c r="L164" i="11"/>
  <c r="M164" i="11" s="1"/>
  <c r="H164" i="11"/>
  <c r="I164" i="11" s="1"/>
  <c r="J164" i="11"/>
  <c r="H156" i="11"/>
  <c r="D164" i="11"/>
  <c r="E164" i="11" s="1"/>
  <c r="H163" i="11"/>
  <c r="I163" i="11" s="1"/>
  <c r="J163" i="11"/>
  <c r="D163" i="11"/>
  <c r="F163" i="11"/>
  <c r="G163" i="11" s="1"/>
  <c r="L162" i="11"/>
  <c r="M162" i="11" s="1"/>
  <c r="D162" i="11"/>
  <c r="J162" i="11"/>
  <c r="K162" i="11" s="1"/>
  <c r="H162" i="11"/>
  <c r="I162" i="11" s="1"/>
  <c r="F162" i="11"/>
  <c r="G162" i="11" s="1"/>
  <c r="L156" i="11"/>
  <c r="M156" i="11" s="1"/>
  <c r="J156" i="11"/>
  <c r="D156" i="11"/>
  <c r="E156" i="11" s="1"/>
  <c r="F156" i="11"/>
  <c r="G156" i="11" s="1"/>
  <c r="D143" i="11"/>
  <c r="H143" i="11"/>
  <c r="J143" i="11"/>
  <c r="D14" i="11"/>
  <c r="F143" i="11"/>
  <c r="L143" i="11"/>
  <c r="N122" i="11"/>
  <c r="O122" i="11" s="1"/>
  <c r="M122" i="11"/>
  <c r="H182" i="11"/>
  <c r="J182" i="11"/>
  <c r="D172" i="11"/>
  <c r="H174" i="11"/>
  <c r="H186" i="11"/>
  <c r="H184" i="11"/>
  <c r="J174" i="11"/>
  <c r="L184" i="11"/>
  <c r="L171" i="11"/>
  <c r="M171" i="11" s="1"/>
  <c r="D186" i="11"/>
  <c r="F189" i="11"/>
  <c r="G189" i="11" s="1"/>
  <c r="H189" i="11"/>
  <c r="J189" i="11"/>
  <c r="K189" i="11" s="1"/>
  <c r="D189" i="11"/>
  <c r="L189" i="11"/>
  <c r="D171" i="11"/>
  <c r="E171" i="11" s="1"/>
  <c r="L175" i="11"/>
  <c r="J186" i="11"/>
  <c r="L186" i="11"/>
  <c r="J184" i="11"/>
  <c r="F171" i="11"/>
  <c r="G171" i="11" s="1"/>
  <c r="F175" i="11"/>
  <c r="G175" i="11" s="1"/>
  <c r="H175" i="11"/>
  <c r="I175" i="11" s="1"/>
  <c r="J175" i="11"/>
  <c r="D190" i="11"/>
  <c r="L190" i="11"/>
  <c r="F190" i="11"/>
  <c r="G190" i="11" s="1"/>
  <c r="H190" i="11"/>
  <c r="J190" i="11"/>
  <c r="H193" i="11"/>
  <c r="I193" i="11" s="1"/>
  <c r="J193" i="11"/>
  <c r="K193" i="11" s="1"/>
  <c r="D193" i="11"/>
  <c r="E193" i="11" s="1"/>
  <c r="L193" i="11"/>
  <c r="M193" i="11" s="1"/>
  <c r="F193" i="11"/>
  <c r="G193" i="11" s="1"/>
  <c r="L174" i="11"/>
  <c r="J191" i="11"/>
  <c r="D191" i="11"/>
  <c r="L191" i="11"/>
  <c r="F191" i="11"/>
  <c r="G191" i="11" s="1"/>
  <c r="H191" i="11"/>
  <c r="I191" i="11" s="1"/>
  <c r="D184" i="11"/>
  <c r="E184" i="11" s="1"/>
  <c r="F184" i="11"/>
  <c r="G184" i="11" s="1"/>
  <c r="D174" i="11"/>
  <c r="N174" i="11" s="1"/>
  <c r="O174" i="11" s="1"/>
  <c r="K82" i="11"/>
  <c r="H50" i="11"/>
  <c r="J155" i="11"/>
  <c r="K155" i="11" s="1"/>
  <c r="N91" i="11"/>
  <c r="O91" i="11" s="1"/>
  <c r="O46" i="11"/>
  <c r="N92" i="11"/>
  <c r="O92" i="11" s="1"/>
  <c r="N93" i="11"/>
  <c r="O93" i="11" s="1"/>
  <c r="N87" i="11"/>
  <c r="O87" i="11" s="1"/>
  <c r="M61" i="11"/>
  <c r="G61" i="11"/>
  <c r="E61" i="11"/>
  <c r="N61" i="11"/>
  <c r="O61" i="11" s="1"/>
  <c r="K61" i="11"/>
  <c r="I61" i="11"/>
  <c r="I93" i="11"/>
  <c r="N80" i="11"/>
  <c r="O80" i="11" s="1"/>
  <c r="N96" i="11"/>
  <c r="O96" i="11" s="1"/>
  <c r="E81" i="11"/>
  <c r="N81" i="11"/>
  <c r="O81" i="11" s="1"/>
  <c r="N90" i="11"/>
  <c r="O90" i="11" s="1"/>
  <c r="N108" i="11"/>
  <c r="O108" i="11" s="1"/>
  <c r="F172" i="11"/>
  <c r="G172" i="11" s="1"/>
  <c r="E66" i="11"/>
  <c r="K66" i="11"/>
  <c r="G66" i="11"/>
  <c r="M66" i="11"/>
  <c r="I66" i="11"/>
  <c r="N66" i="11"/>
  <c r="O66" i="11" s="1"/>
  <c r="N148" i="11"/>
  <c r="O148" i="11" s="1"/>
  <c r="N147" i="11"/>
  <c r="O147" i="11" s="1"/>
  <c r="O113" i="11"/>
  <c r="M90" i="11"/>
  <c r="N84" i="11"/>
  <c r="O84" i="11" s="1"/>
  <c r="E85" i="11"/>
  <c r="N85" i="11"/>
  <c r="O85" i="11" s="1"/>
  <c r="N95" i="11"/>
  <c r="O95" i="11" s="1"/>
  <c r="N86" i="11"/>
  <c r="O86" i="11" s="1"/>
  <c r="N94" i="11"/>
  <c r="O94" i="11" s="1"/>
  <c r="N42" i="11"/>
  <c r="O42" i="11" s="1"/>
  <c r="N44" i="11"/>
  <c r="O44" i="11" s="1"/>
  <c r="E60" i="11"/>
  <c r="K60" i="11"/>
  <c r="G60" i="11"/>
  <c r="M60" i="11"/>
  <c r="I60" i="11"/>
  <c r="N60" i="11"/>
  <c r="O60" i="11" s="1"/>
  <c r="E62" i="11"/>
  <c r="I62" i="11"/>
  <c r="K62" i="11"/>
  <c r="N62" i="11"/>
  <c r="O62" i="11" s="1"/>
  <c r="G62" i="11"/>
  <c r="M62" i="11"/>
  <c r="O119" i="11"/>
  <c r="G93" i="11"/>
  <c r="K88" i="11"/>
  <c r="N88" i="11"/>
  <c r="O88" i="11" s="1"/>
  <c r="G97" i="11"/>
  <c r="N97" i="11"/>
  <c r="O97" i="11" s="1"/>
  <c r="N89" i="11"/>
  <c r="O89" i="11" s="1"/>
  <c r="N82" i="11"/>
  <c r="O82" i="11" s="1"/>
  <c r="N45" i="11"/>
  <c r="O45" i="11" s="1"/>
  <c r="N47" i="11"/>
  <c r="O47" i="11" s="1"/>
  <c r="N120" i="11"/>
  <c r="O120" i="11" s="1"/>
  <c r="N105" i="11"/>
  <c r="O105" i="11" s="1"/>
  <c r="N118" i="11"/>
  <c r="O118" i="11" s="1"/>
  <c r="N83" i="11"/>
  <c r="O83" i="11" s="1"/>
  <c r="H172" i="11"/>
  <c r="I172" i="11" s="1"/>
  <c r="K158" i="11"/>
  <c r="N158" i="11"/>
  <c r="O158" i="11" s="1"/>
  <c r="N157" i="11"/>
  <c r="O157" i="11" s="1"/>
  <c r="N135" i="11"/>
  <c r="O135" i="11" s="1"/>
  <c r="J138" i="11"/>
  <c r="N136" i="11"/>
  <c r="O136" i="11" s="1"/>
  <c r="F138" i="11"/>
  <c r="H138" i="11"/>
  <c r="E133" i="11"/>
  <c r="N133" i="11"/>
  <c r="O133" i="11" s="1"/>
  <c r="N137" i="11"/>
  <c r="O137" i="11" s="1"/>
  <c r="N134" i="11"/>
  <c r="O134" i="11" s="1"/>
  <c r="N132" i="11"/>
  <c r="O132" i="11" s="1"/>
  <c r="O125" i="11"/>
  <c r="O116" i="11"/>
  <c r="O114" i="11"/>
  <c r="N117" i="11"/>
  <c r="O117" i="11" s="1"/>
  <c r="N111" i="11"/>
  <c r="O111" i="11" s="1"/>
  <c r="O109" i="11"/>
  <c r="N106" i="11"/>
  <c r="O106" i="11" s="1"/>
  <c r="N107" i="11"/>
  <c r="O107" i="11" s="1"/>
  <c r="N123" i="11"/>
  <c r="O123" i="11" s="1"/>
  <c r="N104" i="11"/>
  <c r="O104" i="11" s="1"/>
  <c r="N121" i="11"/>
  <c r="O121" i="11" s="1"/>
  <c r="N115" i="11"/>
  <c r="O124" i="11"/>
  <c r="N112" i="11"/>
  <c r="O112" i="11" s="1"/>
  <c r="N110" i="11"/>
  <c r="O110" i="11" s="1"/>
  <c r="M68" i="11"/>
  <c r="I68" i="11"/>
  <c r="N68" i="11"/>
  <c r="O68" i="11" s="1"/>
  <c r="E68" i="11"/>
  <c r="G68" i="11"/>
  <c r="K68" i="11"/>
  <c r="E65" i="11"/>
  <c r="I65" i="11"/>
  <c r="G65" i="11"/>
  <c r="K65" i="11"/>
  <c r="M65" i="11"/>
  <c r="N65" i="11"/>
  <c r="O65" i="11" s="1"/>
  <c r="G70" i="11"/>
  <c r="M70" i="11"/>
  <c r="I70" i="11"/>
  <c r="E70" i="11"/>
  <c r="N70" i="11"/>
  <c r="O70" i="11" s="1"/>
  <c r="K70" i="11"/>
  <c r="M69" i="11"/>
  <c r="E69" i="11"/>
  <c r="I69" i="11"/>
  <c r="K69" i="11"/>
  <c r="G69" i="11"/>
  <c r="N69" i="11"/>
  <c r="O69" i="11" s="1"/>
  <c r="K56" i="11"/>
  <c r="N56" i="11"/>
  <c r="M56" i="11"/>
  <c r="I56" i="11"/>
  <c r="G56" i="11"/>
  <c r="E56" i="11"/>
  <c r="E64" i="11"/>
  <c r="N64" i="11"/>
  <c r="O64" i="11" s="1"/>
  <c r="G64" i="11"/>
  <c r="K64" i="11"/>
  <c r="I64" i="11"/>
  <c r="M64" i="11"/>
  <c r="E72" i="11"/>
  <c r="N72" i="11"/>
  <c r="O72" i="11" s="1"/>
  <c r="G72" i="11"/>
  <c r="K72" i="11"/>
  <c r="M72" i="11"/>
  <c r="I72" i="11"/>
  <c r="M57" i="11"/>
  <c r="I57" i="11"/>
  <c r="G57" i="11"/>
  <c r="K57" i="11"/>
  <c r="N57" i="11"/>
  <c r="O57" i="11" s="1"/>
  <c r="E57" i="11"/>
  <c r="G58" i="11"/>
  <c r="K58" i="11"/>
  <c r="N58" i="11"/>
  <c r="O58" i="11" s="1"/>
  <c r="M58" i="11"/>
  <c r="I58" i="11"/>
  <c r="E58" i="11"/>
  <c r="F50" i="11"/>
  <c r="N49" i="11"/>
  <c r="O49" i="11" s="1"/>
  <c r="N40" i="11"/>
  <c r="O40" i="11" s="1"/>
  <c r="N48" i="11"/>
  <c r="K39" i="11"/>
  <c r="J50" i="11"/>
  <c r="N41" i="11"/>
  <c r="O41" i="11" s="1"/>
  <c r="N26" i="11"/>
  <c r="O26" i="11" s="1"/>
  <c r="N31" i="11"/>
  <c r="O31" i="11" s="1"/>
  <c r="N27" i="11"/>
  <c r="O27" i="11" s="1"/>
  <c r="J34" i="11"/>
  <c r="N25" i="11"/>
  <c r="O25" i="11" s="1"/>
  <c r="F34" i="11"/>
  <c r="N32" i="11"/>
  <c r="O32" i="11" s="1"/>
  <c r="N29" i="11"/>
  <c r="O29" i="11" s="1"/>
  <c r="L34" i="11"/>
  <c r="N28" i="11"/>
  <c r="O28" i="11" s="1"/>
  <c r="N30" i="11"/>
  <c r="O30" i="11" s="1"/>
  <c r="H34" i="11"/>
  <c r="N33" i="11"/>
  <c r="O33" i="11" s="1"/>
  <c r="I91" i="11"/>
  <c r="G90" i="11"/>
  <c r="M110" i="11"/>
  <c r="D161" i="11"/>
  <c r="E161" i="11" s="1"/>
  <c r="G122" i="11"/>
  <c r="D188" i="11"/>
  <c r="E188" i="11" s="1"/>
  <c r="J159" i="11"/>
  <c r="K159" i="11" s="1"/>
  <c r="F160" i="11"/>
  <c r="G160" i="11" s="1"/>
  <c r="F161" i="11"/>
  <c r="G161" i="11" s="1"/>
  <c r="I122" i="11"/>
  <c r="E122" i="11"/>
  <c r="J187" i="11"/>
  <c r="K187" i="11" s="1"/>
  <c r="D187" i="11"/>
  <c r="E187" i="11" s="1"/>
  <c r="J15" i="11"/>
  <c r="H160" i="11"/>
  <c r="I160" i="11" s="1"/>
  <c r="F155" i="11"/>
  <c r="G155" i="11" s="1"/>
  <c r="K121" i="11"/>
  <c r="K114" i="11"/>
  <c r="G106" i="11"/>
  <c r="G124" i="11"/>
  <c r="I107" i="11"/>
  <c r="J160" i="11"/>
  <c r="K160" i="11" s="1"/>
  <c r="H159" i="11"/>
  <c r="I159" i="11" s="1"/>
  <c r="E163" i="11"/>
  <c r="L155" i="11"/>
  <c r="M155" i="11" s="1"/>
  <c r="J161" i="11"/>
  <c r="K161" i="11" s="1"/>
  <c r="F159" i="11"/>
  <c r="G159" i="11" s="1"/>
  <c r="H161" i="11"/>
  <c r="I161" i="11" s="1"/>
  <c r="K163" i="11"/>
  <c r="D155" i="11"/>
  <c r="E155" i="11" s="1"/>
  <c r="M158" i="11"/>
  <c r="L161" i="11"/>
  <c r="M161" i="11" s="1"/>
  <c r="H155" i="11"/>
  <c r="M109" i="11"/>
  <c r="K116" i="11"/>
  <c r="M86" i="11"/>
  <c r="M87" i="11"/>
  <c r="G95" i="11"/>
  <c r="F15" i="11"/>
  <c r="H15" i="11"/>
  <c r="L160" i="11"/>
  <c r="M160" i="11" s="1"/>
  <c r="L15" i="11"/>
  <c r="D160" i="11"/>
  <c r="E160" i="11" s="1"/>
  <c r="D15" i="11"/>
  <c r="E132" i="11"/>
  <c r="K109" i="11"/>
  <c r="I117" i="11"/>
  <c r="E116" i="11"/>
  <c r="K125" i="11"/>
  <c r="E117" i="11"/>
  <c r="K117" i="11"/>
  <c r="I125" i="11"/>
  <c r="E79" i="11"/>
  <c r="K81" i="11"/>
  <c r="M89" i="11"/>
  <c r="M82" i="11"/>
  <c r="I82" i="11"/>
  <c r="I118" i="11"/>
  <c r="K164" i="11"/>
  <c r="L159" i="11"/>
  <c r="M159" i="11" s="1"/>
  <c r="I106" i="11"/>
  <c r="K118" i="11"/>
  <c r="K110" i="11"/>
  <c r="E106" i="11"/>
  <c r="G114" i="11"/>
  <c r="I25" i="11"/>
  <c r="L181" i="11"/>
  <c r="M181" i="11" s="1"/>
  <c r="I156" i="11"/>
  <c r="G164" i="11"/>
  <c r="D159" i="11"/>
  <c r="I114" i="11"/>
  <c r="G108" i="11"/>
  <c r="E118" i="11"/>
  <c r="E114" i="11"/>
  <c r="M81" i="11"/>
  <c r="K90" i="11"/>
  <c r="E82" i="11"/>
  <c r="E90" i="11"/>
  <c r="I81" i="11"/>
  <c r="K89" i="11"/>
  <c r="I184" i="11"/>
  <c r="D185" i="11"/>
  <c r="E185" i="11" s="1"/>
  <c r="G187" i="11"/>
  <c r="H188" i="11"/>
  <c r="I188" i="11" s="1"/>
  <c r="E104" i="11"/>
  <c r="G113" i="11"/>
  <c r="G125" i="11"/>
  <c r="E108" i="11"/>
  <c r="M117" i="11"/>
  <c r="E109" i="11"/>
  <c r="G117" i="11"/>
  <c r="G109" i="11"/>
  <c r="M108" i="11"/>
  <c r="I108" i="11"/>
  <c r="K108" i="11"/>
  <c r="E89" i="11"/>
  <c r="I89" i="11"/>
  <c r="I90" i="11"/>
  <c r="L16" i="11"/>
  <c r="J16" i="11"/>
  <c r="L188" i="11"/>
  <c r="M188" i="11" s="1"/>
  <c r="F188" i="11"/>
  <c r="G188" i="11" s="1"/>
  <c r="L187" i="11"/>
  <c r="M187" i="11" s="1"/>
  <c r="E172" i="11"/>
  <c r="M189" i="11"/>
  <c r="J188" i="11"/>
  <c r="K188" i="11" s="1"/>
  <c r="H187" i="11"/>
  <c r="I187" i="11" s="1"/>
  <c r="G112" i="11"/>
  <c r="E103" i="11"/>
  <c r="K107" i="11"/>
  <c r="I80" i="11"/>
  <c r="G92" i="11"/>
  <c r="M45" i="11"/>
  <c r="G46" i="11"/>
  <c r="M39" i="11"/>
  <c r="I45" i="11"/>
  <c r="G45" i="11"/>
  <c r="K45" i="11"/>
  <c r="G44" i="11"/>
  <c r="E45" i="11"/>
  <c r="K80" i="11"/>
  <c r="M88" i="11"/>
  <c r="E96" i="11"/>
  <c r="K84" i="11"/>
  <c r="M85" i="11"/>
  <c r="E83" i="11"/>
  <c r="G88" i="11"/>
  <c r="E84" i="11"/>
  <c r="E88" i="11"/>
  <c r="K97" i="11"/>
  <c r="G80" i="11"/>
  <c r="I96" i="11"/>
  <c r="D181" i="11"/>
  <c r="E181" i="11" s="1"/>
  <c r="M184" i="11"/>
  <c r="F16" i="11"/>
  <c r="H183" i="11"/>
  <c r="I183" i="11" s="1"/>
  <c r="L185" i="11"/>
  <c r="M185" i="11" s="1"/>
  <c r="K171" i="11"/>
  <c r="E189" i="11"/>
  <c r="D180" i="11"/>
  <c r="E180" i="11" s="1"/>
  <c r="D138" i="11"/>
  <c r="E135" i="11"/>
  <c r="E123" i="11"/>
  <c r="I123" i="11"/>
  <c r="G103" i="11"/>
  <c r="M123" i="11"/>
  <c r="I109" i="11"/>
  <c r="M79" i="11"/>
  <c r="E80" i="11"/>
  <c r="M96" i="11"/>
  <c r="G96" i="11"/>
  <c r="K83" i="11"/>
  <c r="I92" i="11"/>
  <c r="E92" i="11"/>
  <c r="N79" i="11"/>
  <c r="O79" i="11" s="1"/>
  <c r="I79" i="11"/>
  <c r="K92" i="11"/>
  <c r="K96" i="11"/>
  <c r="M42" i="11"/>
  <c r="I42" i="11"/>
  <c r="G40" i="11"/>
  <c r="K40" i="11"/>
  <c r="E42" i="11"/>
  <c r="I41" i="11"/>
  <c r="M44" i="11"/>
  <c r="I44" i="11"/>
  <c r="K44" i="11"/>
  <c r="G42" i="11"/>
  <c r="M40" i="11"/>
  <c r="E41" i="11"/>
  <c r="K47" i="11"/>
  <c r="G41" i="11"/>
  <c r="K41" i="11"/>
  <c r="M41" i="11"/>
  <c r="G25" i="11"/>
  <c r="M97" i="11"/>
  <c r="G79" i="11"/>
  <c r="M83" i="11"/>
  <c r="G91" i="11"/>
  <c r="M84" i="11"/>
  <c r="E97" i="11"/>
  <c r="I97" i="11"/>
  <c r="I39" i="11"/>
  <c r="N103" i="11"/>
  <c r="G116" i="11"/>
  <c r="E121" i="11"/>
  <c r="M105" i="11"/>
  <c r="M118" i="11"/>
  <c r="G118" i="11"/>
  <c r="E107" i="11"/>
  <c r="G110" i="11"/>
  <c r="M116" i="11"/>
  <c r="M172" i="11"/>
  <c r="I171" i="11"/>
  <c r="E47" i="11"/>
  <c r="I84" i="11"/>
  <c r="K87" i="11"/>
  <c r="E93" i="11"/>
  <c r="I46" i="11"/>
  <c r="I85" i="11"/>
  <c r="E94" i="11"/>
  <c r="K46" i="11"/>
  <c r="K85" i="11"/>
  <c r="E91" i="11"/>
  <c r="G94" i="11"/>
  <c r="E46" i="11"/>
  <c r="G84" i="11"/>
  <c r="I87" i="11"/>
  <c r="M92" i="11"/>
  <c r="B98" i="11"/>
  <c r="C79" i="11" s="1"/>
  <c r="B11" i="11"/>
  <c r="G158" i="11"/>
  <c r="I95" i="11"/>
  <c r="I158" i="11"/>
  <c r="B9" i="11"/>
  <c r="D142" i="10"/>
  <c r="J185" i="11"/>
  <c r="K185" i="11" s="1"/>
  <c r="E25" i="11"/>
  <c r="F183" i="11"/>
  <c r="G183" i="11" s="1"/>
  <c r="E162" i="11"/>
  <c r="K27" i="11"/>
  <c r="E27" i="11"/>
  <c r="M30" i="11"/>
  <c r="K32" i="11"/>
  <c r="M29" i="11"/>
  <c r="J180" i="11"/>
  <c r="K180" i="11" s="1"/>
  <c r="J181" i="11"/>
  <c r="K181" i="11" s="1"/>
  <c r="K157" i="11"/>
  <c r="I49" i="11"/>
  <c r="K49" i="11"/>
  <c r="I24" i="11"/>
  <c r="K26" i="11"/>
  <c r="E26" i="11"/>
  <c r="E28" i="11"/>
  <c r="M31" i="11"/>
  <c r="M33" i="11"/>
  <c r="D16" i="11"/>
  <c r="G107" i="11"/>
  <c r="I110" i="11"/>
  <c r="K122" i="11"/>
  <c r="K106" i="11"/>
  <c r="I116" i="11"/>
  <c r="K119" i="11"/>
  <c r="M106" i="11"/>
  <c r="E110" i="11"/>
  <c r="M114" i="11"/>
  <c r="I121" i="11"/>
  <c r="K124" i="11"/>
  <c r="M107" i="11"/>
  <c r="I113" i="11"/>
  <c r="E124" i="11"/>
  <c r="I40" i="11"/>
  <c r="M47" i="11"/>
  <c r="G85" i="11"/>
  <c r="I83" i="11"/>
  <c r="M93" i="11"/>
  <c r="G47" i="11"/>
  <c r="G86" i="11"/>
  <c r="I88" i="11"/>
  <c r="K91" i="11"/>
  <c r="M94" i="11"/>
  <c r="E40" i="11"/>
  <c r="I86" i="11"/>
  <c r="M91" i="11"/>
  <c r="E95" i="11"/>
  <c r="K42" i="11"/>
  <c r="M46" i="11"/>
  <c r="M80" i="11"/>
  <c r="G83" i="11"/>
  <c r="K93" i="11"/>
  <c r="B15" i="11"/>
  <c r="B165" i="11"/>
  <c r="J178" i="11"/>
  <c r="K178" i="11" s="1"/>
  <c r="D178" i="11"/>
  <c r="E178" i="11" s="1"/>
  <c r="L178" i="11"/>
  <c r="M178" i="11" s="1"/>
  <c r="F178" i="11"/>
  <c r="G178" i="11" s="1"/>
  <c r="H178" i="11"/>
  <c r="I178" i="11" s="1"/>
  <c r="F185" i="11"/>
  <c r="G185" i="11" s="1"/>
  <c r="H185" i="11"/>
  <c r="I185" i="11" s="1"/>
  <c r="M25" i="11"/>
  <c r="L183" i="11"/>
  <c r="M183" i="11" s="1"/>
  <c r="I27" i="11"/>
  <c r="K30" i="11"/>
  <c r="G30" i="11"/>
  <c r="E32" i="11"/>
  <c r="G29" i="11"/>
  <c r="H180" i="11"/>
  <c r="I180" i="11" s="1"/>
  <c r="F181" i="11"/>
  <c r="G181" i="11" s="1"/>
  <c r="H181" i="11"/>
  <c r="I181" i="11" s="1"/>
  <c r="I157" i="11"/>
  <c r="G49" i="11"/>
  <c r="K24" i="11"/>
  <c r="E24" i="11"/>
  <c r="D34" i="11"/>
  <c r="I26" i="11"/>
  <c r="M28" i="11"/>
  <c r="I28" i="11"/>
  <c r="K31" i="11"/>
  <c r="G31" i="11"/>
  <c r="I33" i="11"/>
  <c r="B50" i="11"/>
  <c r="G39" i="11"/>
  <c r="H16" i="11"/>
  <c r="F144" i="11"/>
  <c r="G144" i="11" s="1"/>
  <c r="H144" i="11"/>
  <c r="I144" i="11" s="1"/>
  <c r="J144" i="11"/>
  <c r="K144" i="11" s="1"/>
  <c r="D144" i="11"/>
  <c r="E144" i="11" s="1"/>
  <c r="L144" i="11"/>
  <c r="M144" i="11" s="1"/>
  <c r="K113" i="11"/>
  <c r="J146" i="11"/>
  <c r="K146" i="11" s="1"/>
  <c r="D146" i="11"/>
  <c r="E146" i="11" s="1"/>
  <c r="L146" i="11"/>
  <c r="M146" i="11" s="1"/>
  <c r="F146" i="11"/>
  <c r="G146" i="11" s="1"/>
  <c r="H146" i="11"/>
  <c r="I146" i="11" s="1"/>
  <c r="E86" i="11"/>
  <c r="E87" i="11"/>
  <c r="K95" i="11"/>
  <c r="G87" i="11"/>
  <c r="M95" i="11"/>
  <c r="I94" i="11"/>
  <c r="E158" i="11"/>
  <c r="K94" i="11"/>
  <c r="N24" i="11"/>
  <c r="B34" i="11"/>
  <c r="C24" i="11" s="1"/>
  <c r="K25" i="11"/>
  <c r="J183" i="11"/>
  <c r="K183" i="11" s="1"/>
  <c r="D183" i="11"/>
  <c r="E183" i="11" s="1"/>
  <c r="F192" i="11"/>
  <c r="G192" i="11" s="1"/>
  <c r="H192" i="11"/>
  <c r="I192" i="11" s="1"/>
  <c r="J192" i="11"/>
  <c r="K192" i="11" s="1"/>
  <c r="D192" i="11"/>
  <c r="E192" i="11" s="1"/>
  <c r="L192" i="11"/>
  <c r="M192" i="11" s="1"/>
  <c r="G27" i="11"/>
  <c r="E30" i="11"/>
  <c r="M32" i="11"/>
  <c r="I32" i="11"/>
  <c r="K29" i="11"/>
  <c r="L180" i="11"/>
  <c r="M180" i="11" s="1"/>
  <c r="F180" i="11"/>
  <c r="G180" i="11" s="1"/>
  <c r="M157" i="11"/>
  <c r="G157" i="11"/>
  <c r="M49" i="11"/>
  <c r="G24" i="11"/>
  <c r="G26" i="11"/>
  <c r="G28" i="11"/>
  <c r="E31" i="11"/>
  <c r="K33" i="11"/>
  <c r="E33" i="11"/>
  <c r="M163" i="11"/>
  <c r="M27" i="11"/>
  <c r="I30" i="11"/>
  <c r="G32" i="11"/>
  <c r="I29" i="11"/>
  <c r="E29" i="11"/>
  <c r="F176" i="11"/>
  <c r="G176" i="11" s="1"/>
  <c r="H176" i="11"/>
  <c r="I176" i="11" s="1"/>
  <c r="J176" i="11"/>
  <c r="K176" i="11" s="1"/>
  <c r="D176" i="11"/>
  <c r="E176" i="11" s="1"/>
  <c r="L176" i="11"/>
  <c r="M176" i="11" s="1"/>
  <c r="E157" i="11"/>
  <c r="E49" i="11"/>
  <c r="M24" i="11"/>
  <c r="M26" i="11"/>
  <c r="K28" i="11"/>
  <c r="H173" i="11"/>
  <c r="I173" i="11" s="1"/>
  <c r="J173" i="11"/>
  <c r="K173" i="11" s="1"/>
  <c r="D173" i="11"/>
  <c r="L173" i="11"/>
  <c r="M173" i="11" s="1"/>
  <c r="F173" i="11"/>
  <c r="G173" i="11" s="1"/>
  <c r="H177" i="11"/>
  <c r="I177" i="11" s="1"/>
  <c r="J177" i="11"/>
  <c r="K177" i="11" s="1"/>
  <c r="D177" i="11"/>
  <c r="E177" i="11" s="1"/>
  <c r="L177" i="11"/>
  <c r="M177" i="11" s="1"/>
  <c r="F177" i="11"/>
  <c r="G177" i="11" s="1"/>
  <c r="D179" i="11"/>
  <c r="E179" i="11" s="1"/>
  <c r="L179" i="11"/>
  <c r="M179" i="11" s="1"/>
  <c r="F179" i="11"/>
  <c r="G179" i="11" s="1"/>
  <c r="H179" i="11"/>
  <c r="I179" i="11" s="1"/>
  <c r="J179" i="11"/>
  <c r="K179" i="11" s="1"/>
  <c r="I31" i="11"/>
  <c r="G33" i="11"/>
  <c r="K103" i="11"/>
  <c r="M112" i="11"/>
  <c r="G120" i="11"/>
  <c r="E105" i="11"/>
  <c r="I111" i="11"/>
  <c r="I112" i="11"/>
  <c r="K120" i="11"/>
  <c r="I105" i="11"/>
  <c r="K112" i="11"/>
  <c r="E120" i="11"/>
  <c r="M104" i="11"/>
  <c r="G111" i="11"/>
  <c r="M121" i="11"/>
  <c r="M103" i="11"/>
  <c r="E113" i="11"/>
  <c r="I120" i="11"/>
  <c r="I104" i="11"/>
  <c r="K105" i="11"/>
  <c r="E112" i="11"/>
  <c r="I119" i="11"/>
  <c r="G104" i="11"/>
  <c r="M113" i="11"/>
  <c r="G121" i="11"/>
  <c r="G105" i="11"/>
  <c r="K111" i="11"/>
  <c r="E119" i="11"/>
  <c r="K104" i="11"/>
  <c r="M111" i="11"/>
  <c r="G119" i="11"/>
  <c r="M119" i="11"/>
  <c r="M120" i="11"/>
  <c r="M124" i="11"/>
  <c r="I124" i="11"/>
  <c r="E111" i="11"/>
  <c r="M134" i="11"/>
  <c r="B126" i="11"/>
  <c r="C123" i="11" s="1"/>
  <c r="B12" i="11"/>
  <c r="K174" i="11"/>
  <c r="K182" i="11"/>
  <c r="K190" i="11"/>
  <c r="K123" i="11"/>
  <c r="K175" i="11"/>
  <c r="E186" i="11"/>
  <c r="K191" i="11"/>
  <c r="G174" i="11"/>
  <c r="G182" i="11"/>
  <c r="B194" i="11"/>
  <c r="C180" i="11" s="1"/>
  <c r="I186" i="11"/>
  <c r="M186" i="11"/>
  <c r="K172" i="11"/>
  <c r="E175" i="11"/>
  <c r="E191" i="11"/>
  <c r="K186" i="11"/>
  <c r="E174" i="11"/>
  <c r="E182" i="11"/>
  <c r="E190" i="11"/>
  <c r="B16" i="11"/>
  <c r="K16" i="11" s="1"/>
  <c r="E125" i="11"/>
  <c r="M175" i="11"/>
  <c r="G186" i="11"/>
  <c r="M191" i="11"/>
  <c r="G123" i="11"/>
  <c r="I174" i="11"/>
  <c r="I182" i="11"/>
  <c r="I190" i="11"/>
  <c r="M174" i="11"/>
  <c r="M182" i="11"/>
  <c r="M190" i="11"/>
  <c r="M125" i="11"/>
  <c r="K184" i="11"/>
  <c r="I189" i="11"/>
  <c r="E134" i="11"/>
  <c r="G134" i="11"/>
  <c r="K134" i="11"/>
  <c r="E147" i="11"/>
  <c r="G147" i="11"/>
  <c r="I147" i="11"/>
  <c r="M147" i="11"/>
  <c r="I148" i="11"/>
  <c r="K147" i="11"/>
  <c r="M148" i="11"/>
  <c r="B14" i="11"/>
  <c r="K148" i="11"/>
  <c r="B149" i="11"/>
  <c r="C145" i="11" s="1"/>
  <c r="G148" i="11"/>
  <c r="E148" i="11"/>
  <c r="H14" i="11"/>
  <c r="L14" i="11"/>
  <c r="F14" i="11"/>
  <c r="J14" i="11"/>
  <c r="G132" i="11"/>
  <c r="B13" i="11"/>
  <c r="I136" i="11"/>
  <c r="M136" i="11"/>
  <c r="I134" i="11"/>
  <c r="B138" i="11"/>
  <c r="K132" i="11"/>
  <c r="M132" i="11"/>
  <c r="G136" i="11"/>
  <c r="I132" i="11"/>
  <c r="K136" i="11"/>
  <c r="E136" i="11"/>
  <c r="F13" i="11"/>
  <c r="J13" i="11"/>
  <c r="D13" i="11"/>
  <c r="H13" i="11"/>
  <c r="E39" i="11"/>
  <c r="N39" i="11"/>
  <c r="D50" i="11"/>
  <c r="B73" i="11"/>
  <c r="C70" i="11" s="1"/>
  <c r="N182" i="11" l="1"/>
  <c r="O182" i="11" s="1"/>
  <c r="N171" i="11"/>
  <c r="O171" i="11" s="1"/>
  <c r="G8" i="11"/>
  <c r="E8" i="11"/>
  <c r="K13" i="11"/>
  <c r="I8" i="11"/>
  <c r="G206" i="11"/>
  <c r="N207" i="11"/>
  <c r="H208" i="11"/>
  <c r="L208" i="11"/>
  <c r="G203" i="11"/>
  <c r="G202" i="11"/>
  <c r="G200" i="11"/>
  <c r="G201" i="11"/>
  <c r="G199" i="11"/>
  <c r="G207" i="11"/>
  <c r="G205" i="11"/>
  <c r="G204" i="11"/>
  <c r="J208" i="11"/>
  <c r="N206" i="11"/>
  <c r="M13" i="11"/>
  <c r="G13" i="11"/>
  <c r="K8" i="11"/>
  <c r="M8" i="11"/>
  <c r="I13" i="11"/>
  <c r="E13" i="11"/>
  <c r="B208" i="11"/>
  <c r="D149" i="11"/>
  <c r="E149" i="11" s="1"/>
  <c r="N73" i="11"/>
  <c r="O73" i="11" s="1"/>
  <c r="N191" i="11"/>
  <c r="O191" i="11" s="1"/>
  <c r="N186" i="11"/>
  <c r="O186" i="11" s="1"/>
  <c r="N193" i="11"/>
  <c r="O193" i="11" s="1"/>
  <c r="N175" i="11"/>
  <c r="O175" i="11" s="1"/>
  <c r="N190" i="11"/>
  <c r="O190" i="11" s="1"/>
  <c r="N184" i="11"/>
  <c r="O184" i="11" s="1"/>
  <c r="N189" i="11"/>
  <c r="O189" i="11" s="1"/>
  <c r="N146" i="11"/>
  <c r="O146" i="11" s="1"/>
  <c r="N144" i="11"/>
  <c r="O144" i="11" s="1"/>
  <c r="M11" i="11"/>
  <c r="N173" i="11"/>
  <c r="O173" i="11" s="1"/>
  <c r="N183" i="11"/>
  <c r="O183" i="11" s="1"/>
  <c r="N178" i="11"/>
  <c r="O178" i="11" s="1"/>
  <c r="N187" i="11"/>
  <c r="O187" i="11" s="1"/>
  <c r="G143" i="11"/>
  <c r="F149" i="11"/>
  <c r="G149" i="11" s="1"/>
  <c r="M143" i="11"/>
  <c r="L149" i="11"/>
  <c r="M149" i="11" s="1"/>
  <c r="C89" i="11"/>
  <c r="C192" i="11"/>
  <c r="C178" i="11"/>
  <c r="C85" i="11"/>
  <c r="C84" i="11"/>
  <c r="C185" i="11"/>
  <c r="C188" i="11"/>
  <c r="C190" i="11"/>
  <c r="C96" i="11"/>
  <c r="N181" i="11"/>
  <c r="O181" i="11" s="1"/>
  <c r="C93" i="11"/>
  <c r="C92" i="11"/>
  <c r="C91" i="11"/>
  <c r="C193" i="11"/>
  <c r="K143" i="11"/>
  <c r="J149" i="11"/>
  <c r="K149" i="11" s="1"/>
  <c r="J165" i="11"/>
  <c r="K165" i="11" s="1"/>
  <c r="N164" i="11"/>
  <c r="O164" i="11" s="1"/>
  <c r="N162" i="11"/>
  <c r="O162" i="11" s="1"/>
  <c r="N161" i="11"/>
  <c r="O161" i="11" s="1"/>
  <c r="C83" i="11"/>
  <c r="C173" i="11"/>
  <c r="C191" i="11"/>
  <c r="C175" i="11"/>
  <c r="C86" i="11"/>
  <c r="C187" i="11"/>
  <c r="C81" i="11"/>
  <c r="C186" i="11"/>
  <c r="C146" i="11"/>
  <c r="C182" i="11"/>
  <c r="C144" i="11"/>
  <c r="C58" i="11"/>
  <c r="H194" i="11"/>
  <c r="I194" i="11" s="1"/>
  <c r="C82" i="11"/>
  <c r="C88" i="11"/>
  <c r="C189" i="11"/>
  <c r="N176" i="11"/>
  <c r="O176" i="11" s="1"/>
  <c r="C95" i="11"/>
  <c r="N172" i="11"/>
  <c r="O172" i="11" s="1"/>
  <c r="C147" i="11"/>
  <c r="C148" i="11"/>
  <c r="F194" i="11"/>
  <c r="G194" i="11" s="1"/>
  <c r="C90" i="11"/>
  <c r="C183" i="11"/>
  <c r="C87" i="11"/>
  <c r="N177" i="11"/>
  <c r="O177" i="11" s="1"/>
  <c r="N180" i="11"/>
  <c r="O180" i="11" s="1"/>
  <c r="C179" i="11"/>
  <c r="I143" i="11"/>
  <c r="H149" i="11"/>
  <c r="I149" i="11" s="1"/>
  <c r="N98" i="11"/>
  <c r="O98" i="11" s="1"/>
  <c r="C97" i="11"/>
  <c r="N192" i="11"/>
  <c r="O192" i="11" s="1"/>
  <c r="C176" i="11"/>
  <c r="N143" i="11"/>
  <c r="C94" i="11"/>
  <c r="N185" i="11"/>
  <c r="O185" i="11" s="1"/>
  <c r="N188" i="11"/>
  <c r="O188" i="11" s="1"/>
  <c r="C172" i="11"/>
  <c r="C174" i="11"/>
  <c r="L194" i="11"/>
  <c r="M194" i="11" s="1"/>
  <c r="C80" i="11"/>
  <c r="C181" i="11"/>
  <c r="C184" i="11"/>
  <c r="C177" i="11"/>
  <c r="N179" i="11"/>
  <c r="O179" i="11" s="1"/>
  <c r="J194" i="11"/>
  <c r="K194" i="11" s="1"/>
  <c r="C163" i="11"/>
  <c r="C156" i="11"/>
  <c r="C164" i="11"/>
  <c r="C162" i="11"/>
  <c r="I155" i="11"/>
  <c r="H165" i="11"/>
  <c r="I165" i="11" s="1"/>
  <c r="C157" i="11"/>
  <c r="N163" i="11"/>
  <c r="O163" i="11" s="1"/>
  <c r="L165" i="11"/>
  <c r="M165" i="11" s="1"/>
  <c r="N159" i="11"/>
  <c r="O159" i="11" s="1"/>
  <c r="C160" i="11"/>
  <c r="C158" i="11"/>
  <c r="C161" i="11"/>
  <c r="F165" i="11"/>
  <c r="G165" i="11" s="1"/>
  <c r="C159" i="11"/>
  <c r="N160" i="11"/>
  <c r="O160" i="11" s="1"/>
  <c r="C136" i="11"/>
  <c r="C135" i="11"/>
  <c r="C133" i="11"/>
  <c r="C137" i="11"/>
  <c r="N13" i="11"/>
  <c r="O13" i="11" s="1"/>
  <c r="N138" i="11"/>
  <c r="O138" i="11" s="1"/>
  <c r="C134" i="11"/>
  <c r="C115" i="11"/>
  <c r="E126" i="11"/>
  <c r="C108" i="11"/>
  <c r="C116" i="11"/>
  <c r="C120" i="11"/>
  <c r="C124" i="11"/>
  <c r="C105" i="11"/>
  <c r="C109" i="11"/>
  <c r="C113" i="11"/>
  <c r="C125" i="11"/>
  <c r="C119" i="11"/>
  <c r="C114" i="11"/>
  <c r="C118" i="11"/>
  <c r="C122" i="11"/>
  <c r="O103" i="11"/>
  <c r="N126" i="11"/>
  <c r="C112" i="11"/>
  <c r="C110" i="11"/>
  <c r="C104" i="11"/>
  <c r="C106" i="11"/>
  <c r="C111" i="11"/>
  <c r="C117" i="11"/>
  <c r="C121" i="11"/>
  <c r="C107" i="11"/>
  <c r="C64" i="11"/>
  <c r="C63" i="11"/>
  <c r="C67" i="11"/>
  <c r="C60" i="11"/>
  <c r="C61" i="11"/>
  <c r="C62" i="11"/>
  <c r="C66" i="11"/>
  <c r="G73" i="11"/>
  <c r="K73" i="11"/>
  <c r="M73" i="11"/>
  <c r="I73" i="11"/>
  <c r="E73" i="11"/>
  <c r="C59" i="11"/>
  <c r="C71" i="11"/>
  <c r="C65" i="11"/>
  <c r="C72" i="11"/>
  <c r="O56" i="11"/>
  <c r="C69" i="11"/>
  <c r="C68" i="11"/>
  <c r="C39" i="11"/>
  <c r="C45" i="11"/>
  <c r="C49" i="11"/>
  <c r="C42" i="11"/>
  <c r="C46" i="11"/>
  <c r="C43" i="11"/>
  <c r="C47" i="11"/>
  <c r="C44" i="11"/>
  <c r="C40" i="11"/>
  <c r="C48" i="11"/>
  <c r="C41" i="11"/>
  <c r="O39" i="11"/>
  <c r="N50" i="11"/>
  <c r="O50" i="11" s="1"/>
  <c r="C32" i="11"/>
  <c r="C29" i="11"/>
  <c r="C27" i="11"/>
  <c r="C31" i="11"/>
  <c r="C30" i="11"/>
  <c r="C28" i="11"/>
  <c r="C25" i="11"/>
  <c r="C33" i="11"/>
  <c r="O24" i="11"/>
  <c r="N34" i="11"/>
  <c r="O34" i="11" s="1"/>
  <c r="M16" i="11"/>
  <c r="N16" i="11"/>
  <c r="O16" i="11" s="1"/>
  <c r="N15" i="11"/>
  <c r="O15" i="11" s="1"/>
  <c r="N14" i="11"/>
  <c r="O14" i="11" s="1"/>
  <c r="N12" i="11"/>
  <c r="O12" i="11" s="1"/>
  <c r="K11" i="11"/>
  <c r="N11" i="11"/>
  <c r="O11" i="11" s="1"/>
  <c r="N9" i="11"/>
  <c r="O9" i="11" s="1"/>
  <c r="D165" i="11"/>
  <c r="E165" i="11" s="1"/>
  <c r="N155" i="11"/>
  <c r="N156" i="11"/>
  <c r="O156" i="11" s="1"/>
  <c r="K156" i="11"/>
  <c r="E138" i="11"/>
  <c r="I11" i="11"/>
  <c r="G11" i="11"/>
  <c r="E11" i="11"/>
  <c r="B17" i="11"/>
  <c r="E159" i="11"/>
  <c r="K15" i="11"/>
  <c r="C155" i="11"/>
  <c r="I12" i="11"/>
  <c r="G12" i="11"/>
  <c r="I16" i="11"/>
  <c r="E15" i="11"/>
  <c r="E9" i="11"/>
  <c r="K9" i="11"/>
  <c r="I9" i="11"/>
  <c r="G9" i="11"/>
  <c r="E50" i="11"/>
  <c r="M9" i="11"/>
  <c r="I15" i="11"/>
  <c r="M15" i="11"/>
  <c r="D194" i="11"/>
  <c r="E194" i="11" s="1"/>
  <c r="E173" i="11"/>
  <c r="I50" i="11"/>
  <c r="M50" i="11"/>
  <c r="K50" i="11"/>
  <c r="G50" i="11"/>
  <c r="E34" i="11"/>
  <c r="G15" i="11"/>
  <c r="G98" i="11"/>
  <c r="K98" i="11"/>
  <c r="I98" i="11"/>
  <c r="M98" i="11"/>
  <c r="E98" i="11"/>
  <c r="E12" i="11"/>
  <c r="M34" i="11"/>
  <c r="K34" i="11"/>
  <c r="I34" i="11"/>
  <c r="G34" i="11"/>
  <c r="K12" i="11"/>
  <c r="M12" i="11"/>
  <c r="G126" i="11"/>
  <c r="K126" i="11"/>
  <c r="M126" i="11"/>
  <c r="I126" i="11"/>
  <c r="G16" i="11"/>
  <c r="E16" i="11"/>
  <c r="C171" i="11"/>
  <c r="C103" i="11"/>
  <c r="G14" i="11"/>
  <c r="I14" i="11"/>
  <c r="E14" i="11"/>
  <c r="E143" i="11"/>
  <c r="K14" i="11"/>
  <c r="M14" i="11"/>
  <c r="C143" i="11"/>
  <c r="I138" i="11"/>
  <c r="M138" i="11"/>
  <c r="G138" i="11"/>
  <c r="K138" i="11"/>
  <c r="C132" i="11"/>
  <c r="C57" i="11"/>
  <c r="C56" i="11"/>
  <c r="I206" i="11" l="1"/>
  <c r="K206" i="11"/>
  <c r="M206" i="11"/>
  <c r="N208" i="11"/>
  <c r="M203" i="11"/>
  <c r="M205" i="11"/>
  <c r="M201" i="11"/>
  <c r="M207" i="11"/>
  <c r="M202" i="11"/>
  <c r="M200" i="11"/>
  <c r="M199" i="11"/>
  <c r="M204" i="11"/>
  <c r="K203" i="11"/>
  <c r="K202" i="11"/>
  <c r="K204" i="11"/>
  <c r="K207" i="11"/>
  <c r="K200" i="11"/>
  <c r="K201" i="11"/>
  <c r="K205" i="11"/>
  <c r="K199" i="11"/>
  <c r="I203" i="11"/>
  <c r="I202" i="11"/>
  <c r="I207" i="11"/>
  <c r="I205" i="11"/>
  <c r="I204" i="11"/>
  <c r="I201" i="11"/>
  <c r="I200" i="11"/>
  <c r="I199" i="11"/>
  <c r="C205" i="11"/>
  <c r="C201" i="11"/>
  <c r="C206" i="11"/>
  <c r="C204" i="11"/>
  <c r="C202" i="11"/>
  <c r="C207" i="11"/>
  <c r="C203" i="11"/>
  <c r="C200" i="11"/>
  <c r="C199" i="11"/>
  <c r="C149" i="11"/>
  <c r="C98" i="11"/>
  <c r="C194" i="11"/>
  <c r="C165" i="11"/>
  <c r="C138" i="11"/>
  <c r="N149" i="11"/>
  <c r="O149" i="11" s="1"/>
  <c r="O143" i="11"/>
  <c r="N194" i="11"/>
  <c r="O194" i="11" s="1"/>
  <c r="C34" i="11"/>
  <c r="O155" i="11"/>
  <c r="N165" i="11"/>
  <c r="O165" i="11" s="1"/>
  <c r="C126" i="11"/>
  <c r="C73" i="11"/>
  <c r="C50" i="11"/>
  <c r="C10" i="11"/>
  <c r="C13" i="11"/>
  <c r="C16" i="11"/>
  <c r="C12" i="11"/>
  <c r="C15" i="11"/>
  <c r="C11" i="11"/>
  <c r="C14" i="11"/>
  <c r="C9" i="11"/>
  <c r="C8" i="11"/>
  <c r="O201" i="11" l="1"/>
  <c r="O206" i="11"/>
  <c r="O203" i="11"/>
  <c r="O200" i="11"/>
  <c r="O204" i="11"/>
  <c r="O205" i="11"/>
  <c r="O202" i="11"/>
  <c r="E208" i="11"/>
  <c r="G208" i="11"/>
  <c r="M208" i="11"/>
  <c r="O207" i="11"/>
  <c r="I208" i="11"/>
  <c r="K208" i="11"/>
  <c r="O199" i="11"/>
  <c r="C208" i="11"/>
  <c r="C17" i="11"/>
  <c r="G10" i="11"/>
  <c r="L17" i="11"/>
  <c r="M17" i="11" s="1"/>
  <c r="I10" i="11"/>
  <c r="K10" i="11"/>
  <c r="E10" i="11"/>
  <c r="O208" i="11" l="1"/>
  <c r="D17" i="11"/>
  <c r="E17" i="11" s="1"/>
  <c r="J17" i="11"/>
  <c r="K17" i="11" s="1"/>
  <c r="F17" i="11"/>
  <c r="G17" i="11" s="1"/>
  <c r="M10" i="11"/>
  <c r="N10" i="11"/>
  <c r="H17" i="11"/>
  <c r="I17" i="11" s="1"/>
  <c r="O10" i="11" l="1"/>
  <c r="N17" i="11"/>
  <c r="O17" i="11" s="1"/>
</calcChain>
</file>

<file path=xl/comments1.xml><?xml version="1.0" encoding="utf-8"?>
<comments xmlns="http://schemas.openxmlformats.org/spreadsheetml/2006/main">
  <authors>
    <author>Usuario</author>
  </authors>
  <commentList>
    <comment ref="C133" authorId="0" shapeId="0">
      <text>
        <r>
          <rPr>
            <sz val="9"/>
            <color indexed="81"/>
            <rFont val="Tahoma"/>
            <family val="2"/>
          </rPr>
          <t xml:space="preserve">
</t>
        </r>
        <r>
          <rPr>
            <sz val="10"/>
            <color indexed="81"/>
            <rFont val="Tahoma"/>
            <family val="2"/>
          </rPr>
          <t>INFORMACION  DEL AÑO  2018</t>
        </r>
      </text>
    </comment>
    <comment ref="C141" authorId="0" shapeId="0">
      <text>
        <r>
          <rPr>
            <sz val="9"/>
            <color indexed="81"/>
            <rFont val="Tahoma"/>
            <family val="2"/>
          </rPr>
          <t xml:space="preserve">
</t>
        </r>
        <r>
          <rPr>
            <sz val="10"/>
            <color indexed="81"/>
            <rFont val="Tahoma"/>
            <family val="2"/>
          </rPr>
          <t>INFORMACION  DEL AÑO 2018</t>
        </r>
      </text>
    </comment>
    <comment ref="C144" authorId="0" shapeId="0">
      <text>
        <r>
          <rPr>
            <sz val="9"/>
            <color indexed="81"/>
            <rFont val="Tahoma"/>
            <family val="2"/>
          </rPr>
          <t xml:space="preserve">
</t>
        </r>
        <r>
          <rPr>
            <sz val="10"/>
            <color indexed="81"/>
            <rFont val="Tahoma"/>
            <family val="2"/>
          </rPr>
          <t>INFORMACIÓN DEL AÑO 2018</t>
        </r>
      </text>
    </comment>
    <comment ref="C146" authorId="0" shapeId="0">
      <text>
        <r>
          <rPr>
            <sz val="9"/>
            <color indexed="81"/>
            <rFont val="Tahoma"/>
            <family val="2"/>
          </rPr>
          <t xml:space="preserve">
</t>
        </r>
        <r>
          <rPr>
            <sz val="10"/>
            <color indexed="81"/>
            <rFont val="Tahoma"/>
            <family val="2"/>
          </rPr>
          <t>INFORMACION  DEL AÑO 2018</t>
        </r>
      </text>
    </comment>
    <comment ref="C149" authorId="0" shapeId="0">
      <text>
        <r>
          <rPr>
            <sz val="9"/>
            <color indexed="81"/>
            <rFont val="Tahoma"/>
            <family val="2"/>
          </rPr>
          <t xml:space="preserve">
</t>
        </r>
        <r>
          <rPr>
            <sz val="10"/>
            <color indexed="81"/>
            <rFont val="Tahoma"/>
            <family val="2"/>
          </rPr>
          <t>INFORMACION  DEL AÑO 2018</t>
        </r>
      </text>
    </comment>
    <comment ref="C185" authorId="0" shapeId="0">
      <text>
        <r>
          <rPr>
            <sz val="10"/>
            <color indexed="81"/>
            <rFont val="Arial"/>
            <family val="2"/>
          </rPr>
          <t>INFORMACION DEL AÑO 2018</t>
        </r>
      </text>
    </comment>
    <comment ref="C186" authorId="0" shapeId="0">
      <text>
        <r>
          <rPr>
            <sz val="10"/>
            <color indexed="81"/>
            <rFont val="Arial"/>
            <family val="2"/>
          </rPr>
          <t>INFORMACION DEL AÑO 2018</t>
        </r>
      </text>
    </comment>
    <comment ref="C198" authorId="0" shapeId="0">
      <text>
        <r>
          <rPr>
            <sz val="10"/>
            <color indexed="81"/>
            <rFont val="Arial"/>
            <family val="2"/>
          </rPr>
          <t>INFORMACION DEL AÑO 2018</t>
        </r>
      </text>
    </comment>
    <comment ref="C199" authorId="0" shapeId="0">
      <text>
        <r>
          <rPr>
            <sz val="10"/>
            <color indexed="81"/>
            <rFont val="Arial"/>
            <family val="2"/>
          </rPr>
          <t>INFORMACION DEL AÑO 2018</t>
        </r>
      </text>
    </comment>
    <comment ref="C200" authorId="0" shapeId="0">
      <text>
        <r>
          <rPr>
            <sz val="10"/>
            <color indexed="81"/>
            <rFont val="Arial"/>
            <family val="2"/>
          </rPr>
          <t>INFORMACION DEL AÑO 2018</t>
        </r>
      </text>
    </comment>
    <comment ref="C201" authorId="0" shapeId="0">
      <text>
        <r>
          <rPr>
            <sz val="10"/>
            <color indexed="81"/>
            <rFont val="Arial"/>
            <family val="2"/>
          </rPr>
          <t>INFORMACION DEL AÑO 2018</t>
        </r>
      </text>
    </comment>
    <comment ref="H204" authorId="0" shapeId="0">
      <text>
        <r>
          <rPr>
            <b/>
            <sz val="10"/>
            <color indexed="81"/>
            <rFont val="Tahoma"/>
            <family val="2"/>
          </rPr>
          <t xml:space="preserve">SECRETARIA DE SALUD:
</t>
        </r>
        <r>
          <rPr>
            <sz val="10"/>
            <color indexed="81"/>
            <rFont val="Tahoma"/>
            <family val="2"/>
          </rPr>
          <t xml:space="preserve">durante este periodo no se realizo toma de muestra </t>
        </r>
      </text>
    </comment>
    <comment ref="H206" authorId="0" shapeId="0">
      <text>
        <r>
          <rPr>
            <b/>
            <sz val="9"/>
            <color indexed="81"/>
            <rFont val="Tahoma"/>
            <family val="2"/>
          </rPr>
          <t xml:space="preserve">SECREYARIA DE SALUD:
</t>
        </r>
        <r>
          <rPr>
            <sz val="10"/>
            <color indexed="81"/>
            <rFont val="Tahoma"/>
            <family val="2"/>
          </rPr>
          <t xml:space="preserve">durante este periodo no se realizo toma de muestra </t>
        </r>
      </text>
    </comment>
    <comment ref="H207" authorId="0" shapeId="0">
      <text>
        <r>
          <rPr>
            <b/>
            <sz val="10"/>
            <color indexed="81"/>
            <rFont val="Arial"/>
            <family val="2"/>
          </rPr>
          <t xml:space="preserve">SECRETARIA DE SALUD
</t>
        </r>
        <r>
          <rPr>
            <sz val="10"/>
            <color indexed="81"/>
            <rFont val="Arial"/>
            <family val="2"/>
          </rPr>
          <t>durante este periodo no se realizo toma de muestra</t>
        </r>
      </text>
    </comment>
    <comment ref="H208" authorId="0" shapeId="0">
      <text>
        <r>
          <rPr>
            <b/>
            <sz val="9"/>
            <color indexed="81"/>
            <rFont val="Tahoma"/>
            <family val="2"/>
          </rPr>
          <t xml:space="preserve">SECRETARIA DE SALUD
</t>
        </r>
        <r>
          <rPr>
            <sz val="10"/>
            <color indexed="81"/>
            <rFont val="Tahoma"/>
            <family val="2"/>
          </rPr>
          <t>durante este periodo no se realizo toma de muestra</t>
        </r>
      </text>
    </comment>
    <comment ref="H209" authorId="0" shapeId="0">
      <text>
        <r>
          <rPr>
            <b/>
            <sz val="9"/>
            <color indexed="81"/>
            <rFont val="Tahoma"/>
            <family val="2"/>
          </rPr>
          <t xml:space="preserve">SECRETARIA DE SALUD
</t>
        </r>
        <r>
          <rPr>
            <sz val="10"/>
            <color indexed="81"/>
            <rFont val="Tahoma"/>
            <family val="2"/>
          </rPr>
          <t>durante este periodo no se realizo toma de muestra</t>
        </r>
      </text>
    </comment>
    <comment ref="H210" authorId="0" shapeId="0">
      <text>
        <r>
          <rPr>
            <b/>
            <sz val="9"/>
            <color indexed="81"/>
            <rFont val="Tahoma"/>
            <family val="2"/>
          </rPr>
          <t xml:space="preserve">SECRETARIA DE SALUD
</t>
        </r>
        <r>
          <rPr>
            <sz val="10"/>
            <color indexed="81"/>
            <rFont val="Tahoma"/>
            <family val="2"/>
          </rPr>
          <t>durante este periodo no se realizo toma de muestra</t>
        </r>
      </text>
    </comment>
    <comment ref="H211" authorId="0" shapeId="0">
      <text>
        <r>
          <rPr>
            <b/>
            <sz val="9"/>
            <color indexed="81"/>
            <rFont val="Tahoma"/>
            <family val="2"/>
          </rPr>
          <t xml:space="preserve">SECRETARIA DE SALUD
</t>
        </r>
        <r>
          <rPr>
            <sz val="10"/>
            <color indexed="81"/>
            <rFont val="Tahoma"/>
            <family val="2"/>
          </rPr>
          <t>durante este periodo no se realizo toma de muestra</t>
        </r>
      </text>
    </comment>
  </commentList>
</comments>
</file>

<file path=xl/comments2.xml><?xml version="1.0" encoding="utf-8"?>
<comments xmlns="http://schemas.openxmlformats.org/spreadsheetml/2006/main">
  <authors>
    <author>Usuario</author>
  </authors>
  <commentList>
    <comment ref="C47" authorId="0" shapeId="0">
      <text>
        <r>
          <rPr>
            <b/>
            <sz val="9"/>
            <color indexed="81"/>
            <rFont val="Tahoma"/>
            <family val="2"/>
          </rPr>
          <t xml:space="preserve">CAREPA:
</t>
        </r>
        <r>
          <rPr>
            <sz val="12"/>
            <color indexed="81"/>
            <rFont val="Tahoma"/>
            <family val="2"/>
          </rPr>
          <t>l</t>
        </r>
        <r>
          <rPr>
            <sz val="12"/>
            <color indexed="81"/>
            <rFont val="Arial"/>
            <family val="2"/>
          </rPr>
          <t>a</t>
        </r>
        <r>
          <rPr>
            <sz val="11"/>
            <color indexed="81"/>
            <rFont val="Arial"/>
            <family val="2"/>
          </rPr>
          <t>s veces que se ha programado visita está fuera de servicio</t>
        </r>
      </text>
    </comment>
    <comment ref="C48" authorId="0" shapeId="0">
      <text>
        <r>
          <rPr>
            <b/>
            <sz val="9"/>
            <color indexed="81"/>
            <rFont val="Tahoma"/>
            <family val="2"/>
          </rPr>
          <t xml:space="preserve">CAREPA:
</t>
        </r>
        <r>
          <rPr>
            <sz val="10"/>
            <color indexed="81"/>
            <rFont val="Arial"/>
            <family val="2"/>
          </rPr>
          <t>acueducto en construccion, la via cerrada por situacion de orden público.</t>
        </r>
      </text>
    </comment>
    <comment ref="C52" authorId="0" shapeId="0">
      <text>
        <r>
          <rPr>
            <b/>
            <sz val="9"/>
            <color indexed="81"/>
            <rFont val="Tahoma"/>
            <family val="2"/>
          </rPr>
          <t xml:space="preserve">CAREPA:
</t>
        </r>
        <r>
          <rPr>
            <sz val="10"/>
            <color indexed="81"/>
            <rFont val="Arial"/>
            <family val="2"/>
          </rPr>
          <t>no se ha tomado muestra a principios del año estaba fuera de servicio y luego la via ha estado cerrada en varias ocasines por situacioes de orden publico.</t>
        </r>
      </text>
    </comment>
    <comment ref="C56" authorId="0" shapeId="0">
      <text>
        <r>
          <rPr>
            <b/>
            <sz val="9"/>
            <color indexed="81"/>
            <rFont val="Tahoma"/>
            <family val="2"/>
          </rPr>
          <t xml:space="preserve">CAREPA:
</t>
        </r>
        <r>
          <rPr>
            <sz val="10"/>
            <color indexed="81"/>
            <rFont val="Arial"/>
            <family val="2"/>
          </rPr>
          <t xml:space="preserve"> no se ha tomado muestra las veces que se ha programado muestreo via cerrada por situacion de orden publico</t>
        </r>
      </text>
    </comment>
    <comment ref="C60" authorId="0" shapeId="0">
      <text>
        <r>
          <rPr>
            <b/>
            <sz val="9"/>
            <color indexed="81"/>
            <rFont val="Tahoma"/>
            <family val="2"/>
          </rPr>
          <t xml:space="preserve">CAREPA:
</t>
        </r>
        <r>
          <rPr>
            <sz val="11"/>
            <color indexed="81"/>
            <rFont val="Arial"/>
            <family val="2"/>
          </rPr>
          <t>El acueducto esta en adecuacion no esta en servicio por eso no se toma muestra.</t>
        </r>
      </text>
    </comment>
    <comment ref="C76" authorId="0" shapeId="0">
      <text>
        <r>
          <rPr>
            <sz val="11"/>
            <color indexed="81"/>
            <rFont val="Arial"/>
            <family val="2"/>
          </rPr>
          <t>Sin sistema de susministro de agua  para consumo humano</t>
        </r>
      </text>
    </comment>
  </commentList>
</comments>
</file>

<file path=xl/comments3.xml><?xml version="1.0" encoding="utf-8"?>
<comments xmlns="http://schemas.openxmlformats.org/spreadsheetml/2006/main">
  <authors>
    <author>Usuario</author>
    <author>JHON WILLIAM TABARES MORALES</author>
  </authors>
  <commentList>
    <comment ref="C55" authorId="0" shapeId="0">
      <text>
        <r>
          <rPr>
            <b/>
            <sz val="9"/>
            <color indexed="81"/>
            <rFont val="Tahoma"/>
            <family val="2"/>
          </rPr>
          <t>Usuario:</t>
        </r>
        <r>
          <rPr>
            <sz val="9"/>
            <color indexed="81"/>
            <rFont val="Tahoma"/>
            <family val="2"/>
          </rPr>
          <t xml:space="preserve">
Al acueducto rural de la vereda Moravia no se le hace vigilancia porque no cumple parámetros para la misma, sólo surte 4 usuarios, los demás son potreros. Se envió carta de retiro del sistema de vigilancia</t>
        </r>
      </text>
    </comment>
    <comment ref="C5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5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5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5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6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7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96" authorId="0" shapeId="0">
      <text>
        <r>
          <rPr>
            <sz val="10"/>
            <color indexed="81"/>
            <rFont val="Arial"/>
            <family val="2"/>
          </rPr>
          <t>INFORMACION DEL AÑO 2018</t>
        </r>
      </text>
    </comment>
    <comment ref="C97" authorId="0" shapeId="0">
      <text>
        <r>
          <rPr>
            <sz val="9"/>
            <color indexed="81"/>
            <rFont val="Tahoma"/>
            <family val="2"/>
          </rPr>
          <t xml:space="preserve">
</t>
        </r>
        <r>
          <rPr>
            <sz val="10"/>
            <color indexed="81"/>
            <rFont val="Arial"/>
            <family val="2"/>
          </rPr>
          <t>INFORMACION DEL AÑO 2018</t>
        </r>
      </text>
    </comment>
    <comment ref="C103" authorId="0" shapeId="0">
      <text>
        <r>
          <rPr>
            <sz val="10"/>
            <color indexed="81"/>
            <rFont val="Arial"/>
            <family val="2"/>
          </rPr>
          <t>INFORMACION DEL AÑO 2018</t>
        </r>
      </text>
    </comment>
    <comment ref="C105" authorId="0" shapeId="0">
      <text>
        <r>
          <rPr>
            <sz val="10"/>
            <color indexed="81"/>
            <rFont val="Arial"/>
            <family val="2"/>
          </rPr>
          <t>INFORMACION DEL AÑO 2018</t>
        </r>
      </text>
    </comment>
    <comment ref="C106" authorId="0" shapeId="0">
      <text>
        <r>
          <rPr>
            <sz val="10"/>
            <color indexed="81"/>
            <rFont val="Arial"/>
            <family val="2"/>
          </rPr>
          <t>INFORMACION DEL AÑO 2018</t>
        </r>
      </text>
    </comment>
    <comment ref="C107" authorId="0" shapeId="0">
      <text>
        <r>
          <rPr>
            <sz val="11"/>
            <color indexed="81"/>
            <rFont val="Arial"/>
            <family val="2"/>
          </rPr>
          <t>INFORMACION DEL AÑO 2018</t>
        </r>
      </text>
    </comment>
    <comment ref="C110" authorId="0" shapeId="0">
      <text>
        <r>
          <rPr>
            <sz val="10"/>
            <color indexed="81"/>
            <rFont val="Arial"/>
            <family val="2"/>
          </rPr>
          <t>INFORMACION DEL AÑO 2018</t>
        </r>
      </text>
    </comment>
    <comment ref="C112" authorId="0" shapeId="0">
      <text>
        <r>
          <rPr>
            <sz val="10"/>
            <color indexed="81"/>
            <rFont val="Arial"/>
            <family val="2"/>
          </rPr>
          <t>INFORMACION DEL AÑO 2018</t>
        </r>
      </text>
    </comment>
    <comment ref="C113" authorId="0" shapeId="0">
      <text>
        <r>
          <rPr>
            <sz val="10"/>
            <color indexed="81"/>
            <rFont val="Arial"/>
            <family val="2"/>
          </rPr>
          <t>INFORMACION DEL AÑO 2018</t>
        </r>
      </text>
    </comment>
    <comment ref="C116" authorId="0" shapeId="0">
      <text>
        <r>
          <rPr>
            <sz val="10"/>
            <color indexed="81"/>
            <rFont val="Arial"/>
            <family val="2"/>
          </rPr>
          <t>INFORMACION DEL AÑO 2018</t>
        </r>
      </text>
    </comment>
    <comment ref="C131" authorId="0" shapeId="0">
      <text>
        <r>
          <rPr>
            <sz val="10"/>
            <color indexed="81"/>
            <rFont val="Arial"/>
            <family val="2"/>
          </rPr>
          <t>INFORMACION DEL AÑO 2018</t>
        </r>
      </text>
    </comment>
    <comment ref="C136" authorId="0" shapeId="0">
      <text>
        <r>
          <rPr>
            <sz val="10"/>
            <color indexed="81"/>
            <rFont val="Arial"/>
            <family val="2"/>
          </rPr>
          <t>INFORMACION DEL AÑO 2018</t>
        </r>
      </text>
    </comment>
    <comment ref="C153" authorId="0" shapeId="0">
      <text>
        <r>
          <rPr>
            <sz val="10"/>
            <color indexed="81"/>
            <rFont val="Arial"/>
            <family val="2"/>
          </rPr>
          <t>INFORMACION DEL AÑO 2018</t>
        </r>
      </text>
    </comment>
    <comment ref="C154" authorId="0" shapeId="0">
      <text>
        <r>
          <rPr>
            <sz val="9"/>
            <color indexed="81"/>
            <rFont val="Tahoma"/>
            <family val="2"/>
          </rPr>
          <t xml:space="preserve">
</t>
        </r>
        <r>
          <rPr>
            <sz val="10"/>
            <color indexed="81"/>
            <rFont val="Arial"/>
            <family val="2"/>
          </rPr>
          <t>INFORMACION DEL AÑO 2018</t>
        </r>
      </text>
    </comment>
    <comment ref="C155" authorId="0" shapeId="0">
      <text>
        <r>
          <rPr>
            <sz val="9"/>
            <color indexed="81"/>
            <rFont val="Tahoma"/>
            <family val="2"/>
          </rPr>
          <t xml:space="preserve">
INFORMACION  DEL AÑO 2018</t>
        </r>
      </text>
    </comment>
    <comment ref="C166" authorId="0" shapeId="0">
      <text>
        <r>
          <rPr>
            <sz val="10"/>
            <color indexed="81"/>
            <rFont val="Arial"/>
            <family val="2"/>
          </rPr>
          <t>INFORMACION DEL AÑO 2018</t>
        </r>
      </text>
    </comment>
    <comment ref="C205" authorId="0" shapeId="0">
      <text>
        <r>
          <rPr>
            <sz val="10"/>
            <color indexed="81"/>
            <rFont val="Arial"/>
            <family val="2"/>
          </rPr>
          <t>INFORMACION DEL AÑO 2018</t>
        </r>
      </text>
    </comment>
  </commentList>
</comments>
</file>

<file path=xl/comments4.xml><?xml version="1.0" encoding="utf-8"?>
<comments xmlns="http://schemas.openxmlformats.org/spreadsheetml/2006/main">
  <authors>
    <author>Usuario</author>
    <author>JHON WILLIAM TABARES MORALES</author>
  </authors>
  <commentList>
    <comment ref="C10" authorId="0" shapeId="0">
      <text>
        <r>
          <rPr>
            <sz val="10"/>
            <color indexed="81"/>
            <rFont val="Arial"/>
            <family val="2"/>
          </rPr>
          <t>INFORMACION DEL AÑO 2018</t>
        </r>
      </text>
    </comment>
    <comment ref="C12" authorId="0" shapeId="0">
      <text>
        <r>
          <rPr>
            <sz val="10"/>
            <color indexed="81"/>
            <rFont val="Arial"/>
            <family val="2"/>
          </rPr>
          <t>INFORMACION DEL AÑO 2018</t>
        </r>
      </text>
    </comment>
    <comment ref="C13" authorId="0" shapeId="0">
      <text>
        <r>
          <rPr>
            <sz val="10"/>
            <color indexed="81"/>
            <rFont val="Arial"/>
            <family val="2"/>
          </rPr>
          <t>INFORMACION DEL AÑO 2108</t>
        </r>
      </text>
    </comment>
    <comment ref="C14" authorId="0" shapeId="0">
      <text>
        <r>
          <rPr>
            <sz val="10"/>
            <color indexed="81"/>
            <rFont val="Arial"/>
            <family val="2"/>
          </rPr>
          <t>INFORMACION DEL AÑO 2018</t>
        </r>
      </text>
    </comment>
    <comment ref="C16" authorId="0" shapeId="0">
      <text>
        <r>
          <rPr>
            <sz val="10"/>
            <color indexed="81"/>
            <rFont val="Arial"/>
            <family val="2"/>
          </rPr>
          <t>INFORMACIÓN DEL AÑO 2018</t>
        </r>
      </text>
    </comment>
    <comment ref="D312" authorId="0" shapeId="0">
      <text>
        <r>
          <rPr>
            <b/>
            <sz val="9"/>
            <color indexed="81"/>
            <rFont val="Tahoma"/>
            <family val="2"/>
          </rPr>
          <t>Usuario:</t>
        </r>
        <r>
          <rPr>
            <sz val="9"/>
            <color indexed="81"/>
            <rFont val="Tahoma"/>
            <family val="2"/>
          </rPr>
          <t xml:space="preserve">
Acueducto paloblanco Chachafruto lo atiende Ebejico y Sector los Naranjos no se pudo realizar por problemas de orden publico</t>
        </r>
      </text>
    </comment>
    <comment ref="C36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6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7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3"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4"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5"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6"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7"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8"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89"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0"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1"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 ref="C392" authorId="1" shapeId="0">
      <text>
        <r>
          <rPr>
            <b/>
            <sz val="9"/>
            <color indexed="81"/>
            <rFont val="Tahoma"/>
            <family val="2"/>
          </rPr>
          <t>JHON WILLIAM TABARES MORALES:</t>
        </r>
        <r>
          <rPr>
            <sz val="9"/>
            <color indexed="81"/>
            <rFont val="Tahoma"/>
            <family val="2"/>
          </rPr>
          <t xml:space="preserve">
(En el  2018 no se realizan visitas a acueductos rurales toda vez que no hay técnico de base en este municipio y se priorizo la zona urbana)</t>
        </r>
      </text>
    </comment>
  </commentList>
</comments>
</file>

<file path=xl/comments5.xml><?xml version="1.0" encoding="utf-8"?>
<comments xmlns="http://schemas.openxmlformats.org/spreadsheetml/2006/main">
  <authors>
    <author>Usuario</author>
  </authors>
  <commentList>
    <comment ref="E14" authorId="0" shapeId="0">
      <text>
        <r>
          <rPr>
            <b/>
            <sz val="9"/>
            <color indexed="81"/>
            <rFont val="Tahoma"/>
            <family val="2"/>
          </rPr>
          <t>Usuario:</t>
        </r>
        <r>
          <rPr>
            <sz val="9"/>
            <color indexed="81"/>
            <rFont val="Tahoma"/>
            <family val="2"/>
          </rPr>
          <t xml:space="preserve">
incumple turbiedad</t>
        </r>
      </text>
    </comment>
    <comment ref="E15" authorId="0" shapeId="0">
      <text>
        <r>
          <rPr>
            <b/>
            <sz val="9"/>
            <color indexed="81"/>
            <rFont val="Tahoma"/>
            <family val="2"/>
          </rPr>
          <t>Usuario:</t>
        </r>
        <r>
          <rPr>
            <sz val="9"/>
            <color indexed="81"/>
            <rFont val="Tahoma"/>
            <family val="2"/>
          </rPr>
          <t xml:space="preserve">
incumple turbiedad y coliformes</t>
        </r>
      </text>
    </comment>
    <comment ref="A115" authorId="0" shapeId="0">
      <text>
        <r>
          <rPr>
            <sz val="10"/>
            <color indexed="81"/>
            <rFont val="Arial"/>
            <family val="2"/>
          </rPr>
          <t>INFORMACION SEGUNDO SEMESTRE DEL AÑO 2019</t>
        </r>
      </text>
    </comment>
    <comment ref="A127" authorId="0" shapeId="0">
      <text>
        <r>
          <rPr>
            <sz val="9"/>
            <color indexed="81"/>
            <rFont val="Tahoma"/>
            <family val="2"/>
          </rPr>
          <t xml:space="preserve">INFORMACION DEL SEGUNDO SEMETRE DEL AÑO 2019
</t>
        </r>
      </text>
    </comment>
    <comment ref="A171" authorId="0" shapeId="0">
      <text>
        <r>
          <rPr>
            <sz val="9"/>
            <color indexed="81"/>
            <rFont val="Tahoma"/>
            <family val="2"/>
          </rPr>
          <t>INFORMACIÓN  DEL SEGUNDO SEMESTRE DEL AÑO 2019</t>
        </r>
      </text>
    </comment>
    <comment ref="A209" authorId="0" shapeId="0">
      <text>
        <r>
          <rPr>
            <sz val="9"/>
            <color indexed="81"/>
            <rFont val="Tahoma"/>
            <family val="2"/>
          </rPr>
          <t>INFORMACIÓN  SEGUNDO SEMESTRE DEL AÑO 2019</t>
        </r>
      </text>
    </comment>
    <comment ref="C245" authorId="0" shapeId="0">
      <text>
        <r>
          <rPr>
            <sz val="11"/>
            <color indexed="81"/>
            <rFont val="Arial"/>
            <family val="2"/>
          </rPr>
          <t>no  tiene tratamiento quimico del agua que suministra.</t>
        </r>
      </text>
    </comment>
    <comment ref="C246" authorId="0" shapeId="0">
      <text>
        <r>
          <rPr>
            <sz val="11"/>
            <color indexed="81"/>
            <rFont val="Arial"/>
            <family val="2"/>
          </rPr>
          <t>no  tiene tratamiento quimico del agua que suministra.</t>
        </r>
      </text>
    </comment>
    <comment ref="C247" authorId="0" shapeId="0">
      <text>
        <r>
          <rPr>
            <sz val="11"/>
            <color indexed="81"/>
            <rFont val="Arial"/>
            <family val="2"/>
          </rPr>
          <t>no tiene tratamiento quimico del agua que suministra.</t>
        </r>
      </text>
    </comment>
    <comment ref="C248" authorId="0" shapeId="0">
      <text>
        <r>
          <rPr>
            <sz val="11"/>
            <color indexed="81"/>
            <rFont val="Arial"/>
            <family val="2"/>
          </rPr>
          <t>no  tiene tratamiento quimico del agua que suministra.</t>
        </r>
      </text>
    </comment>
    <comment ref="C249" authorId="0" shapeId="0">
      <text>
        <r>
          <rPr>
            <sz val="11"/>
            <color indexed="81"/>
            <rFont val="Arial"/>
            <family val="2"/>
          </rPr>
          <t>cuenta con planta de tratamiento</t>
        </r>
      </text>
    </comment>
    <comment ref="C250" authorId="0" shapeId="0">
      <text>
        <r>
          <rPr>
            <sz val="11"/>
            <color indexed="81"/>
            <rFont val="Arial"/>
            <family val="2"/>
          </rPr>
          <t xml:space="preserve">cuanta con planta de tratamiento </t>
        </r>
      </text>
    </comment>
    <comment ref="C251" authorId="0" shapeId="0">
      <text>
        <r>
          <rPr>
            <sz val="11"/>
            <color indexed="81"/>
            <rFont val="Arial"/>
            <family val="2"/>
          </rPr>
          <t>cuenta con planta de tratamiento</t>
        </r>
      </text>
    </comment>
    <comment ref="C252" authorId="0" shapeId="0">
      <text>
        <r>
          <rPr>
            <sz val="11"/>
            <color indexed="81"/>
            <rFont val="Arial"/>
            <family val="2"/>
          </rPr>
          <t>cuenta con planta de tratamiento</t>
        </r>
      </text>
    </comment>
    <comment ref="C253" authorId="0" shapeId="0">
      <text>
        <r>
          <rPr>
            <sz val="11"/>
            <color indexed="81"/>
            <rFont val="Arial"/>
            <family val="2"/>
          </rPr>
          <t xml:space="preserve">cuenta con planta de tratamiento </t>
        </r>
      </text>
    </comment>
    <comment ref="A277" authorId="0" shapeId="0">
      <text>
        <r>
          <rPr>
            <sz val="9"/>
            <color indexed="81"/>
            <rFont val="Tahoma"/>
            <family val="2"/>
          </rPr>
          <t>INFORMACION  SEGUNDO SEMESTRE DEL AÑO 2019</t>
        </r>
      </text>
    </comment>
    <comment ref="A428" authorId="0" shapeId="0">
      <text>
        <r>
          <rPr>
            <sz val="10"/>
            <color indexed="81"/>
            <rFont val="Arial"/>
            <family val="2"/>
          </rPr>
          <t>INFORMACION SEGUNDO SEMESTRE DEL AÑO 2019</t>
        </r>
      </text>
    </comment>
    <comment ref="C431" authorId="0" shapeId="0">
      <text>
        <r>
          <rPr>
            <b/>
            <sz val="9"/>
            <color indexed="81"/>
            <rFont val="Tahoma"/>
            <family val="2"/>
          </rPr>
          <t>Usuario:</t>
        </r>
        <r>
          <rPr>
            <sz val="9"/>
            <color indexed="81"/>
            <rFont val="Tahoma"/>
            <family val="2"/>
          </rPr>
          <t xml:space="preserve">
ACUEDUCTO NO ESTA LEGALIZADO</t>
        </r>
      </text>
    </comment>
    <comment ref="C432" authorId="0" shapeId="0">
      <text>
        <r>
          <rPr>
            <sz val="10"/>
            <color indexed="81"/>
            <rFont val="Arial"/>
            <family val="2"/>
          </rPr>
          <t>ACUEDUCTO NO ESTÁ LEGALIZADO</t>
        </r>
        <r>
          <rPr>
            <b/>
            <sz val="9"/>
            <color indexed="81"/>
            <rFont val="Tahoma"/>
            <family val="2"/>
          </rPr>
          <t xml:space="preserve"> </t>
        </r>
      </text>
    </comment>
    <comment ref="C434" authorId="0" shapeId="0">
      <text>
        <r>
          <rPr>
            <sz val="10"/>
            <color indexed="81"/>
            <rFont val="Arial"/>
            <family val="2"/>
          </rPr>
          <t>ACUEDUCTO NO ESTA LEGALIZADO</t>
        </r>
        <r>
          <rPr>
            <sz val="9"/>
            <color indexed="81"/>
            <rFont val="Tahoma"/>
            <family val="2"/>
          </rPr>
          <t xml:space="preserve">
</t>
        </r>
      </text>
    </comment>
    <comment ref="C475" authorId="0" shapeId="0">
      <text>
        <r>
          <rPr>
            <sz val="10"/>
            <color indexed="81"/>
            <rFont val="Arial"/>
            <family val="2"/>
          </rPr>
          <t xml:space="preserve">TAS_URRAO:
acuedcuto en remodelacion esta a tres dias de camino </t>
        </r>
        <r>
          <rPr>
            <sz val="9"/>
            <color indexed="81"/>
            <rFont val="Tahoma"/>
            <family val="2"/>
          </rPr>
          <t xml:space="preserve">
</t>
        </r>
      </text>
    </comment>
    <comment ref="C477" authorId="0" shapeId="0">
      <text>
        <r>
          <rPr>
            <b/>
            <sz val="9"/>
            <color indexed="81"/>
            <rFont val="Tahoma"/>
            <family val="2"/>
          </rPr>
          <t xml:space="preserve">TAS_URRAO:
</t>
        </r>
        <r>
          <rPr>
            <sz val="11"/>
            <color indexed="81"/>
            <rFont val="Arial"/>
            <family val="2"/>
          </rPr>
          <t xml:space="preserve">acuedcuto fuera de servicio </t>
        </r>
      </text>
    </comment>
    <comment ref="C478" authorId="0" shapeId="0">
      <text>
        <r>
          <rPr>
            <b/>
            <sz val="9"/>
            <color indexed="81"/>
            <rFont val="Tahoma"/>
            <family val="2"/>
          </rPr>
          <t xml:space="preserve">TAS_URRAO:
</t>
        </r>
        <r>
          <rPr>
            <sz val="11"/>
            <color indexed="81"/>
            <rFont val="Arial"/>
            <family val="2"/>
          </rPr>
          <t xml:space="preserve">acuedcuto fuera de servicio </t>
        </r>
      </text>
    </comment>
    <comment ref="C488" authorId="0" shapeId="0">
      <text>
        <r>
          <rPr>
            <sz val="10"/>
            <color indexed="81"/>
            <rFont val="Arial"/>
            <family val="2"/>
          </rPr>
          <t>INFORMACION DEL AÑO 2018</t>
        </r>
      </text>
    </comment>
    <comment ref="C489" authorId="0" shapeId="0">
      <text>
        <r>
          <rPr>
            <sz val="10"/>
            <color indexed="81"/>
            <rFont val="Arial"/>
            <family val="2"/>
          </rPr>
          <t>INFORMACION DEL AÑO 2018</t>
        </r>
      </text>
    </comment>
    <comment ref="C493" authorId="0" shapeId="0">
      <text>
        <r>
          <rPr>
            <sz val="10"/>
            <color indexed="81"/>
            <rFont val="Arial"/>
            <family val="2"/>
          </rPr>
          <t>INFORMACION DEL AÑO 2018</t>
        </r>
      </text>
    </comment>
    <comment ref="A501" authorId="0" shapeId="0">
      <text>
        <r>
          <rPr>
            <sz val="10"/>
            <color indexed="81"/>
            <rFont val="Arial"/>
            <family val="2"/>
          </rPr>
          <t>INFORMACIÓN SEGUNDO SEMESTRE DEL AÑO 2019</t>
        </r>
      </text>
    </comment>
  </commentList>
</comments>
</file>

<file path=xl/comments6.xml><?xml version="1.0" encoding="utf-8"?>
<comments xmlns="http://schemas.openxmlformats.org/spreadsheetml/2006/main">
  <authors>
    <author>JHON WILLIAM TABARES MORALES</author>
  </authors>
  <commentList>
    <comment ref="C11"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2"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3"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4"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5"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6"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7"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8"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19"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20"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1" authorId="0" shapeId="0">
      <text>
        <r>
          <rPr>
            <b/>
            <sz val="9"/>
            <color indexed="81"/>
            <rFont val="Tahoma"/>
            <family val="2"/>
          </rPr>
          <t>JHON WILLIAM TABARES MORALES:</t>
        </r>
        <r>
          <rPr>
            <sz val="9"/>
            <color indexed="81"/>
            <rFont val="Tahoma"/>
            <family val="2"/>
          </rPr>
          <t xml:space="preserve">
El Tecnico Area de Salud  no envio informacíon para el año 2018</t>
        </r>
      </text>
    </comment>
    <comment ref="C22"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3"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6"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 ref="C27" authorId="0" shapeId="0">
      <text>
        <r>
          <rPr>
            <b/>
            <sz val="9"/>
            <color indexed="81"/>
            <rFont val="Tahoma"/>
            <family val="2"/>
          </rPr>
          <t>JHON WILLIAM TABARES MORALES:</t>
        </r>
        <r>
          <rPr>
            <sz val="9"/>
            <color indexed="81"/>
            <rFont val="Tahoma"/>
            <family val="2"/>
          </rPr>
          <t xml:space="preserve">
En el  2018 no se realizan visitas a acueductos rurales ni toma de muestras</t>
        </r>
      </text>
    </comment>
  </commentList>
</comments>
</file>

<file path=xl/comments7.xml><?xml version="1.0" encoding="utf-8"?>
<comments xmlns="http://schemas.openxmlformats.org/spreadsheetml/2006/main">
  <authors>
    <author>Usuario</author>
  </authors>
  <commentList>
    <comment ref="C60" authorId="0" shapeId="0">
      <text>
        <r>
          <rPr>
            <b/>
            <sz val="9"/>
            <color indexed="81"/>
            <rFont val="Tahoma"/>
            <family val="2"/>
          </rPr>
          <t>Usuario:</t>
        </r>
        <r>
          <rPr>
            <sz val="9"/>
            <color indexed="81"/>
            <rFont val="Tahoma"/>
            <family val="2"/>
          </rPr>
          <t xml:space="preserve">
En Providencia actualmente solo existe un sistema de acueducto (la plata) ya que los dos fueron unificados.</t>
        </r>
      </text>
    </comment>
  </commentList>
</comments>
</file>

<file path=xl/comments8.xml><?xml version="1.0" encoding="utf-8"?>
<comments xmlns="http://schemas.openxmlformats.org/spreadsheetml/2006/main">
  <authors>
    <author>Usuario</author>
  </authors>
  <commentList>
    <comment ref="A127" authorId="0" shapeId="0">
      <text>
        <r>
          <rPr>
            <sz val="10"/>
            <color indexed="81"/>
            <rFont val="Arial"/>
            <family val="2"/>
          </rPr>
          <t>INFORMACION SEGUNDO SEMESTRE DEL AÑO 2019</t>
        </r>
      </text>
    </comment>
    <comment ref="A150" authorId="0" shapeId="0">
      <text>
        <r>
          <rPr>
            <sz val="9"/>
            <color indexed="81"/>
            <rFont val="Tahoma"/>
            <family val="2"/>
          </rPr>
          <t>INFORMACION DEL SEGUNDO SEMESTRE DEL AÑO 2019</t>
        </r>
      </text>
    </comment>
    <comment ref="A154" authorId="0" shapeId="0">
      <text>
        <r>
          <rPr>
            <sz val="10"/>
            <color indexed="81"/>
            <rFont val="Arial"/>
            <family val="2"/>
          </rPr>
          <t>INFORMACION SEGUNDO SEMESTRE DEL AÑO 2019</t>
        </r>
      </text>
    </comment>
    <comment ref="A182" authorId="0" shapeId="0">
      <text>
        <r>
          <rPr>
            <sz val="10"/>
            <color indexed="81"/>
            <rFont val="Arial"/>
            <family val="2"/>
          </rPr>
          <t xml:space="preserve">INFORMACION SEGUNDO SEMESTRE DEL AÑO 2019 
</t>
        </r>
      </text>
    </comment>
    <comment ref="A204" authorId="0" shapeId="0">
      <text>
        <r>
          <rPr>
            <sz val="10"/>
            <color indexed="81"/>
            <rFont val="Arial"/>
            <family val="2"/>
          </rPr>
          <t>INFORMACION SEGUNDO SEMESTRE DEL AÑO 2019</t>
        </r>
      </text>
    </comment>
    <comment ref="A241" authorId="0" shapeId="0">
      <text>
        <r>
          <rPr>
            <sz val="10"/>
            <color indexed="81"/>
            <rFont val="Arial"/>
            <family val="2"/>
          </rPr>
          <t>INFORMACION SEGUNDO SEMESTRE DEL AÑO 2019</t>
        </r>
      </text>
    </comment>
    <comment ref="A264" authorId="0" shapeId="0">
      <text>
        <r>
          <rPr>
            <sz val="10"/>
            <color indexed="81"/>
            <rFont val="Arial"/>
            <family val="2"/>
          </rPr>
          <t>INFORMACION SEGUNDO SEMESTRE DEL AÑO 2019</t>
        </r>
      </text>
    </comment>
    <comment ref="A367" authorId="0" shapeId="0">
      <text>
        <r>
          <rPr>
            <sz val="10"/>
            <color indexed="81"/>
            <rFont val="Arial"/>
            <family val="2"/>
          </rPr>
          <t>INFORMACION SEGUNDO SEMESTRE DEL AÑO 2019</t>
        </r>
      </text>
    </comment>
    <comment ref="A423" authorId="0" shapeId="0">
      <text>
        <r>
          <rPr>
            <sz val="10"/>
            <color indexed="81"/>
            <rFont val="Arial"/>
            <family val="2"/>
          </rPr>
          <t>INFORMACION SEGUNDO SEMESTRE DEL AÑO 2019</t>
        </r>
      </text>
    </comment>
    <comment ref="C442" authorId="0" shapeId="0">
      <text>
        <r>
          <rPr>
            <sz val="10"/>
            <color indexed="81"/>
            <rFont val="Arial}"/>
          </rPr>
          <t>FALTA INFORMACION DEL SEGUNDO SEMESTRE DEL 2019</t>
        </r>
      </text>
    </comment>
    <comment ref="C443" authorId="0" shapeId="0">
      <text>
        <r>
          <rPr>
            <sz val="10"/>
            <color indexed="81"/>
            <rFont val="Arial"/>
            <family val="2"/>
          </rPr>
          <t>FALTA INFORMACION DEL SEGUNDO SEMESTRE DEL AÑO 2019</t>
        </r>
      </text>
    </comment>
    <comment ref="C481" authorId="0" shapeId="0">
      <text>
        <r>
          <rPr>
            <sz val="10"/>
            <color indexed="81"/>
            <rFont val="Arial"/>
            <family val="2"/>
          </rPr>
          <t>INFORMACIÓN  IRCA DEL AÑO 2018</t>
        </r>
      </text>
    </comment>
    <comment ref="C482" authorId="0" shapeId="0">
      <text>
        <r>
          <rPr>
            <sz val="10"/>
            <color indexed="81"/>
            <rFont val="Arial"/>
            <family val="2"/>
          </rPr>
          <t>INFORMACION IRCA AÑO 2018</t>
        </r>
      </text>
    </comment>
    <comment ref="C483" authorId="0" shapeId="0">
      <text>
        <r>
          <rPr>
            <sz val="10"/>
            <color indexed="81"/>
            <rFont val="Arial"/>
            <family val="2"/>
          </rPr>
          <t>INFORMACION IRCA  DEL AÑO 2018</t>
        </r>
      </text>
    </comment>
    <comment ref="C484" authorId="0" shapeId="0">
      <text>
        <r>
          <rPr>
            <sz val="10"/>
            <color indexed="81"/>
            <rFont val="Arial"/>
            <family val="2"/>
          </rPr>
          <t xml:space="preserve">INFORMACION IRCA DEL AÑO 2018
</t>
        </r>
      </text>
    </comment>
    <comment ref="C488" authorId="0" shapeId="0">
      <text>
        <r>
          <rPr>
            <sz val="10"/>
            <color indexed="81"/>
            <rFont val="Arial"/>
            <family val="2"/>
          </rPr>
          <t>INFORMACION IRCA DEL AÑO 2018</t>
        </r>
      </text>
    </comment>
    <comment ref="A489" authorId="0" shapeId="0">
      <text>
        <r>
          <rPr>
            <sz val="10"/>
            <color indexed="81"/>
            <rFont val="Arial"/>
            <family val="2"/>
          </rPr>
          <t>INFORMACIÓN SEGUNDO SEMESTRE DEL AÑO 2019</t>
        </r>
      </text>
    </comment>
    <comment ref="A506" authorId="0" shapeId="0">
      <text>
        <r>
          <rPr>
            <sz val="10"/>
            <color indexed="81"/>
            <rFont val="Arial"/>
            <family val="2"/>
          </rPr>
          <t>INFORMACION SEGUNDO SEMESTRE DEL AÑO 2019</t>
        </r>
      </text>
    </comment>
    <comment ref="C554" authorId="0" shapeId="0">
      <text>
        <r>
          <rPr>
            <sz val="10"/>
            <color indexed="81"/>
            <rFont val="Arial"/>
            <family val="2"/>
          </rPr>
          <t xml:space="preserve">INFORMACION DEL AÑO 2018
</t>
        </r>
      </text>
    </comment>
    <comment ref="C555" authorId="0" shapeId="0">
      <text>
        <r>
          <rPr>
            <sz val="10"/>
            <color indexed="81"/>
            <rFont val="Arial"/>
            <family val="2"/>
          </rPr>
          <t xml:space="preserve">INFORMACION DEL AÑO 2018
</t>
        </r>
      </text>
    </comment>
    <comment ref="C556" authorId="0" shapeId="0">
      <text>
        <r>
          <rPr>
            <sz val="10"/>
            <color indexed="81"/>
            <rFont val="Arial"/>
            <family val="2"/>
          </rPr>
          <t>INFORMACION  DEL AÑO 2018</t>
        </r>
      </text>
    </comment>
    <comment ref="C559" authorId="0" shapeId="0">
      <text>
        <r>
          <rPr>
            <sz val="10"/>
            <color indexed="81"/>
            <rFont val="Arial"/>
            <family val="2"/>
          </rPr>
          <t>INFORMACION DEL AÑO 2018</t>
        </r>
      </text>
    </comment>
    <comment ref="C560" authorId="0" shapeId="0">
      <text>
        <r>
          <rPr>
            <sz val="10"/>
            <color indexed="81"/>
            <rFont val="Arial"/>
            <family val="2"/>
          </rPr>
          <t>INFORMACION DEL AÑO 2018</t>
        </r>
      </text>
    </comment>
    <comment ref="C562" authorId="0" shapeId="0">
      <text>
        <r>
          <rPr>
            <sz val="10"/>
            <color indexed="81"/>
            <rFont val="Arial"/>
            <family val="2"/>
          </rPr>
          <t>INFORMACION DEL AÑO 2018</t>
        </r>
      </text>
    </comment>
    <comment ref="C564" authorId="0" shapeId="0">
      <text>
        <r>
          <rPr>
            <sz val="10"/>
            <color indexed="81"/>
            <rFont val="Arial"/>
            <family val="2"/>
          </rPr>
          <t>INFORMACION DEL AÑO 2018</t>
        </r>
      </text>
    </comment>
    <comment ref="C568" authorId="0" shapeId="0">
      <text>
        <r>
          <rPr>
            <sz val="10"/>
            <color indexed="81"/>
            <rFont val="Arial"/>
            <family val="2"/>
          </rPr>
          <t xml:space="preserve">INFORMACION DEL AÑO 2018
</t>
        </r>
      </text>
    </comment>
  </commentList>
</comments>
</file>

<file path=xl/comments9.xml><?xml version="1.0" encoding="utf-8"?>
<comments xmlns="http://schemas.openxmlformats.org/spreadsheetml/2006/main">
  <authors>
    <author>ROGELIO DE JESUS LOPEZ</author>
  </authors>
  <commentList>
    <comment ref="E208" authorId="0" shapeId="0">
      <text>
        <r>
          <rPr>
            <b/>
            <sz val="9"/>
            <color indexed="81"/>
            <rFont val="Tahoma"/>
            <family val="2"/>
          </rPr>
          <t>ROGELIO DE JESUS LOPEZ:</t>
        </r>
        <r>
          <rPr>
            <sz val="9"/>
            <color indexed="81"/>
            <rFont val="Tahoma"/>
            <family val="2"/>
          </rPr>
          <t xml:space="preserve">
EL porcentaje es con respecto al total de las muestras y no a numero de sistemas
</t>
        </r>
      </text>
    </comment>
  </commentList>
</comments>
</file>

<file path=xl/sharedStrings.xml><?xml version="1.0" encoding="utf-8"?>
<sst xmlns="http://schemas.openxmlformats.org/spreadsheetml/2006/main" count="8287" uniqueCount="4582">
  <si>
    <t>Vereda Santa Ana</t>
  </si>
  <si>
    <t>Vereda Guayabal</t>
  </si>
  <si>
    <t>Vereda La Florida</t>
  </si>
  <si>
    <t>Vereda Buena Vista</t>
  </si>
  <si>
    <t>Corregimiento El Tres</t>
  </si>
  <si>
    <t>Vereda El Roble</t>
  </si>
  <si>
    <t>Vereda Santa Catalina</t>
  </si>
  <si>
    <t>Santo Domingo</t>
  </si>
  <si>
    <t>Vereda La Palma</t>
  </si>
  <si>
    <t>Vereda San Francisco</t>
  </si>
  <si>
    <t>Vereda La Quiebra</t>
  </si>
  <si>
    <t>Municipio</t>
  </si>
  <si>
    <t>Vereda Potrerito</t>
  </si>
  <si>
    <t>Corregimiento Puerto Belgica</t>
  </si>
  <si>
    <t>Corregimiento Guarumo</t>
  </si>
  <si>
    <t>Nechi</t>
  </si>
  <si>
    <t>Vereda El Guadual</t>
  </si>
  <si>
    <t>Vereda La Estrella</t>
  </si>
  <si>
    <t>Vereda La Mina</t>
  </si>
  <si>
    <t>Vereda San Luis</t>
  </si>
  <si>
    <t>Vereda La Clara</t>
  </si>
  <si>
    <t>ENE.</t>
  </si>
  <si>
    <t>FEB.</t>
  </si>
  <si>
    <t>MAR.</t>
  </si>
  <si>
    <t>ABR.</t>
  </si>
  <si>
    <t>MAY.</t>
  </si>
  <si>
    <t>JUN.</t>
  </si>
  <si>
    <t>JUL.</t>
  </si>
  <si>
    <t>AGO.</t>
  </si>
  <si>
    <t>SEP.</t>
  </si>
  <si>
    <t>OCT.</t>
  </si>
  <si>
    <t>NOV.</t>
  </si>
  <si>
    <t>DIC.</t>
  </si>
  <si>
    <t>INDICE DE RIESGO DE CALIDAD DEL AGUA - IRCA- %</t>
  </si>
  <si>
    <t>% IRCA  ACOMULADO</t>
  </si>
  <si>
    <t>NIVEL DE RIESGO</t>
  </si>
  <si>
    <t>APTA PARA CONSUMO HUMANO</t>
  </si>
  <si>
    <t>MUNICIPIO</t>
  </si>
  <si>
    <t>LOCALIDAD(VEREDA)</t>
  </si>
  <si>
    <t>Vereda Mocorongo</t>
  </si>
  <si>
    <t>Vereda Cestillal</t>
  </si>
  <si>
    <t>Vereda Graciano</t>
  </si>
  <si>
    <t>Vereda Aguas Claras Arriba</t>
  </si>
  <si>
    <t>Vereda Chorrohondo La Meseta</t>
  </si>
  <si>
    <t>Vereda El Guayabo</t>
  </si>
  <si>
    <t>La Ceja</t>
  </si>
  <si>
    <t>Vereda La Virgen</t>
  </si>
  <si>
    <t>Betulia</t>
  </si>
  <si>
    <t>Vereda La Cascada</t>
  </si>
  <si>
    <t>Vereda San Pablo</t>
  </si>
  <si>
    <t>Vereda Puerto Santo</t>
  </si>
  <si>
    <t>Vereda Quebrada Arriba</t>
  </si>
  <si>
    <t>Corregimento Las Flores</t>
  </si>
  <si>
    <t>Vereda La Meseta</t>
  </si>
  <si>
    <t>San Carlos</t>
  </si>
  <si>
    <t>Vereda Monteloro</t>
  </si>
  <si>
    <t>Puerto Triunfo</t>
  </si>
  <si>
    <t>Junta de Accion Comunal</t>
  </si>
  <si>
    <t>Corregimiento Buenos Aires</t>
  </si>
  <si>
    <t>Vereda Malpaso</t>
  </si>
  <si>
    <t>Vereda Quebradona Abajo</t>
  </si>
  <si>
    <t>Vereda La Peña</t>
  </si>
  <si>
    <t>Vereda La Montañita</t>
  </si>
  <si>
    <t>Vereda El Cerro</t>
  </si>
  <si>
    <t>Vereda El Vergel</t>
  </si>
  <si>
    <t>Vereda El Zancudo</t>
  </si>
  <si>
    <t>Vereda El Porvenir</t>
  </si>
  <si>
    <t>Vereda San Rafael</t>
  </si>
  <si>
    <t>Vereda La Chorrera</t>
  </si>
  <si>
    <t xml:space="preserve">Vereda El Sesenta </t>
  </si>
  <si>
    <t>Vereda El Salado</t>
  </si>
  <si>
    <t>Vereda La Playa</t>
  </si>
  <si>
    <t>Vereda Buenos Aires</t>
  </si>
  <si>
    <t>Vereda Chontadural</t>
  </si>
  <si>
    <t>Vereda Los Cedros</t>
  </si>
  <si>
    <t>San Luis</t>
  </si>
  <si>
    <t>Vereda CharcoVerde</t>
  </si>
  <si>
    <t xml:space="preserve">Vereda La Unión </t>
  </si>
  <si>
    <t>Vereda La Primavera</t>
  </si>
  <si>
    <t>Barbosa</t>
  </si>
  <si>
    <t>Bello</t>
  </si>
  <si>
    <t>Girardota</t>
  </si>
  <si>
    <t>Rionegro</t>
  </si>
  <si>
    <t>Murindo</t>
  </si>
  <si>
    <t>Vereda Zumbido Medio</t>
  </si>
  <si>
    <t>Asociación de Usuarios de Acueducto y Alcantarillado de la Vereda La Matica Baja</t>
  </si>
  <si>
    <t>Asociación de Usuarios de Acueducto Vereda El Paraíso</t>
  </si>
  <si>
    <t>Vereda La Matica Baja</t>
  </si>
  <si>
    <t>Vereda El Paraiso</t>
  </si>
  <si>
    <t>Armenia</t>
  </si>
  <si>
    <t>Vereda Sabaneta</t>
  </si>
  <si>
    <t>Vereda Maria Auxiliadora</t>
  </si>
  <si>
    <t>Vereda Las Lomitas</t>
  </si>
  <si>
    <t>Vereda La Doctora</t>
  </si>
  <si>
    <t>Vereda San José</t>
  </si>
  <si>
    <t>Vereda Cañaveralejo</t>
  </si>
  <si>
    <t>Vereda Pan de Azucar</t>
  </si>
  <si>
    <t>San Rafael</t>
  </si>
  <si>
    <t>Vereda San Andres</t>
  </si>
  <si>
    <t>Vereda San Isidro</t>
  </si>
  <si>
    <t>Vereda Guadual</t>
  </si>
  <si>
    <t>Vereda El Barro</t>
  </si>
  <si>
    <t>REGIONAL</t>
  </si>
  <si>
    <t>VEREDAS MUNICIPIO</t>
  </si>
  <si>
    <t>TOTAL SISTEMAS</t>
  </si>
  <si>
    <t>%</t>
  </si>
  <si>
    <t>AREA METROPOLITANA</t>
  </si>
  <si>
    <t>Medellín</t>
  </si>
  <si>
    <t>Caldas</t>
  </si>
  <si>
    <t>Copacabana</t>
  </si>
  <si>
    <t>Itagui</t>
  </si>
  <si>
    <t>Envigado</t>
  </si>
  <si>
    <t>Sabaneta</t>
  </si>
  <si>
    <t>La Estrella</t>
  </si>
  <si>
    <t>SUBTOTAL</t>
  </si>
  <si>
    <t>URABA</t>
  </si>
  <si>
    <t>Apartado</t>
  </si>
  <si>
    <t>Arboletes</t>
  </si>
  <si>
    <t>Carepa</t>
  </si>
  <si>
    <t>Chigorodo</t>
  </si>
  <si>
    <t>Mutata</t>
  </si>
  <si>
    <t>Necocli</t>
  </si>
  <si>
    <t>San Juan de Urabá</t>
  </si>
  <si>
    <t>San Pedro de Urabá</t>
  </si>
  <si>
    <t>Vigía del Fuerte</t>
  </si>
  <si>
    <t>Turbo</t>
  </si>
  <si>
    <t>NORTE</t>
  </si>
  <si>
    <t>Angostura</t>
  </si>
  <si>
    <t>Belmira</t>
  </si>
  <si>
    <t>Briceño</t>
  </si>
  <si>
    <t>Campamento</t>
  </si>
  <si>
    <t>Carolina del Príncipe</t>
  </si>
  <si>
    <t>Don Matías</t>
  </si>
  <si>
    <t>Gómez Plata</t>
  </si>
  <si>
    <t>Guadalupe</t>
  </si>
  <si>
    <t>Ituango</t>
  </si>
  <si>
    <t>San Andrés de Cuerquia</t>
  </si>
  <si>
    <t>San José de la Montaña</t>
  </si>
  <si>
    <t>San Pedro de los Milagros</t>
  </si>
  <si>
    <t>Santa Rosa de Osos</t>
  </si>
  <si>
    <t>Toledo</t>
  </si>
  <si>
    <t>Valdivia</t>
  </si>
  <si>
    <t>Yarumal</t>
  </si>
  <si>
    <t>OCCIDENTE</t>
  </si>
  <si>
    <t>Abriaqui</t>
  </si>
  <si>
    <t>Anza</t>
  </si>
  <si>
    <t>Buritica</t>
  </si>
  <si>
    <t>Cañas gordas</t>
  </si>
  <si>
    <t>Dabeiba</t>
  </si>
  <si>
    <t>Ebejico</t>
  </si>
  <si>
    <t>Frontino</t>
  </si>
  <si>
    <t>Caicedo</t>
  </si>
  <si>
    <t>Giraldo</t>
  </si>
  <si>
    <t>Heliconia</t>
  </si>
  <si>
    <t>Liborina</t>
  </si>
  <si>
    <t>Olaya</t>
  </si>
  <si>
    <t>Peque</t>
  </si>
  <si>
    <t>Sabanalarga</t>
  </si>
  <si>
    <t>San Jerónimo</t>
  </si>
  <si>
    <t>Santa Fe de Antioquia</t>
  </si>
  <si>
    <t>Sopetran</t>
  </si>
  <si>
    <t>Uramita</t>
  </si>
  <si>
    <t>SUROESTE</t>
  </si>
  <si>
    <t>Amaga</t>
  </si>
  <si>
    <t>Andes</t>
  </si>
  <si>
    <t>Betania</t>
  </si>
  <si>
    <t>Caramanta</t>
  </si>
  <si>
    <t>Ciudad Bolívar</t>
  </si>
  <si>
    <t>Concordia</t>
  </si>
  <si>
    <t>Fredonia</t>
  </si>
  <si>
    <t>Hispania</t>
  </si>
  <si>
    <t>Jardín</t>
  </si>
  <si>
    <t>Jericó</t>
  </si>
  <si>
    <t>La Pintada</t>
  </si>
  <si>
    <t>Montebello</t>
  </si>
  <si>
    <t>Pueblorrico</t>
  </si>
  <si>
    <t>Salgar</t>
  </si>
  <si>
    <t>Santa Bárbara</t>
  </si>
  <si>
    <t>Tamesis</t>
  </si>
  <si>
    <t>Tarso</t>
  </si>
  <si>
    <t>Titiribí</t>
  </si>
  <si>
    <t>Urrao</t>
  </si>
  <si>
    <t>Valparaíso</t>
  </si>
  <si>
    <t>Venecia</t>
  </si>
  <si>
    <t>BAJO CAUCA</t>
  </si>
  <si>
    <t>Caucasia</t>
  </si>
  <si>
    <t>Cáceres</t>
  </si>
  <si>
    <t>El Bagre</t>
  </si>
  <si>
    <t>Tarazá</t>
  </si>
  <si>
    <t>Zaragoza</t>
  </si>
  <si>
    <t>MAGDALENA MEDIO</t>
  </si>
  <si>
    <t>Caracolí</t>
  </si>
  <si>
    <t>Maceo</t>
  </si>
  <si>
    <t>Puerto Berrio</t>
  </si>
  <si>
    <t>Puerto Nare</t>
  </si>
  <si>
    <t>Yondo</t>
  </si>
  <si>
    <t>NORDESTE</t>
  </si>
  <si>
    <t>Amalfi</t>
  </si>
  <si>
    <t>Anori</t>
  </si>
  <si>
    <t>Cisneros</t>
  </si>
  <si>
    <t>Remedios</t>
  </si>
  <si>
    <t>San Roque</t>
  </si>
  <si>
    <t>Segovia</t>
  </si>
  <si>
    <t>Vegachi</t>
  </si>
  <si>
    <t>Yali</t>
  </si>
  <si>
    <t>Yolombo</t>
  </si>
  <si>
    <t>ORIENTE</t>
  </si>
  <si>
    <t>Abejorral</t>
  </si>
  <si>
    <t>Alejandría</t>
  </si>
  <si>
    <t>Argelia</t>
  </si>
  <si>
    <t>Cocorná</t>
  </si>
  <si>
    <t>Concepción</t>
  </si>
  <si>
    <t>El Carmen de Viboral</t>
  </si>
  <si>
    <t>El Peñol</t>
  </si>
  <si>
    <t>El Retiro</t>
  </si>
  <si>
    <t>El Santuario</t>
  </si>
  <si>
    <t>Granada</t>
  </si>
  <si>
    <t>Guarne</t>
  </si>
  <si>
    <t>Guatapé</t>
  </si>
  <si>
    <t>La Unión</t>
  </si>
  <si>
    <t>Marinilla</t>
  </si>
  <si>
    <t>Nariño</t>
  </si>
  <si>
    <t>San Francisco</t>
  </si>
  <si>
    <t>San Vicente</t>
  </si>
  <si>
    <t>Sonsón</t>
  </si>
  <si>
    <t>TOTAL</t>
  </si>
  <si>
    <t>Uraba</t>
  </si>
  <si>
    <t>Norte</t>
  </si>
  <si>
    <t>Occidente</t>
  </si>
  <si>
    <t>Suroeste</t>
  </si>
  <si>
    <t>Bajo Cauca</t>
  </si>
  <si>
    <t>Magdalena Medio</t>
  </si>
  <si>
    <t xml:space="preserve">Nordeste </t>
  </si>
  <si>
    <t>Oriente</t>
  </si>
  <si>
    <t>Cañasgordas</t>
  </si>
  <si>
    <t>Caceres</t>
  </si>
  <si>
    <t>Vereda Llano Grande</t>
  </si>
  <si>
    <t>Vereda Mercedes Abrego</t>
  </si>
  <si>
    <t>Asociación de Usuarios de Acueducto Vereda El Barro Sector El Salto</t>
  </si>
  <si>
    <t xml:space="preserve">Vereda Cañaveral </t>
  </si>
  <si>
    <t>Vereda La Cejita</t>
  </si>
  <si>
    <t>Corregimiento El Carmelo</t>
  </si>
  <si>
    <t>Vereda Mellito Alto</t>
  </si>
  <si>
    <t>Vereda La Esperanza</t>
  </si>
  <si>
    <t>Vereda El Rosario</t>
  </si>
  <si>
    <t>Vereda Pueblo Chino</t>
  </si>
  <si>
    <t>Vereda El Yeso</t>
  </si>
  <si>
    <t>Vereda Los Cajones</t>
  </si>
  <si>
    <t>Vereda Siete Hermanas</t>
  </si>
  <si>
    <t>Valle de Aburra</t>
  </si>
  <si>
    <t>Sin Riesgo</t>
  </si>
  <si>
    <t>Bajo</t>
  </si>
  <si>
    <t>Medio</t>
  </si>
  <si>
    <t>Alto</t>
  </si>
  <si>
    <t>Inviable Sanitariamente</t>
  </si>
  <si>
    <t>Sin Dato</t>
  </si>
  <si>
    <t>Número de Sistemas</t>
  </si>
  <si>
    <t>Regional</t>
  </si>
  <si>
    <t>SECRETARIA SECCIONAL DE SALUD Y PROTECCION SOCIAL DE ANTIOQUIA</t>
  </si>
  <si>
    <t>DIRECION DE FACTORES DE RIESGOS</t>
  </si>
  <si>
    <t>Versión: 01</t>
  </si>
  <si>
    <t>Página 1 de 1</t>
  </si>
  <si>
    <t>PERSONA PRESTADORA DEL SERVICIO</t>
  </si>
  <si>
    <r>
      <rPr>
        <sz val="11"/>
        <rFont val="Arial"/>
        <family val="2"/>
      </rPr>
      <t xml:space="preserve">0.0 - 5 %: 
</t>
    </r>
    <r>
      <rPr>
        <b/>
        <sz val="11"/>
        <rFont val="Arial"/>
        <family val="2"/>
      </rPr>
      <t>Sin Riesgo</t>
    </r>
  </si>
  <si>
    <r>
      <rPr>
        <sz val="11"/>
        <rFont val="Arial"/>
        <family val="2"/>
      </rPr>
      <t>5.1  - 14 %:</t>
    </r>
    <r>
      <rPr>
        <b/>
        <sz val="11"/>
        <rFont val="Arial"/>
        <family val="2"/>
      </rPr>
      <t xml:space="preserve">  Riesgo Bajo</t>
    </r>
  </si>
  <si>
    <r>
      <rPr>
        <sz val="11"/>
        <rFont val="Arial"/>
        <family val="2"/>
      </rPr>
      <t xml:space="preserve">35.1 - 80 %
</t>
    </r>
    <r>
      <rPr>
        <b/>
        <sz val="11"/>
        <rFont val="Arial"/>
        <family val="2"/>
      </rPr>
      <t xml:space="preserve"> Alto</t>
    </r>
  </si>
  <si>
    <t>Convenciones:</t>
  </si>
  <si>
    <r>
      <rPr>
        <sz val="11"/>
        <color indexed="9"/>
        <rFont val="Arial"/>
        <family val="2"/>
      </rPr>
      <t>80.1 -  100 %:</t>
    </r>
    <r>
      <rPr>
        <b/>
        <sz val="11"/>
        <color indexed="9"/>
        <rFont val="Arial"/>
        <family val="2"/>
      </rPr>
      <t xml:space="preserve"> 
Inviable Sanitariamente</t>
    </r>
  </si>
  <si>
    <r>
      <t xml:space="preserve">SUBREGION: </t>
    </r>
    <r>
      <rPr>
        <sz val="12"/>
        <rFont val="Arial"/>
        <family val="2"/>
      </rPr>
      <t>MAGDALENA MEDIO</t>
    </r>
  </si>
  <si>
    <r>
      <t xml:space="preserve">SUBREGION: </t>
    </r>
    <r>
      <rPr>
        <sz val="12"/>
        <rFont val="Arial"/>
        <family val="2"/>
      </rPr>
      <t>NORDESTE</t>
    </r>
  </si>
  <si>
    <t>DIRECCION DE FACTORES DE RIESGOS</t>
  </si>
  <si>
    <t>Corporación de Acueducto Multiveredal Santa Elena</t>
  </si>
  <si>
    <t>Vereda Buga</t>
  </si>
  <si>
    <t>Corporación de Acueducto Piedras Blancas</t>
  </si>
  <si>
    <t>Junta Pro-Acueducto Vallecitos-Vallecitos</t>
  </si>
  <si>
    <t>Corregimiento El Hatillo-El Paraiso</t>
  </si>
  <si>
    <t>Vereda El Tablazo-Hatillo</t>
  </si>
  <si>
    <t>Acueducto Comunal Tablazo-Hatillo</t>
  </si>
  <si>
    <t>Vereda Tablazo-Popalito</t>
  </si>
  <si>
    <t>Acueducto Veredal El Tablazo Popalito</t>
  </si>
  <si>
    <t>Asociación de Usuarios del Acueducto y/o Alcantarillado de La Vereda Las Victorias,(ASUAVIC)</t>
  </si>
  <si>
    <t>Vereda Las Peñas</t>
  </si>
  <si>
    <t>Acueducto Veredal Las Peñas</t>
  </si>
  <si>
    <t>Asociación de Usuarios Acueducto Vereda Potrerito</t>
  </si>
  <si>
    <t>Asociación de Usuarios Acueducto Vereda La Cejita</t>
  </si>
  <si>
    <t>Corporación de Asociados de Acueducto Vereda Filoverde</t>
  </si>
  <si>
    <t>Parcelación Popalito</t>
  </si>
  <si>
    <t>Vereda El Roble-Pantanillo</t>
  </si>
  <si>
    <t>Asociación de Suscriptores del Acueducto Multiveredal El Roble-Pantanillo</t>
  </si>
  <si>
    <t>Asociación de Usuarios del Acueducto y/o Alcantarillado de La Vereda Cestillal</t>
  </si>
  <si>
    <t>Vereda Aguas Claras Abajo</t>
  </si>
  <si>
    <t>Comité Empresarial de Acueducto Aguas Clara Abajo.</t>
  </si>
  <si>
    <t>Asociación de Usuarios del Acueducto y/o Alcantarillado de La Vereda La Chapa Parte Baja</t>
  </si>
  <si>
    <t>Asociación de Usuarios del Acueducto y Alcantarillado de La Vereda San Rafael</t>
  </si>
  <si>
    <t>Asociación Junta Administradora de Acueducto de La Vereda La Calda.</t>
  </si>
  <si>
    <t>Corporación de Asociados del Acueducto Vereda La Montañita</t>
  </si>
  <si>
    <t xml:space="preserve">Corregimiento San Felix </t>
  </si>
  <si>
    <t>Asociación de Usuarios del Acueducto y Alcantarillado de San Félix-Agualinda - Asociación Agualinda</t>
  </si>
  <si>
    <t>Asociación de Usuarios "Acueducto Charco Verde"</t>
  </si>
  <si>
    <t>Asociación de Usuarios Acueducto Veredal La Unión-Bello</t>
  </si>
  <si>
    <t>Junta de Accion Comunal Vereda La Primavera Sector El Salado</t>
  </si>
  <si>
    <t>Asociación de Usuarios del Acueducto "Aguas de Potrerito"</t>
  </si>
  <si>
    <t>Vereda Tierradentro Parte Baja</t>
  </si>
  <si>
    <t>Junta de Accion Comunal Tierradentro Parte Baja</t>
  </si>
  <si>
    <t>Vereda Tierradentro Planta Fabricato</t>
  </si>
  <si>
    <t>Acueducto Tierradentro Planta Fabricato</t>
  </si>
  <si>
    <t>Vereda Los Espejos</t>
  </si>
  <si>
    <t>Junta de Accion Comunal Vereda Los Espejos</t>
  </si>
  <si>
    <t>Vereda Guasimalito</t>
  </si>
  <si>
    <t xml:space="preserve">Asociación de Suscriptores o Usuarios del Acueducto Guasimalito </t>
  </si>
  <si>
    <t>Junta Administradora Acueducto Vereda Buenavista</t>
  </si>
  <si>
    <t>Vereda Jalisco-La Loca</t>
  </si>
  <si>
    <t>Junta Administradora Acueducto Veredal Jalisco-La Loca</t>
  </si>
  <si>
    <t>Vereda Tambo-Meneses</t>
  </si>
  <si>
    <t>Acueducto Tambo-Meneses</t>
  </si>
  <si>
    <t>Vereda Jalisco-Los Carvajares</t>
  </si>
  <si>
    <t>Junta Administradora Acueducto Veredal Jalisco-Los Carvajares</t>
  </si>
  <si>
    <t>Junta de Accion Comunal de La Vereda El Salado</t>
  </si>
  <si>
    <t>Asociación Comunitaria Acueducto vereda San Diego del municipio de Girardota (ACUASANDIEGO)-San Diego</t>
  </si>
  <si>
    <t>Asociación Campesina No Nacional de Usuarios del Acueducto y Alcantarillado de la Vereda Portachuelo - Portachuelo</t>
  </si>
  <si>
    <t>Asociación de Suscriptores del Acueducto Multiveredal El Roble (PTAP Pantano Frío) - El Palmar y Yarumo</t>
  </si>
  <si>
    <t>Asociación de Usuarios del  Acueducto Veredal Manga Arriba Etapa I Malpaso-Etapa I Malpaso</t>
  </si>
  <si>
    <t>Asociación Acueducto Ecosostenible Vereda La Meseta - ACME</t>
  </si>
  <si>
    <t>Asociación de Usuarios del Acueducto vereda Manga Arriba Sector La Loma-Sector La Loma</t>
  </si>
  <si>
    <t xml:space="preserve">Asociación de Usuarios Acueducto Juan Cojo Cuchillas ASUAJUC (PTAP Tábano) - Tábano      </t>
  </si>
  <si>
    <t>Asociación de Usuarios Acueducto Juan Cojo Cuchillas  ASUAJUC (PTAP El Tigre) - El Tigre y Los Cortes</t>
  </si>
  <si>
    <t>Asociación de Usuarios del Acueducto Veredal Mercedes Abrego del Municipio de Girardota-Mercedes Abrego</t>
  </si>
  <si>
    <t>Asociación de Usuarios del Acueducto Multiveredal  José Antonio Correa ESP - El Totumo</t>
  </si>
  <si>
    <t xml:space="preserve">Asociación Comunitaria Acueducto Vereda La Palma Municipio de Girardota (ACUAPALMA)-Vereda La Palma y Sector San Antonio                               </t>
  </si>
  <si>
    <t>Vereda La Calera</t>
  </si>
  <si>
    <t>Acueducto La Calera</t>
  </si>
  <si>
    <t>Asociación de Usuarios Acueducto Nueva Antioquia - El Totumo</t>
  </si>
  <si>
    <t>Asociación de usuarios de Acueducto Vereda Jamundí-Sector Escuela</t>
  </si>
  <si>
    <t>Sistema de Abasto Vereda San Andrés - ASOAGUAS San Andrés</t>
  </si>
  <si>
    <t>Asociación de Usuarios de Acueducto y Alcantarillado Multiveredal San Esteban -San Esteban</t>
  </si>
  <si>
    <t xml:space="preserve">Sistema de Abasto Vereda Jamundí -Sector Los Rieles </t>
  </si>
  <si>
    <t>Asociación de Usuarios Acueducto Juan Cojo Cuchillas ASUAJUC  (PTAP Los Martínez) - Los Martínez</t>
  </si>
  <si>
    <t>Sistema de Abasto Vereda Potrerito</t>
  </si>
  <si>
    <t>Asociación de junta Administradora  de Acueducto El Barro - El Tigre</t>
  </si>
  <si>
    <t>Sistema de Abasto Vereda El Barro Sector Piedra Lisa</t>
  </si>
  <si>
    <t>Asociación de Suscriptores del Acueducto Multiveredal El Roble (PTAP La Toma)</t>
  </si>
  <si>
    <t>Asociación Campesina No Nacional de Usuarios del Acueducto y Alcantarillado de la Vereda Portachuelo- La Holanda</t>
  </si>
  <si>
    <t>Asociación Comunitaria Acueducto Vereda San Diego del Municipio de Girardota - ACUASANDIEGO (PTAP San Diego 1)</t>
  </si>
  <si>
    <t xml:space="preserve">Sistema de Abasto Los Encenillos   </t>
  </si>
  <si>
    <t xml:space="preserve">Asociación de Usuarios del Acueducto Vereda La Chuscala </t>
  </si>
  <si>
    <t>Junta de Acción Comunal Vereda Salinas-Malpaso</t>
  </si>
  <si>
    <t>Junta de Accion Comunal Vereda El Raizal</t>
  </si>
  <si>
    <t>Asociación de Usuarios del Acueducto Multiveredal Corrala, Corralita y Corrala - Corrala Parte Baja (ACORMIEL)</t>
  </si>
  <si>
    <t>Junta de Accion Comunal Vereda La Valeria</t>
  </si>
  <si>
    <t>Junta de Accion Comunal Vereda La Quiebra-Moraima</t>
  </si>
  <si>
    <t>Junta de Accion Comunal Vereda La Quiebra-San Francisco</t>
  </si>
  <si>
    <t>Junta de Accion Comunal Vereda La Quiebra-Las Juntas</t>
  </si>
  <si>
    <t>Junta de Acción Comunal Vereda Salada Parte Baja</t>
  </si>
  <si>
    <t>Junta de Accion Comunal Vereda La Aguacatala</t>
  </si>
  <si>
    <t>Junta de Accion Comunal Vereda La Clara</t>
  </si>
  <si>
    <t>Comité de Acueducto Vereda Cardalito</t>
  </si>
  <si>
    <t>Junta de Accion Comunal Vereda Maní del Cardal</t>
  </si>
  <si>
    <t>Junta Administradora Acueducto Vereda Primavera</t>
  </si>
  <si>
    <t>Asociación de Usuarios del Acueducto Veredal de La Raya</t>
  </si>
  <si>
    <t>Corporación de Usuarios de Acueducto y Alcantarillado Vereda María Auxiliadora</t>
  </si>
  <si>
    <t xml:space="preserve">Asociación de Usuarios del Acueducto Veredal Las Lomitas </t>
  </si>
  <si>
    <t>Asociacion de Usuarios del Acueducto Veredal Las Brisas y San Isidro E.S.P.</t>
  </si>
  <si>
    <t>Asociacion de Usuarios del Acueducto Veredal La Doctora E.S.P. La Doctora E.S.P.</t>
  </si>
  <si>
    <t>Corporacion de Usuarios de Acueducto y Alcantarillado Las Margaritas</t>
  </si>
  <si>
    <t xml:space="preserve"> Acueducto Veredal Canaveralejo</t>
  </si>
  <si>
    <t>Empresa de Servicios Publicos Domiciliarios La Estrella S.A E.S.P - Planta Sagrada Familia</t>
  </si>
  <si>
    <t>Empresa de Servicios Publicos Domiciliarios La Estrella S.A E.S.P - Planta Pueblo Viejo</t>
  </si>
  <si>
    <t>Empresa de Servicios Publicos Domiciliarios La Estrella S.A E.S.P - Planta San Isidro</t>
  </si>
  <si>
    <t>Empresa de Servicios Publicos Domiciliarios La Estrella S.A E.S.P - Planta San Jose</t>
  </si>
  <si>
    <t>Empresa de Servicios Publicos Domiciliarios La Estrella S.A E.S.P - Planta Morrón - Tarapacá</t>
  </si>
  <si>
    <t>Vereda La Bermejala</t>
  </si>
  <si>
    <t>Asociación de Usuarios Acueducto Vereda La Bermejala</t>
  </si>
  <si>
    <t>Vereda Tierra Amarilla Parte Baja</t>
  </si>
  <si>
    <t>Corregimiento de Churido Pueblo</t>
  </si>
  <si>
    <t>San Jose de Apartado</t>
  </si>
  <si>
    <t>Vereda Vijagual</t>
  </si>
  <si>
    <t>Vereda Naranjales</t>
  </si>
  <si>
    <t>Corregimiento de La Trinidad</t>
  </si>
  <si>
    <t>Corregimiento de La Candelaria</t>
  </si>
  <si>
    <t>Vereda Bajo Grande</t>
  </si>
  <si>
    <t>Corregimiento de Guadual Arriba</t>
  </si>
  <si>
    <t>Vereda Nueva Estrella</t>
  </si>
  <si>
    <t>Corregimiento Santa fe de las Platas</t>
  </si>
  <si>
    <t>Vereda San Jose del Carmelo</t>
  </si>
  <si>
    <t>Vereda Casa Verde</t>
  </si>
  <si>
    <t>Barrio Pueblo Nuevo</t>
  </si>
  <si>
    <t>Vereda Nueva Esperanza</t>
  </si>
  <si>
    <t>Corregimiento  El Silencio</t>
  </si>
  <si>
    <t>Vereda Guapá La India</t>
  </si>
  <si>
    <t>Vereda Guapá León</t>
  </si>
  <si>
    <t>Corregimiento Pavarandocito</t>
  </si>
  <si>
    <t>Vereda Nuevo Mundo</t>
  </si>
  <si>
    <t>Corregimiento Belén Bajirá</t>
  </si>
  <si>
    <t>Corregimiento Caucheras</t>
  </si>
  <si>
    <t>Vereda Porroso</t>
  </si>
  <si>
    <t>Corregimiento Bejuquillo</t>
  </si>
  <si>
    <t>Comunidad  los Cacaos</t>
  </si>
  <si>
    <t>Corregimiento  El Mellito #1</t>
  </si>
  <si>
    <t>Corregimiento  El Mellito #2</t>
  </si>
  <si>
    <t>Corregimiento Zapata</t>
  </si>
  <si>
    <t>Vereda El Caño Margen Izquierdo</t>
  </si>
  <si>
    <t>Vereda Arenas Monas</t>
  </si>
  <si>
    <t>Vereda Caracoli</t>
  </si>
  <si>
    <t>Corregimiento Currulao</t>
  </si>
  <si>
    <t>Corregimiento Rio Grande</t>
  </si>
  <si>
    <t>Corregimiento Nueva Colonia</t>
  </si>
  <si>
    <t>Corregimiento El Dos</t>
  </si>
  <si>
    <t>Corregimiento Alto Mulatos</t>
  </si>
  <si>
    <t>Corregimiento Nueva Antioquia</t>
  </si>
  <si>
    <t>Corregimiento San Vicente del Congo</t>
  </si>
  <si>
    <t>Corregimiento San Jose de Mulataos</t>
  </si>
  <si>
    <t>Junta Administradora de Acueducto Los Pantanos</t>
  </si>
  <si>
    <t>Junta Administradora de Acueducto La Florida</t>
  </si>
  <si>
    <t>Junta de Accion Comunal Puerto Triana-Las Peñitas</t>
  </si>
  <si>
    <t>Corregimiento El Jardin</t>
  </si>
  <si>
    <t>Empresa de Servicios Públicos Tamaná Caceres S.A. E.S.P.-Guarumo</t>
  </si>
  <si>
    <t>No esta en funcionamiento</t>
  </si>
  <si>
    <t>Batallón Rifles</t>
  </si>
  <si>
    <t xml:space="preserve">Batallon Militar Rifles - Planta de Tratamiento Batallon Rifles </t>
  </si>
  <si>
    <t>Vereda Piedras</t>
  </si>
  <si>
    <t>Junta de Accion Comunal Las Delicias Piedras</t>
  </si>
  <si>
    <t>Junta Administradora Acueducto Buenos Aires</t>
  </si>
  <si>
    <t>Vereda La Arenosa</t>
  </si>
  <si>
    <t xml:space="preserve">Junta Administradora  Acueducto Vereda Santa Ana </t>
  </si>
  <si>
    <t>Junta Administradora Acueducto El Granadillo Purima-Purima</t>
  </si>
  <si>
    <t>Asociación de Usuarios Acueducto El Erizo</t>
  </si>
  <si>
    <t xml:space="preserve">Asociacion de Usuarios del Acueducto de La Vereda  Chagualal </t>
  </si>
  <si>
    <t>Asociacion de Usuarios del Acueducto del Chagualo-El Caunzal</t>
  </si>
  <si>
    <t xml:space="preserve">Asociacion de Usuarios del Acueducto  La Cascada </t>
  </si>
  <si>
    <t xml:space="preserve">Asociacion de Usuarios del Acueducto Asientos Canoas </t>
  </si>
  <si>
    <t>Asociacion de Usuarios Acueducto Portugal</t>
  </si>
  <si>
    <t>Asociacion de Usuarios Acueducto Multiveredal El Guaico  ASOAGUA E.S.P-Santa Catalina</t>
  </si>
  <si>
    <t>Asociacion de Usuarios Acueducto Multiveredal El Guaico  ASOAGUA E.S.P-Buey Colmenas</t>
  </si>
  <si>
    <t>Asociacion de Usuarios Acueducto Multiveredal El Guaico  ASOAGUA E.S.P-Morron</t>
  </si>
  <si>
    <t>Asociacion de Usuarios Acueducto Multiveredal El Guaico  ASOAGUA E.S.P-La Saltadera</t>
  </si>
  <si>
    <t>Asociacion de Usuarios Acueducto Multiveredal El Guaico  ASOAGUA E.S.P-Altamira</t>
  </si>
  <si>
    <t>Asociacion de Usuarios Acueducto Multiveredal El Guaico  ASOAGUA E.S.P-El Guadual</t>
  </si>
  <si>
    <t>Asociacion de Usuarios Acueducto Multiveredal El Guaico  ASOAGUA E.S.P-San Pedro</t>
  </si>
  <si>
    <t>Asociacion Acueducto Multiveredal Pantanillo ACUMUPAN-Corregimiento Pantanillo</t>
  </si>
  <si>
    <t>Asociacion de Usuarios del Acueducto Multiveredal Pantatnilo ACUMUPAN-Mata de Guadua</t>
  </si>
  <si>
    <t>Asociacion de Usuarios del Acueducto Multiveredal Pantatnilo ACUMUPAN-Sotayac</t>
  </si>
  <si>
    <t xml:space="preserve">Junta Administradora Acueducto La Samaria </t>
  </si>
  <si>
    <t xml:space="preserve">Asociacion de Usuarios del Acuedcuto Veredal Quebradanegra Abejorral </t>
  </si>
  <si>
    <t>Asociacion de Usuarios del Acueducto Multiveredal Pantatnilo ACUMUPAN-Corinto</t>
  </si>
  <si>
    <t>Asociacion de Usuarios del Acueducto La Primavera Chagualal Abejorral</t>
  </si>
  <si>
    <t>Asociacion de Usuarios del Acueducto Multiveredal Pantatnilo ACUMUPAN-El Vesubio</t>
  </si>
  <si>
    <t>Asociacion de Usuarios Acueducto Multiveredal El Guaico  ASOAGUA E.S.P-San Luis</t>
  </si>
  <si>
    <t>Asociacion de Usuarios del Acueducto Multiveredal Pantatnilo ACUMUPAN-Llano Grande</t>
  </si>
  <si>
    <t>Asociacion de Usuarios del Acueducto Multiveredal Pantatnilo ACUMUPAN-Monteloro</t>
  </si>
  <si>
    <t>Asociacion de Usuarios del Acueducto Ventiaderos Abejorral</t>
  </si>
  <si>
    <t>Asociacion de Usuarios del Acueducto Multiveredal Pantatnilo ACUMUPAN-San Bernardo</t>
  </si>
  <si>
    <t>Asociacion de Usuarios del Acueducto Multiveredal Pantatnilo ACUMUPAN-La Perdida</t>
  </si>
  <si>
    <t>Asociacion de Usuarios del Acueducto Multiveredal Pantatnilo ACUMUPAN-Las Trojas</t>
  </si>
  <si>
    <t>Junta Administradora Acueducto El Granadillo Purima-Granadillo</t>
  </si>
  <si>
    <t>NUMERO DE SUSCRIPTORES RESIDENCIALES</t>
  </si>
  <si>
    <r>
      <t>SUBREGION:</t>
    </r>
    <r>
      <rPr>
        <sz val="12"/>
        <rFont val="Arial"/>
        <family val="2"/>
      </rPr>
      <t xml:space="preserve"> VALLE DE ABURRA</t>
    </r>
  </si>
  <si>
    <t>Acueducto Media Luna</t>
  </si>
  <si>
    <t>Vereda Aguas Frias-Corregimiento Altavista</t>
  </si>
  <si>
    <t>Vereda Montañita-Corregimiento San Antonio de Prado</t>
  </si>
  <si>
    <t>VEREDA PIEDRECITAS</t>
  </si>
  <si>
    <t>ASOCIACION AGUAS DEL LITORAL</t>
  </si>
  <si>
    <t>VEREDA COPE</t>
  </si>
  <si>
    <t>OPTIMA DE URABA S.A. E.S.P.</t>
  </si>
  <si>
    <t>CORREGIMIENTO RIO GRANDE</t>
  </si>
  <si>
    <t>CORREGIMIENTO NUEVA COLONIA</t>
  </si>
  <si>
    <t>COREGIMIENTO EL DOS</t>
  </si>
  <si>
    <t>ASOACUEDOS E.S.P.</t>
  </si>
  <si>
    <t>CORREGIMIENTO ALTO MULATOS</t>
  </si>
  <si>
    <t>JUNTA DE ACCION COMUNAL</t>
  </si>
  <si>
    <t>CORREGIMIENTO SAN JOSE DE MULATOS</t>
  </si>
  <si>
    <t>CORREGIMIENTO NUEVA ANTIOQUIA</t>
  </si>
  <si>
    <t>JUNTA DE ACCION COMUNAL CORREGIMIENTO NUEVA ANTIOQUIA</t>
  </si>
  <si>
    <t>CORREGIMIENTO SAN VICENTE DEL CONGO</t>
  </si>
  <si>
    <t xml:space="preserve">   </t>
  </si>
  <si>
    <t>14.1  -  35 % 
Riesgo Medio</t>
  </si>
  <si>
    <t>Vereda San Sebastian</t>
  </si>
  <si>
    <t>Vereda El Hoyito</t>
  </si>
  <si>
    <t>Vereda Rio Necoclí</t>
  </si>
  <si>
    <t>Vereda Morron</t>
  </si>
  <si>
    <t>Vereda Los Pantanos</t>
  </si>
  <si>
    <t>Corregimiento Pueblo Nuevo</t>
  </si>
  <si>
    <t>Vereda La Lomita</t>
  </si>
  <si>
    <t>Vereda Guaimaral</t>
  </si>
  <si>
    <t>Vereda El Diamante</t>
  </si>
  <si>
    <t>Vereda El Erizo</t>
  </si>
  <si>
    <t>Vereda Chagualal</t>
  </si>
  <si>
    <t>Vereda Portugal</t>
  </si>
  <si>
    <t>Corregimiento El Guaico</t>
  </si>
  <si>
    <t>Vereda La Saltadera</t>
  </si>
  <si>
    <t>Corregimiento Pantanillo</t>
  </si>
  <si>
    <t>Asociación Acueducto Veredal Naranjal La Llanada-Naranjal</t>
  </si>
  <si>
    <t>Vereda Mata de Guadua</t>
  </si>
  <si>
    <t>Vereda Sotayac</t>
  </si>
  <si>
    <t xml:space="preserve">Vereda El Chagualo </t>
  </si>
  <si>
    <t>Vereda Quebrada Negra</t>
  </si>
  <si>
    <t>Vereda Corinto</t>
  </si>
  <si>
    <t>Asociación Acueducto Veredal Naranjal La Llanada-La Llanada</t>
  </si>
  <si>
    <t>Vereda San Bernardo</t>
  </si>
  <si>
    <t>Vereda La Perdida</t>
  </si>
  <si>
    <t>Vereda Las Trojas</t>
  </si>
  <si>
    <t>Vereda Granadillo</t>
  </si>
  <si>
    <t>Vereda Portachuelo</t>
  </si>
  <si>
    <t>Vereda Corrientes</t>
  </si>
  <si>
    <t>Vereda Filo Verde</t>
  </si>
  <si>
    <t>Vereda La Valeria</t>
  </si>
  <si>
    <t>Vereda Salada Parte Baja</t>
  </si>
  <si>
    <t>Vereda El Raizal</t>
  </si>
  <si>
    <t>Vereda La Aguacatala</t>
  </si>
  <si>
    <t>Vereda La Raya</t>
  </si>
  <si>
    <t>Vereda El Cano</t>
  </si>
  <si>
    <t>Vereda Cabuyal</t>
  </si>
  <si>
    <t>Vereda Manga Arriba-Etapa I</t>
  </si>
  <si>
    <t>Vereda San Esteban</t>
  </si>
  <si>
    <t>Vereda San Diego-Sector I</t>
  </si>
  <si>
    <t>Vereda Las Brisas y San Isidro</t>
  </si>
  <si>
    <t>Vereda Camerun</t>
  </si>
  <si>
    <t>Vereda Aguas Claras</t>
  </si>
  <si>
    <t>Vereda La Martina</t>
  </si>
  <si>
    <t>Vereda Cope</t>
  </si>
  <si>
    <t>Corregimiento El Reposo</t>
  </si>
  <si>
    <t xml:space="preserve">Vereda Los Mandarinos </t>
  </si>
  <si>
    <t>Vereda 28 De Octubre</t>
  </si>
  <si>
    <t>Vereda Carepita Promexcol</t>
  </si>
  <si>
    <t>Vereda Villa Arteaga</t>
  </si>
  <si>
    <t>Vereda Ceibita</t>
  </si>
  <si>
    <t>Corregimiento Changas</t>
  </si>
  <si>
    <t>Corregimiento  Mello Villa Vicencio</t>
  </si>
  <si>
    <t>Vereda La Comarca</t>
  </si>
  <si>
    <t>Vereda Villa Sonia</t>
  </si>
  <si>
    <t>Corregimiento Mulatos</t>
  </si>
  <si>
    <t>Corregimiento Caribia</t>
  </si>
  <si>
    <t>Vereda Villa Nueva</t>
  </si>
  <si>
    <t>Vereda Loma de Piedra</t>
  </si>
  <si>
    <t>Vereda Piedrecitas</t>
  </si>
  <si>
    <t>Vereda Manga Arriba-La Loma</t>
  </si>
  <si>
    <t>Vereda Meleguindo</t>
  </si>
  <si>
    <t>Vereda Tarapaca</t>
  </si>
  <si>
    <t>Corregimiento Barranquillita</t>
  </si>
  <si>
    <t>Vereda El Totumo</t>
  </si>
  <si>
    <t>Vereda El Cortado</t>
  </si>
  <si>
    <t>Vereda Las Victorias</t>
  </si>
  <si>
    <t>Vereda Popalito</t>
  </si>
  <si>
    <t>El Escobero</t>
  </si>
  <si>
    <t>Vereda Cardalito</t>
  </si>
  <si>
    <t>Vereda Loma Verde</t>
  </si>
  <si>
    <r>
      <rPr>
        <sz val="11"/>
        <rFont val="Arial"/>
        <family val="2"/>
      </rPr>
      <t>5.1  - 14 %:</t>
    </r>
    <r>
      <rPr>
        <b/>
        <sz val="11"/>
        <rFont val="Arial"/>
        <family val="2"/>
      </rPr>
      <t xml:space="preserve">  
Riesgo Bajo</t>
    </r>
  </si>
  <si>
    <t>Código:  F0-M2-P5-1893</t>
  </si>
  <si>
    <t>Fecha de aprobación:  19-01-2018</t>
  </si>
  <si>
    <t xml:space="preserve">Asociacion de Usuarios del Acueducto del Chagualo -El Chagualo </t>
  </si>
  <si>
    <t>Vereda El Volcan</t>
  </si>
  <si>
    <t xml:space="preserve">Asociacion de Usuarios del Acueducto El Volcan </t>
  </si>
  <si>
    <t>Vereda Loma Alta</t>
  </si>
  <si>
    <t xml:space="preserve">Asociacion  de Usuarios  del acueducto de la peña y loma alta   - Vereda loma alta </t>
  </si>
  <si>
    <t>Junta Administradora Acueducto Cañaveral</t>
  </si>
  <si>
    <t>Vereda Canoas La Esperanza</t>
  </si>
  <si>
    <t>Vereda Guayaquil</t>
  </si>
  <si>
    <t xml:space="preserve">Asociacion de Usuarios del Acuedcuto Vereda Guayaquil </t>
  </si>
  <si>
    <t xml:space="preserve">Vereda La Samaria </t>
  </si>
  <si>
    <t xml:space="preserve"> Vereda El Chagualo Caunzal </t>
  </si>
  <si>
    <t>Vereda  Buey Colmenas</t>
  </si>
  <si>
    <t>Asociacion de Usuarios Acueducto Multiveredal El Guaico ASUAGUA ESP- El Zancudo Corregimiento El Guaico</t>
  </si>
  <si>
    <t>Vereda  Altamira</t>
  </si>
  <si>
    <t xml:space="preserve"> Vereda San Pedro</t>
  </si>
  <si>
    <t>Vereda La Llanada</t>
  </si>
  <si>
    <t xml:space="preserve">Vereda Naranjal </t>
  </si>
  <si>
    <t>Asociacion de Usuarios del Acueducto Multiveredal Pantatnilo ACUMUPAN-Guayabal</t>
  </si>
  <si>
    <t>Vereda El Vesubio</t>
  </si>
  <si>
    <t xml:space="preserve">Vereda El Ancla Pantano Negro </t>
  </si>
  <si>
    <t xml:space="preserve">Asociacion de Usuarios del Acueducto El Ancla de La Vereda de Pantanonegro </t>
  </si>
  <si>
    <t>Vereda La Primavera Chagualal</t>
  </si>
  <si>
    <t xml:space="preserve">Vereda La Maria La Betulia </t>
  </si>
  <si>
    <t xml:space="preserve">Junta Administradora Acueducto La Maria-La Betulia </t>
  </si>
  <si>
    <t>Asociación Junta Administradora Acueducto La Peña-La Peña</t>
  </si>
  <si>
    <t xml:space="preserve">Vereda La Betulia </t>
  </si>
  <si>
    <t xml:space="preserve">Junta Administradora Acueducto La Betulia -La Betulia </t>
  </si>
  <si>
    <t>Junta Administradora Acueducto Quebradona Abajo</t>
  </si>
  <si>
    <t>Vereda La Polka</t>
  </si>
  <si>
    <t>Junta Administradora Acueducto La Polka</t>
  </si>
  <si>
    <t>Vereda Circita</t>
  </si>
  <si>
    <t>Junta Administradora Acueducto Circita</t>
  </si>
  <si>
    <t>Junta Acción Comunal La Esperanza</t>
  </si>
  <si>
    <t>Vereda Ventiladeros</t>
  </si>
  <si>
    <t xml:space="preserve">Vereda Purima </t>
  </si>
  <si>
    <t>Vereda El Popo</t>
  </si>
  <si>
    <t>Asociacion de Usuarios del Acueducto Veredal El Popo</t>
  </si>
  <si>
    <t>Vereda  Las Cruces</t>
  </si>
  <si>
    <t>Asociacion de Usuarios Suscriptores del Acueducto Multiveredal Cruces,El Cerro,La Inmaculada y San Jose-Las Cruces</t>
  </si>
  <si>
    <t>Vereda San Jose</t>
  </si>
  <si>
    <t>Asociacion de Usuarios Suscriptores del Acueducto Multiveredal Cruces,El Cerro,La Inmaculada y San Jose-San Jose</t>
  </si>
  <si>
    <t>Asociacion de Ususarios Suscriptores del Acueducto Multiveredal Cruces El Cerro La Inmaculada y San Jose-El Cerro</t>
  </si>
  <si>
    <t>Vereda San Miguel El Respaldo</t>
  </si>
  <si>
    <t>Asociacion de Usuarios del Acueducto Rural San Miguel El Respaldo</t>
  </si>
  <si>
    <t>Vereda El Carbón</t>
  </si>
  <si>
    <t>Asociacion de Ususarios del Acueducto Multiveredal  El Tambo Vereda El Carbón</t>
  </si>
  <si>
    <t>Vereda La Inmaculada</t>
  </si>
  <si>
    <t>Asociación de Usuarios Suscriptores del Acueducto Multiveredal Cruces El Cerro La Inmaculada y San Jose-La Inmaculada</t>
  </si>
  <si>
    <t>Vereda El Fresnito</t>
  </si>
  <si>
    <t>Acueducto  La Linda- El Fresnito</t>
  </si>
  <si>
    <t>Junta Administradora Acueducto La Estrella</t>
  </si>
  <si>
    <t>Vereda La Plata</t>
  </si>
  <si>
    <t>Junta Administradora Acueducto  La Quiebra-La Plata</t>
  </si>
  <si>
    <t>Junta Administradora Acueducto San Pablo</t>
  </si>
  <si>
    <t>Junta Administradora El Zancudo</t>
  </si>
  <si>
    <t>Junta Admnistradora Acueducto Guaimaral</t>
  </si>
  <si>
    <t>Junta Admnistradora Acueducto Guadual</t>
  </si>
  <si>
    <t>Junta Administradora Acueducto La Mina</t>
  </si>
  <si>
    <t>Junta Administradora Acueducto San Luis</t>
  </si>
  <si>
    <t>Vereda El Cabuyo</t>
  </si>
  <si>
    <t>Junta Administradora El Cabuyo</t>
  </si>
  <si>
    <t>Junta Administradora El Diamante</t>
  </si>
  <si>
    <t>Junta Administradora El Rosario</t>
  </si>
  <si>
    <t>Vereda La Julia</t>
  </si>
  <si>
    <t>Junta Administradora  La Julia</t>
  </si>
  <si>
    <t>Junta de Acción Comunal  La Primavera</t>
  </si>
  <si>
    <t>Vereda El Oro</t>
  </si>
  <si>
    <t>Junta Administradora  El Oro</t>
  </si>
  <si>
    <t>Vereda Rancho Largo Parte Alta</t>
  </si>
  <si>
    <t>Junta Administradora Rancho Largo Parte Alta</t>
  </si>
  <si>
    <t>Vereda Rancho Largo Parte  Baja</t>
  </si>
  <si>
    <t>Junta Administradora Rancho Largo Parte Baja</t>
  </si>
  <si>
    <t>Vereda Villeta Florida</t>
  </si>
  <si>
    <t>Junta Administradora Villeta Florida</t>
  </si>
  <si>
    <t>Vereda San Agustin</t>
  </si>
  <si>
    <t>Junta Administradora Acueducto Vereda San Agustin</t>
  </si>
  <si>
    <r>
      <t xml:space="preserve">SUBREGION: </t>
    </r>
    <r>
      <rPr>
        <sz val="11"/>
        <rFont val="Arial"/>
        <family val="2"/>
      </rPr>
      <t>ORIENTE</t>
    </r>
  </si>
  <si>
    <t>Vereda Boqueron</t>
  </si>
  <si>
    <t>Asociacion de Socios del Acueducto Boqueron del Municipio de El Carmen de Viboral</t>
  </si>
  <si>
    <t>Vereda La Chapa</t>
  </si>
  <si>
    <t>Asociación de Socios del Acueducto Vereda La Chapa del Municipio del Carmen de Viboral-La Chapa</t>
  </si>
  <si>
    <t>Sector Puente Larga</t>
  </si>
  <si>
    <t>Asociación de Socios del Acueducto Vereda La Chapa del Municipio del Carmen de Viboral-Sector Puente Larga</t>
  </si>
  <si>
    <t>Vereda Campo Alegre</t>
  </si>
  <si>
    <t>Asociacion de Socios del Acueducto y Alcantarillado Campo Alegre de El Municipio de El Carmen de Viboral</t>
  </si>
  <si>
    <t>Vereda La Madera - La Morena</t>
  </si>
  <si>
    <t>Asociacion de Socios del Acueducto El Dragal y La Morena Vereda La Madera Municipio El Carmen de Viboral-La Morena</t>
  </si>
  <si>
    <t>Vereda La Madera - El Dragal</t>
  </si>
  <si>
    <t>Asociacion de Socios del Acueducto El Dragal y La Morena Vereda La Madera Municipio El Carmen de Viboral-El Dragal</t>
  </si>
  <si>
    <t>Vereda Camargo</t>
  </si>
  <si>
    <t>Asociacion de Socios del Acueducto Camargo</t>
  </si>
  <si>
    <t>Vereda Betania 1-La cabaña</t>
  </si>
  <si>
    <t>Asociacion de Usuarios del Acueducto Betania, del Municipio de El Carmen de Viboral-Betania 1</t>
  </si>
  <si>
    <t>Vereda Betania 2-Los Giraldos</t>
  </si>
  <si>
    <t>Asociacion de Usuarios del Acueducto Betania, del Municipio de El Carmen de Viboral-Betania 2</t>
  </si>
  <si>
    <t>Vereda Betania 3- Los alcáceres</t>
  </si>
  <si>
    <t>Asociacion de Usuarios del Acueducto Betania, del Municipio de El Carmen de Viboral-Betania 3</t>
  </si>
  <si>
    <t>Vereda Rivera</t>
  </si>
  <si>
    <t>Asociacion de Socios del Acueducto La Palma Rivera Altogrande de Las Veredas La Palma Rivera Altogrande-Rivera</t>
  </si>
  <si>
    <t>Asociacion de Socios del Acueducto La Palma Rivera Altogrande de Las Veredas La Palma Rivera Altogrande-La Palma</t>
  </si>
  <si>
    <t>Vereda Alto Grande</t>
  </si>
  <si>
    <t>Asociacion de Socios del Acueducto La Palma Rivera Altogrande de Las Veredas La Palma Rivera Altogrande-Alto Grande</t>
  </si>
  <si>
    <t>Vereda  La Aurora El Quemado</t>
  </si>
  <si>
    <t>Asociacion de Usuarios del Acueducto La Aurora Viboral Municipio de El Carmen de Viboral-El Quemado</t>
  </si>
  <si>
    <t>Vereda Viboral  El Quemado</t>
  </si>
  <si>
    <t>Asociacion de Usuarios del Acueducto La Aurora Viboral Municipio de El Carmen de Viboral-Viboral  El Quemado</t>
  </si>
  <si>
    <t>Vereda Viboral La Linda</t>
  </si>
  <si>
    <t>Asociacion de Usuarios del Acueducto La Aurora Viboral Municipio de El Carmen de Viboral-Viboral   La Linda</t>
  </si>
  <si>
    <t>Vereda  La Aurora La Linda</t>
  </si>
  <si>
    <t>Asociacion de Usuarios del Acueducto La Aurora Viboral Municipio de El Carmen de Viboral-La Linda</t>
  </si>
  <si>
    <t>Asociacion de Usuarios del Acueducto La Aurora Viboral Municipio de El Carmen de Viboral-Sector Las Brisas</t>
  </si>
  <si>
    <t>Vereda La Milagrosa</t>
  </si>
  <si>
    <t>Asociacion de Usuarios del Acueducto Aguas Claras del Municipio del Carmen de Viboral-La Milagrosa</t>
  </si>
  <si>
    <t>Asociacion de Usuarios del Acueducto Aguas Claras del Municipio del Carmen de Viboral-Aguas Claras</t>
  </si>
  <si>
    <t>Vereda Guamito</t>
  </si>
  <si>
    <t>Asociacion de Usuarios del Acueducto Aguas Claras del Municipio del Carmen de Viboral-Guamito</t>
  </si>
  <si>
    <t>Vereda Quirama</t>
  </si>
  <si>
    <t>Asociacion de Usuarios del Acueducto Aguas Claras del Municipio del Carmen de Viboral-Quirama</t>
  </si>
  <si>
    <t>Vereda El salado</t>
  </si>
  <si>
    <t>Asociacion de Socios del Acueducto El Cerro, Samaria, La Milagrosa, Quirama, Cristo Rey y El Saldo-El Salado</t>
  </si>
  <si>
    <t>Vereda Samaria</t>
  </si>
  <si>
    <t>Asociacion de Socios del Acueducto El Cerro, Samaria, La Milagrosa, Quirama, Cristo Rey y El Saldo-Samaria</t>
  </si>
  <si>
    <t>Vereda Cristo Rey</t>
  </si>
  <si>
    <t>Asociacion de Socios del Acueducto El Cerro, Samaria, La Milagrosa, Quirama, Cristo Rey y El Saldo-Cristo Rey</t>
  </si>
  <si>
    <t>Vereda La Sonadora</t>
  </si>
  <si>
    <t>Asociacion de Socios del Acueducto y Alcantarillado Sonadora Garzonas-Sonadora</t>
  </si>
  <si>
    <t>Vereda Las Garzonas</t>
  </si>
  <si>
    <t>Asociacion de Socios del Acueducto y Alcantarillado Sonadora Garzonas -Garzonas</t>
  </si>
  <si>
    <t>Vereda Las Acacias</t>
  </si>
  <si>
    <t>Asociacion de Socios del Acueducto de Las Acacias del Municipio del Carmen de Viboral</t>
  </si>
  <si>
    <t>Vereda Mazorcal</t>
  </si>
  <si>
    <t>Asociacion de Socios del Acueducto Mazorcal</t>
  </si>
  <si>
    <t>Asociacion de Socios del Acueducto La Florida Municipio de El Carmen de Viboral departamento de Antioquia</t>
  </si>
  <si>
    <t>Vereda Rivera Arriba</t>
  </si>
  <si>
    <t>Asociacion de Socios del Acueducto Rivera Arriba</t>
  </si>
  <si>
    <t>Asociacion de Socios del Acueducto El Cerro, Samaria, La Milagrosa, Quirama, Cristo Rey y El Saldo-La Milagrosa</t>
  </si>
  <si>
    <t>Asociacion de Socios del Acueducto El Cerro, Samaria, La Milagrosa, Quirama, Cristo Rey y El Saldo-El Cerro</t>
  </si>
  <si>
    <t>Asociacion de Socios del Acueducto El Cerro, Samaria, La Milagrosa, Quirama, Cristo Rey y El Saldo-Quirama</t>
  </si>
  <si>
    <t>Vereda Risaralda</t>
  </si>
  <si>
    <t>Asociacion de Usuarios del Acueducto Veredal Risaralda Municipio de Amalfi</t>
  </si>
  <si>
    <t>Corregimiento Portachuelo</t>
  </si>
  <si>
    <t>Acueducto Junta de Acción Comunal Portachuelo Comité</t>
  </si>
  <si>
    <t>Vereda La Maria</t>
  </si>
  <si>
    <t>Junta de Acción Comunal Pro Acueducto Vereda La Maria</t>
  </si>
  <si>
    <t>Vereda  Montebello Parte Alta</t>
  </si>
  <si>
    <t>Junta de Accion Comunal de La Vereda Montebello- Parte Alta</t>
  </si>
  <si>
    <t>Vereda  Montebello La Pradera</t>
  </si>
  <si>
    <t>Junta de Accion Comunal Comité Proacueducto Vereda Montebello -La Pradera</t>
  </si>
  <si>
    <t>Campamento El Tablon</t>
  </si>
  <si>
    <t>EPM-Campamento El tablon</t>
  </si>
  <si>
    <t>Vereda Bellavista</t>
  </si>
  <si>
    <t>Vereda Cruces</t>
  </si>
  <si>
    <t>Vereda El Limón</t>
  </si>
  <si>
    <t>Acueducto Multiveredal El Limón</t>
  </si>
  <si>
    <t>Vereda El Retiro</t>
  </si>
  <si>
    <t>Acueducto Multiveredal El Retiro</t>
  </si>
  <si>
    <t>Campamento Primavera EPM</t>
  </si>
  <si>
    <t>Acueducto Campamento Primavera EPM</t>
  </si>
  <si>
    <t>Vereda La Soledad</t>
  </si>
  <si>
    <t>Vereda Montefrio</t>
  </si>
  <si>
    <t>Vereda Pajonal</t>
  </si>
  <si>
    <t>Vereda Santo Domingo</t>
  </si>
  <si>
    <t>Vereda  El Cadillo</t>
  </si>
  <si>
    <t>Junta de Accion Comunal El Cadillo</t>
  </si>
  <si>
    <t>Vereda El Dos</t>
  </si>
  <si>
    <t>Junta de Accion Comunal El Dos</t>
  </si>
  <si>
    <t>Junta de Accion Comunal El Limón</t>
  </si>
  <si>
    <t>Vereda La Piñuela</t>
  </si>
  <si>
    <t xml:space="preserve">Corporación Acueducto Comunitario Vereda La Piñuela </t>
  </si>
  <si>
    <t>Junta Accion Comunal Los Cedros</t>
  </si>
  <si>
    <t>Vereda El Coco</t>
  </si>
  <si>
    <t>Junta Administradora Acueducto El Coco</t>
  </si>
  <si>
    <t>Vereda El Choco</t>
  </si>
  <si>
    <t>Junta Administradora Acueducto Choco Molin</t>
  </si>
  <si>
    <t xml:space="preserve">Asociación de Usuarios de Acueducto (ASOCOCORNA) Vereda San Jose </t>
  </si>
  <si>
    <t xml:space="preserve">Junta Administradora Acueducto Cruces </t>
  </si>
  <si>
    <t>Vereda Palmirita</t>
  </si>
  <si>
    <t>Junta Administradora Acueducto Palmirita</t>
  </si>
  <si>
    <t>Junta Administradora de Acueducto Santo Domingo</t>
  </si>
  <si>
    <t>Vereda La Veta</t>
  </si>
  <si>
    <t>Asociación de Usuarios de Acueducto (ASOVETA) Vereda La Veta</t>
  </si>
  <si>
    <t>Vereda El Viadal</t>
  </si>
  <si>
    <t>Junta Administradora Acueducto El Viadal</t>
  </si>
  <si>
    <t>Vereda San Juan Sector Arboleda</t>
  </si>
  <si>
    <t>Junta Administradora Acueducto San Juan</t>
  </si>
  <si>
    <t>Vereda San Antonio</t>
  </si>
  <si>
    <t xml:space="preserve">Junta Admistradora Acueducto San Antonio </t>
  </si>
  <si>
    <t>Vereda El Higueron</t>
  </si>
  <si>
    <t>Junta Administradora Acueducto El Higueron</t>
  </si>
  <si>
    <t>Vereda Mazotes</t>
  </si>
  <si>
    <t>Junta Administradora Acueducto Mazotes</t>
  </si>
  <si>
    <t>Vereda La Placeta</t>
  </si>
  <si>
    <t>Junta Administradora Acueducto La Placeta</t>
  </si>
  <si>
    <t>Vereda Chorrera</t>
  </si>
  <si>
    <t>Junta Administradora Acueducto La Chorrera</t>
  </si>
  <si>
    <t>Vereda San Lorenzo</t>
  </si>
  <si>
    <t>Junta Administradora Acueducto San Lorenzo</t>
  </si>
  <si>
    <t>Vereda  Alto San Juan</t>
  </si>
  <si>
    <t>Junta de Acción Comunal Vereda San Juan Alto</t>
  </si>
  <si>
    <t>Vereda  San Pedro Bajo</t>
  </si>
  <si>
    <t>Junta de Acción Comunal Vereda San Pedro Bajo</t>
  </si>
  <si>
    <t>Vereda  Arango</t>
  </si>
  <si>
    <t>Junta de Acción Comunal Vereda Arango</t>
  </si>
  <si>
    <t>Vereda  Palmichal</t>
  </si>
  <si>
    <t>Junta de Acción Comunal Vereda Palmichal</t>
  </si>
  <si>
    <t>Vereda  La Magdalena</t>
  </si>
  <si>
    <t>Asociacion de Usuarios del Acueducto La Magdalena San Lorenzo</t>
  </si>
  <si>
    <t>Vereda  Bonilla Arriba</t>
  </si>
  <si>
    <t>Asociacion de Usuarios Acueducto Bonilla Arriba</t>
  </si>
  <si>
    <t>Vereda  Helida</t>
  </si>
  <si>
    <t>Asociacion de Usuarios Acueducto Helida Concordia- Helida</t>
  </si>
  <si>
    <t>Vereda  Horizontes</t>
  </si>
  <si>
    <t>Asociacion de Usuarios Acueducto Horizontes-Horizontes</t>
  </si>
  <si>
    <t>Vereda  El Marial</t>
  </si>
  <si>
    <t>Asociacion de Usuarios del Acueducto Palmira Marial-El Marial</t>
  </si>
  <si>
    <t>Vereda  Santa Ana</t>
  </si>
  <si>
    <t>Asociacion de Usuarios del Acueducto Joaquin y Ana</t>
  </si>
  <si>
    <t>Vereda  La Chapa</t>
  </si>
  <si>
    <t>Asociacion de Usuarios del Acueducto La Chapa</t>
  </si>
  <si>
    <t>Vereda  Santa Ines</t>
  </si>
  <si>
    <t>Asociacion de Usuarios del Acueducto Multiveredal El Salto, Santa Ines, Primavera, Culebra-Santa Ines</t>
  </si>
  <si>
    <t>Vereda  El Salto</t>
  </si>
  <si>
    <t>Asociacion de Usuarios del Acueducto Multiveredal El Salto, Santa Ines, Primavera, Culebra-El Salto</t>
  </si>
  <si>
    <t>Vereda  Culebra</t>
  </si>
  <si>
    <t>Asociacion de Usuarios del Acueducto Multiveredal El Salto, Santa Ines, Primavera, Culebra-Culebra</t>
  </si>
  <si>
    <t>Vereda  Primavera</t>
  </si>
  <si>
    <t>Asociacion de Usuarios del Acueducto Multiveredal El Salto, Santa Ines, Primavera, Culebra-Primavera</t>
  </si>
  <si>
    <t>Vereda  Palmira</t>
  </si>
  <si>
    <t>Asociacion de Usuarios del Acueducto Palmira Marial-Palmira</t>
  </si>
  <si>
    <t>Vereda  Palestina</t>
  </si>
  <si>
    <t>Asociacion de Socios, Suscriptores y Usuarios del Acueducto Bonilla-Palestina -Palestina</t>
  </si>
  <si>
    <t>Vereda  El Morro</t>
  </si>
  <si>
    <t>Asociacion de Usuarios Acueducto Jesús Arcesio Botero-El Morro</t>
  </si>
  <si>
    <t>Vereda  Concordia</t>
  </si>
  <si>
    <t>Asociacion de Usuarios Acueducto Helida Concordia-Concordia</t>
  </si>
  <si>
    <t>Vereda  Bonilla</t>
  </si>
  <si>
    <t xml:space="preserve"> Asociacion de Socios, Suscriptores y Usuarios del Acueducto Bonilla  palestina -Bonilla parte baja</t>
  </si>
  <si>
    <t>Vereda  La Cristalina</t>
  </si>
  <si>
    <t>Asociacion de Usuarios del Acueducto Vereda La Cristalina</t>
  </si>
  <si>
    <t>Vereda  Uvital</t>
  </si>
  <si>
    <t>Asociacion de Usuarios Acueducto Jesús Arcesio Botero- El Uvital</t>
  </si>
  <si>
    <t>Vereda  La Meseta</t>
  </si>
  <si>
    <t>Asociacion de Usuarios del Acueducto El Chilco -Chiquinquira y La Meseta-La Meseta</t>
  </si>
  <si>
    <t>Vereda  El Chilco</t>
  </si>
  <si>
    <t>Asociacion de Usuarios del Acueducto El Chilco -Chiquinquira y La Meseta-El Chilco</t>
  </si>
  <si>
    <t>Vereda  Chiquinquira</t>
  </si>
  <si>
    <t>Asociacion de Usuarios del Acueducto El Chilco -Chiquinquira y La Meseta-Chiquinquira</t>
  </si>
  <si>
    <t>Vereda  Guamito</t>
  </si>
  <si>
    <t xml:space="preserve"> Asociacion de Usuarios del Acueducto Guamito - Guamito</t>
  </si>
  <si>
    <t>Vereda  Puente Hondita</t>
  </si>
  <si>
    <t>Asociacion de Socios Suscriptores y Usuarios del Acueducto Puente Hondita</t>
  </si>
  <si>
    <t>Asociacion de Usuarios del Acueducto El Chilco (Arriba)</t>
  </si>
  <si>
    <t>Asociacion de Usuarios Acueducto Jesús Arcesio Botero-Chiquinquira</t>
  </si>
  <si>
    <t>Sector la Zulia</t>
  </si>
  <si>
    <t>Asociacion de Usuarios Acueducto Jesús Arcesio Botero-Zulia</t>
  </si>
  <si>
    <t xml:space="preserve"> Asociacion de Usuarios del Acueducto Guamito - El Morro</t>
  </si>
  <si>
    <t>Asociacion de Usuarios Acueducto Horizontes-El Salto (parte baja)</t>
  </si>
  <si>
    <t>Vereda Don Diego</t>
  </si>
  <si>
    <t>Corporación Civica de Socios del Acueducto Don Diego</t>
  </si>
  <si>
    <t>Vereda Villa Elena</t>
  </si>
  <si>
    <t>Vereda Pantalio</t>
  </si>
  <si>
    <t>Vereda Pantanillo</t>
  </si>
  <si>
    <t>Vereda Los Medios</t>
  </si>
  <si>
    <t>Vereda Los Salados</t>
  </si>
  <si>
    <t>Vereda El Portento</t>
  </si>
  <si>
    <t>Vereda Lejos del Nido</t>
  </si>
  <si>
    <t>Sector la Fé</t>
  </si>
  <si>
    <t>Aguas del Oriente Antioqueño S.A. E.S.P. El Retiro-Vereda Don Diego Sector La Fe.</t>
  </si>
  <si>
    <t>Corregimiento La Cruzada</t>
  </si>
  <si>
    <t xml:space="preserve">Asociacion de Usuarios de Acueducto y Alcantarillado Corregimiento La Cruzada </t>
  </si>
  <si>
    <t>Corregimiento Santa Isabel</t>
  </si>
  <si>
    <t>Asociacion de Usuarios del Acueducto del Corregimiento de Santa Isabel</t>
  </si>
  <si>
    <t>Vereda Santa Lucia</t>
  </si>
  <si>
    <t>Junta de Accion Comunal  Santa Lucia</t>
  </si>
  <si>
    <t>Vereda Ceiba</t>
  </si>
  <si>
    <t>Junta de Accion Comunal  Ceiba</t>
  </si>
  <si>
    <t>Vereda Martana</t>
  </si>
  <si>
    <t>Junta de Accion Comunal Martana</t>
  </si>
  <si>
    <t>Vereda Cañaveral</t>
  </si>
  <si>
    <t>Junta de Accion Comunal Cañaveral</t>
  </si>
  <si>
    <t>Vereda La Cruz</t>
  </si>
  <si>
    <t>Junta de Accion Comunal La Cruz</t>
  </si>
  <si>
    <t>Corregimiento Cristales</t>
  </si>
  <si>
    <t>Acueducto Multiveredal Cristales</t>
  </si>
  <si>
    <t>Vereda Villa nueva</t>
  </si>
  <si>
    <t>Acueducto Multiveredal Cristales-Villa Nueva</t>
  </si>
  <si>
    <t>Vereda Quiebra Honda</t>
  </si>
  <si>
    <t>Acueducto Multiveredal Cristales-Quiebra Honda</t>
  </si>
  <si>
    <t>Vereda Patio Bonito</t>
  </si>
  <si>
    <t>Acueducto Multiveredal Cristales-Patio Bonito</t>
  </si>
  <si>
    <t>Vereda Marbella</t>
  </si>
  <si>
    <t>Acueducto Multiveredal Cristales-Marbella</t>
  </si>
  <si>
    <t>Vereda La Jota</t>
  </si>
  <si>
    <t>Acueducto Multiveredal Cristales-La Jota</t>
  </si>
  <si>
    <t>Vereda Frailes</t>
  </si>
  <si>
    <t>Acueducto Multiveredal Cristales-Frailes</t>
  </si>
  <si>
    <t>Acueducto Multiveredal Cristales-El Diamante</t>
  </si>
  <si>
    <t>Vereda Corocito</t>
  </si>
  <si>
    <t>Acueducto Multiveredal Cristales-Corocito</t>
  </si>
  <si>
    <t>Vereda Santa Barbara</t>
  </si>
  <si>
    <t>Asociacion de Usuarios del Acueducto Veredal Santa Barbara</t>
  </si>
  <si>
    <t>Vereda Cabildo</t>
  </si>
  <si>
    <t>Acueducto Multiveredal Cristales-Cabildo</t>
  </si>
  <si>
    <t>Vereda La Mora</t>
  </si>
  <si>
    <t>Asociación de Usuarios del Acueducto Veredal La Mora</t>
  </si>
  <si>
    <t>Vereda El Brasil</t>
  </si>
  <si>
    <t>Acueducto Multiveredal Cristales-Brasil</t>
  </si>
  <si>
    <t>Vereda Barcino</t>
  </si>
  <si>
    <t>Acueducto Multiveredal Cristales-Barcino</t>
  </si>
  <si>
    <t>Corregimiento San Jose Nus</t>
  </si>
  <si>
    <t>Empresa de Servicios Publicos San Jose del Nus</t>
  </si>
  <si>
    <t>Vereda Encarnaciones</t>
  </si>
  <si>
    <t>Junta de Acción Comunal La Encarnaciones</t>
  </si>
  <si>
    <t>Vereda La Guzmana</t>
  </si>
  <si>
    <t>Junta de Acción Comunal Acueducto La Guzmana</t>
  </si>
  <si>
    <t>Vereda San Juan</t>
  </si>
  <si>
    <t>Junta de Acción Comunal Acueducto San Juan</t>
  </si>
  <si>
    <t>Vereda Montemar</t>
  </si>
  <si>
    <t>Asociacion de Usuarios del Acueducto Veredal Montemar</t>
  </si>
  <si>
    <t>Vereda Mulatal</t>
  </si>
  <si>
    <t>Junta Administradora Acueducto Veredal Mulatal</t>
  </si>
  <si>
    <t>Vereda El Jardin</t>
  </si>
  <si>
    <t xml:space="preserve">Asociacion de Usuarios del Acueducto Veredal El Jardin </t>
  </si>
  <si>
    <t>Vereda La Candelaria</t>
  </si>
  <si>
    <t>Asociacion de Usuarios del Acueducto La Candelaria</t>
  </si>
  <si>
    <t>Vereda Vesubio</t>
  </si>
  <si>
    <t>Asociación de Usuarios del Acueducto Multiveredal San Matias - Vesubio</t>
  </si>
  <si>
    <t>Vereda San José del Nare</t>
  </si>
  <si>
    <t xml:space="preserve">Asociación de Usuarios del Acueducto Multiveredal San José Nare San Pablo -San José </t>
  </si>
  <si>
    <t xml:space="preserve">Asociación de Usuarios del Acueducto Multiveredal San José Nare SanPablo-San Pablo </t>
  </si>
  <si>
    <t>Vereda La Pureza</t>
  </si>
  <si>
    <t>Asociación de Usuarios del Acueducto Multiveredal San Matias - La Pureza</t>
  </si>
  <si>
    <t>Vereda San Matias</t>
  </si>
  <si>
    <t>Asociación de Usuarios del Acueducto Multiveredal San Matias-San Matias</t>
  </si>
  <si>
    <t>Corregimiento Providencia</t>
  </si>
  <si>
    <t>Asociacion de Usuarios del Agua La Cascada Providencia</t>
  </si>
  <si>
    <t>Asociacion Junta de Acueducto y Alcantarillado La Plata Corregimiento Providencia</t>
  </si>
  <si>
    <t>Vereda Playa Rica</t>
  </si>
  <si>
    <t>Junta de Acción Comunal Vereda Playa Rica</t>
  </si>
  <si>
    <t>Vereda El Tachira</t>
  </si>
  <si>
    <t>Junta de Acción Comunal Vereda El Táchira</t>
  </si>
  <si>
    <t>Vereda El Piramo</t>
  </si>
  <si>
    <t>Junta de Acción Comunal El Píramo</t>
  </si>
  <si>
    <t>Vereda Santa Teresa Alta</t>
  </si>
  <si>
    <t>Asociación Acueducto Vereda Santa Teresa y Canalones La Union</t>
  </si>
  <si>
    <t>Junta de Accion Comunal - La Palma ( realizado por cisneros)</t>
  </si>
  <si>
    <t>Vereda Cantayus Bajo</t>
  </si>
  <si>
    <t>Junta Administradora - Cantayus Bajo</t>
  </si>
  <si>
    <t>Vereda Faldas Del Nus</t>
  </si>
  <si>
    <t>Usuarios del Sistema - Faldas Del Nus</t>
  </si>
  <si>
    <t>Vereda Sofia</t>
  </si>
  <si>
    <t>Junta Administradora - Sofia ( realizado por yolombo)</t>
  </si>
  <si>
    <t>Corregimiento Santiago</t>
  </si>
  <si>
    <t>Junta de Acción Comunal - Corregimiento Santiago</t>
  </si>
  <si>
    <t>Corregimiento El Limón</t>
  </si>
  <si>
    <t>Junta de Acción Comunal - Corregimiento El Limón</t>
  </si>
  <si>
    <t>Vereda El Rayo</t>
  </si>
  <si>
    <t>Junta de Acción Comunal - El Rayo</t>
  </si>
  <si>
    <t>Vereda Santa Gertrudis</t>
  </si>
  <si>
    <t>Junta Administradora Sistema Uno - Sta Gertrudis</t>
  </si>
  <si>
    <t>Vereda Guadualejo</t>
  </si>
  <si>
    <t>Junta de Acción Comunal - Guadualejo</t>
  </si>
  <si>
    <t>Corregimiento Versalles</t>
  </si>
  <si>
    <t>ESPD del Municipio De Cisneros S.A. E.S.P-Corregimiento de Versalles</t>
  </si>
  <si>
    <t>Vereda Vainillal</t>
  </si>
  <si>
    <t>Junta Administradora - Vainillal</t>
  </si>
  <si>
    <t>Junta de Acción Comunal - La Quiebra</t>
  </si>
  <si>
    <t>Vereda Piedras Blancas</t>
  </si>
  <si>
    <t>Junta de Acción Comunal - Piedras Blancas</t>
  </si>
  <si>
    <t>Vereda Las Animas</t>
  </si>
  <si>
    <t>Junta de Acción Comunal - Las Animas</t>
  </si>
  <si>
    <t>Vereda El Balzal</t>
  </si>
  <si>
    <t>Junta Administradora Acueducto- El Balzal</t>
  </si>
  <si>
    <t>Aguas de Porcesito</t>
  </si>
  <si>
    <t>Asociación de Usuarios del Acueducto Aguas de Porcesito</t>
  </si>
  <si>
    <t>Corregimiento Botero</t>
  </si>
  <si>
    <t>Asociación de Usuarios Pro Acueducto Corregimiento Botero</t>
  </si>
  <si>
    <t>Corregimiento de Fraguas La
 Esperanza</t>
  </si>
  <si>
    <t>Junta de Acción Comunal Corregimiento Fraguas-La Esperanza</t>
  </si>
  <si>
    <t>Vereda El Aporriado</t>
  </si>
  <si>
    <t>Junta de Acción Comunal El Aporriado</t>
  </si>
  <si>
    <t>Vereda Marmajon</t>
  </si>
  <si>
    <t>Junta Administradora Acueducto Marmajon</t>
  </si>
  <si>
    <t>Vereda Manzanillo</t>
  </si>
  <si>
    <t xml:space="preserve">Gran Colombia Gold </t>
  </si>
  <si>
    <t xml:space="preserve">Vereda Juan Tereso </t>
  </si>
  <si>
    <t>Junta de Acción Comunal Juan Tereso</t>
  </si>
  <si>
    <t>Vereda  Puerto Calavera</t>
  </si>
  <si>
    <t>Junta de Acción Comunal Puerto Calavera</t>
  </si>
  <si>
    <t>Vereda  El Chispero</t>
  </si>
  <si>
    <t>Junta de Acción Comunal  Vereda El Chispero</t>
  </si>
  <si>
    <t>Corregimiento de Fraguas-Machuca</t>
  </si>
  <si>
    <t>Junta de Acción Comunal Corregimiento Fraguas-Machuca</t>
  </si>
  <si>
    <t>Aguas del Pocuné S.A.S. E.S.P - Campo Alegre</t>
  </si>
  <si>
    <t>Vereda El Cristo</t>
  </si>
  <si>
    <t>Junata Administradora El Cristo ASUAVEC</t>
  </si>
  <si>
    <t>Vereda El Cenizo</t>
  </si>
  <si>
    <t>Junta de Acción Comunal El Cenizo</t>
  </si>
  <si>
    <t>Vereda La Gallinera</t>
  </si>
  <si>
    <t>ASUGASA E.S.P.-La Gallinera</t>
  </si>
  <si>
    <t>Vereda San Pacual</t>
  </si>
  <si>
    <t>ASUGASA E.S.P.-San Pascual</t>
  </si>
  <si>
    <t>Vereda La Sierra</t>
  </si>
  <si>
    <t>ASUGASA E.S.P.-La Sierra</t>
  </si>
  <si>
    <t>Corregimiento el Tigre</t>
  </si>
  <si>
    <t>ASOCOTI-El Tigre</t>
  </si>
  <si>
    <t>Vereda Villanita</t>
  </si>
  <si>
    <t>Asociación Junta Administradora de Acueducto Veredal Villanita</t>
  </si>
  <si>
    <t>Vereda Montañitas</t>
  </si>
  <si>
    <t>Asociación Junta Administradora de Acueducto Veredal Montañitas</t>
  </si>
  <si>
    <t>Vereda  Puerto Estafa</t>
  </si>
  <si>
    <t>Asociación Junta Administradora Acueducto Puerto Estafa</t>
  </si>
  <si>
    <t>Vereda San Jorge</t>
  </si>
  <si>
    <t>Junta Administradora de Acueducto San Jorge</t>
  </si>
  <si>
    <t>Vereda Montebello</t>
  </si>
  <si>
    <t>Junta Administradora de Acueducto Motebello</t>
  </si>
  <si>
    <t>Vereda Hatillo</t>
  </si>
  <si>
    <t>Asociación Junta Administradora de Acueducto Multiveredal Hatillo Montebello-Hatillo</t>
  </si>
  <si>
    <t>Asociación Junta Administradora de Acueducto Veredal Santa Barbara</t>
  </si>
  <si>
    <t>Vereda La Brillantina</t>
  </si>
  <si>
    <t>Asociación Junta Administradora de Acueducto Vereda Brillantina</t>
  </si>
  <si>
    <t>Vereda Casa Mora</t>
  </si>
  <si>
    <t>Asociación Junta Administradora de Acueducto Casa Mora</t>
  </si>
  <si>
    <t>Vereda Mascara</t>
  </si>
  <si>
    <t>Asociacion Junta Administradora Acueducto La Mascara</t>
  </si>
  <si>
    <t>Carmen de Viboral</t>
  </si>
  <si>
    <t>Vereda Tabacal parte baja</t>
  </si>
  <si>
    <t>Multiveredal Nazareth</t>
  </si>
  <si>
    <t>Vereda Tabacal parte alta</t>
  </si>
  <si>
    <t>Vereda La fe</t>
  </si>
  <si>
    <t>Multiveredal Vereda Pantanillo</t>
  </si>
  <si>
    <t>Multiveredal Vereda La Amapola</t>
  </si>
  <si>
    <t>Multiveredal Vereda Pantalio</t>
  </si>
  <si>
    <t>Vereda El Chuscal (seminario)</t>
  </si>
  <si>
    <t>Vereda El Chuscal (Luis Arenas)</t>
  </si>
  <si>
    <t>Vereda Carrizales parte alta</t>
  </si>
  <si>
    <t>Vereda Carrizales parte baja</t>
  </si>
  <si>
    <t>Vereda Villa Elena. (Altos del Cauce)</t>
  </si>
  <si>
    <t>Vereda Nazareth Bajo</t>
  </si>
  <si>
    <t>A. U. del Acueducto Multiveredal Nazareth y Tabacal. (Nazareth Alto)</t>
  </si>
  <si>
    <t>A. U.del Acueducto Multiveredal Nazareth y Tabacal. (Tabacal  Bajo).</t>
  </si>
  <si>
    <t>A.U. de Acueducto y Alcantarillado Villa Elena</t>
  </si>
  <si>
    <t>Corporación de Usuarios del Acueducto el Portento</t>
  </si>
  <si>
    <t>A. U.del Acueducto Tabacal Alto</t>
  </si>
  <si>
    <t>Asociación de Usuarios del Acueducto  Lejos del Nido</t>
  </si>
  <si>
    <t>Asociación de Usuarios del Acueducto Pantalio</t>
  </si>
  <si>
    <t>Asociación de Usuarios  del Acueducto  La fe</t>
  </si>
  <si>
    <t>Junta Administradora Sistema de Acueducto Los Medios</t>
  </si>
  <si>
    <t>Acueducto Multiveredal de las Veredas Pantanillo, Amapola y Pantalio. (Amapola)</t>
  </si>
  <si>
    <t>Acueducto Multiveredal de las Veredas Pantanillo, Amapola y Pantalio . (Pantanillo)</t>
  </si>
  <si>
    <t>Acueducto Multiveredal de las Veredas Pantanillo y Pantalio. (Pantalio)</t>
  </si>
  <si>
    <t>Asociación de Usuarios del Acueducto El Chuscal.  (Seminario)</t>
  </si>
  <si>
    <t>Asociacion de Usuarios del Acueducto El Chuscal. (Luis Arenas)</t>
  </si>
  <si>
    <t>Asociacion de Usuarios del Acueducto  Los Salados.</t>
  </si>
  <si>
    <t>Corporación de Usuarios del Acueducto Carrizales Parte alta.</t>
  </si>
  <si>
    <t>Asociacion de Usuarios del Acueducto Carrizales bajo</t>
  </si>
  <si>
    <t>Asociacion de Usuarios del Acueducto  Altos del Cauce</t>
  </si>
  <si>
    <t>Asociacion de Usuarios del Acueducto  Nazareth Parte baja.</t>
  </si>
  <si>
    <t>Corregimiento  El Ruby.</t>
  </si>
  <si>
    <t xml:space="preserve">Asociación Comunitaria Acueducto El Ruby. </t>
  </si>
  <si>
    <t>Corregimiento La Floresta (Versalles)</t>
  </si>
  <si>
    <t>Junta Administradora de Acueducto Corregimiento La Floresta-Versalles</t>
  </si>
  <si>
    <t>Corregimiento La Floresta (Ruby)</t>
  </si>
  <si>
    <t>Junta Administradora de Acueducto Corregimiento La Floresta-Rubi</t>
  </si>
  <si>
    <t>Corregimiento Villa Nueva</t>
  </si>
  <si>
    <t xml:space="preserve">Empresa de Servicios Públicos Corregimiento Villa Nueva </t>
  </si>
  <si>
    <t>Vereda Bareño</t>
  </si>
  <si>
    <t>Junta Administradora del Acueducto Bareño</t>
  </si>
  <si>
    <t>Comité Empresarial del Acueducto</t>
  </si>
  <si>
    <t>Vereda El Tapon</t>
  </si>
  <si>
    <t>Acueducto El Tapón</t>
  </si>
  <si>
    <t xml:space="preserve">Vereda La Melonada </t>
  </si>
  <si>
    <t>Junta de Acción Comunal Vereda La Melonada</t>
  </si>
  <si>
    <t>Vereda La Ceiba</t>
  </si>
  <si>
    <t>Junta Administradora Acueducto La Ceiba</t>
  </si>
  <si>
    <t>Vereda  Las Frías</t>
  </si>
  <si>
    <t>Asociación de Usuarios del Acueducto Veredal Las Frías</t>
  </si>
  <si>
    <t>Junta Acciión Comunal Vereda La María</t>
  </si>
  <si>
    <t>Vereda Estación Sofia</t>
  </si>
  <si>
    <t xml:space="preserve">Junta de Acción Comunal Estación Sofia. </t>
  </si>
  <si>
    <t>Junta Administradora de Acueducto La Soledad</t>
  </si>
  <si>
    <t>Vereda San Jacinto</t>
  </si>
  <si>
    <t>Acueducto Vereda San Jacinto</t>
  </si>
  <si>
    <t xml:space="preserve">Vereda Vargas </t>
  </si>
  <si>
    <t>Asociación de Usuarios Acueducto Multiveredal Vargas Pantanillo-Vargas</t>
  </si>
  <si>
    <t>Asociación de Usuarios Acueducto Multiveredal Vargas-Pantanillo</t>
  </si>
  <si>
    <t>Vereda Pavas</t>
  </si>
  <si>
    <t xml:space="preserve">Asociación de Usuarios Acueducto Vereda Pavas La Cuchilla E.P.S.D-Pavas </t>
  </si>
  <si>
    <t>Vereda Señor Caído</t>
  </si>
  <si>
    <t>Asociación de Usuarios Acueducto Vereda Pavas La Cuchilla E.P.S.D-Señor Caido E.P.S.D.</t>
  </si>
  <si>
    <t>Vereda El Carmelo</t>
  </si>
  <si>
    <t>Asociación de Usuarios del Acueducto Multiveredal El Carmelo Lourdes- El Carmelo</t>
  </si>
  <si>
    <t>Vereda Lourdes</t>
  </si>
  <si>
    <t>Asociación de Usuarios del Acueducto Multiveredal El Carmelo Lourdes- Lourdes</t>
  </si>
  <si>
    <t>Asociación de Usuarios del Acueducto Veredal Portachuelo de El Santuario Ant.</t>
  </si>
  <si>
    <t xml:space="preserve">Asociación de Usuarios Acueducto Pantanillo-La Milagrosa </t>
  </si>
  <si>
    <t>Vereda La Floresta</t>
  </si>
  <si>
    <t>Asociación de Copropietarios y Usuarios Acueducto Vereda La Floresta</t>
  </si>
  <si>
    <t>Vereda El Socorro</t>
  </si>
  <si>
    <t>Asociación de Usuarios Acueducto Vereda El Socorro</t>
  </si>
  <si>
    <t>Asociación de Usuarios Acueducto Vereda  San Matias</t>
  </si>
  <si>
    <t>Vereda  El Salaito</t>
  </si>
  <si>
    <t xml:space="preserve">Asociacion de Usuarios Acueducto El Salaito </t>
  </si>
  <si>
    <t>Vereda Valle María</t>
  </si>
  <si>
    <t>Asociación de Usuarios del Acueducto Multiveredal Valle de Maria La Chapa</t>
  </si>
  <si>
    <t xml:space="preserve">Vereda Potrerito  </t>
  </si>
  <si>
    <t>Asociación de Usuarios Acueducto Potrerito Aldana Municipio El Santuario-Potrerito</t>
  </si>
  <si>
    <t xml:space="preserve"> Vereda Aldana</t>
  </si>
  <si>
    <t>Asociación de Usuarios Acueducto Potrerito Aldana Municipio El Santuario-Aldana</t>
  </si>
  <si>
    <t>Asociación de Usuarios Acueducto Multiveredal San Eusebio El Roble Aldana Las Lajas El Carmelo Municipio El Santuario- El Roble</t>
  </si>
  <si>
    <t>Vereda Aldana</t>
  </si>
  <si>
    <t>Asociación de Usuarios Acueducto Multiveredal San Eusebio El Roble Aldana Las Lajas El Carmelo Municipio El Santuario- Aldana</t>
  </si>
  <si>
    <t>Asociación de Usuarios Acueducto Vereda El Morro</t>
  </si>
  <si>
    <t>Vereda Las Lajas</t>
  </si>
  <si>
    <t xml:space="preserve">Asociación de Usuarios Acueducto Vereda Las Lajas </t>
  </si>
  <si>
    <t>Vereda Las Palmas</t>
  </si>
  <si>
    <t>Asociación de Usuarios Acueducto Veredal Las Palmas</t>
  </si>
  <si>
    <t>Vereda Palmar  La Paz</t>
  </si>
  <si>
    <t xml:space="preserve">Asociación de Usuarios Acueducto Palmar La Paz </t>
  </si>
  <si>
    <t>Vereda Morritos</t>
  </si>
  <si>
    <t>Asociación de Usuarios Acueducto Morritos</t>
  </si>
  <si>
    <t>Vereda Las Colinas</t>
  </si>
  <si>
    <t>Asociación de Usuarios Acueducto Las Colinas</t>
  </si>
  <si>
    <t>Vereda El Salto</t>
  </si>
  <si>
    <t>Asociación de Usuarios Acueducto Palmarcito El Salto E.S.P.D-El Salto</t>
  </si>
  <si>
    <t>Vereda San Eusebio</t>
  </si>
  <si>
    <t>Asociación de Usuarios Acueducto Multiveredal San Eusebio El Roble Aldana Las Lajas El Carmelo Municipio El Santuario-San Eusebio</t>
  </si>
  <si>
    <t>Vereda  La  Aurora</t>
  </si>
  <si>
    <t>Asociación de Usuarios Acueducto Veredal La Aurora</t>
  </si>
  <si>
    <t>Vereda La Cuchilla</t>
  </si>
  <si>
    <t>Asociación de Usuarios Acueducto Vereda Pavas La Cuchilla E.P.S.D- La Cuchilla</t>
  </si>
  <si>
    <t>Asociación de Usuarios Acueducto Multiveredal San Eusebio El Roble Aldana Las Lajas El Carmelo Municipio El Santuario- Las Lajas</t>
  </si>
  <si>
    <t>Junta Administradora Acueducto Campo Alegre</t>
  </si>
  <si>
    <t>Vereda Aldana Arriba</t>
  </si>
  <si>
    <t>Asociacion de Usuarios Acueducto Vereda Aldana Arriba</t>
  </si>
  <si>
    <t>Vereda Bodeguitas</t>
  </si>
  <si>
    <t>Junta Administradora Acueducto Vereda Bodeguitas</t>
  </si>
  <si>
    <t>Vereda La Teneria</t>
  </si>
  <si>
    <t>Asociación de Usuarios y Suscriptores del Servicio Publico de Acueducto de La Vereda La Teneria E.P.S.D.</t>
  </si>
  <si>
    <t>Vereda La Serrania</t>
  </si>
  <si>
    <t>Asociacion de Usuarios del Acueducto La Serrania E.S.P.D</t>
  </si>
  <si>
    <t>Asociación de Usuarios Acueducto Vereda El Salto</t>
  </si>
  <si>
    <t xml:space="preserve">Junta Administradora Acueducto Vereda Buena Vista                    </t>
  </si>
  <si>
    <t>Barrio El Calvario Rural</t>
  </si>
  <si>
    <t>Asociación de Usuarios Acueducto Barrio Alto del Calvario- Zona Rural</t>
  </si>
  <si>
    <t>Vereda El Salaito</t>
  </si>
  <si>
    <t>Asociación de Usuarios del Acueducto Multiveredal Lourdes-Salaito</t>
  </si>
  <si>
    <t>Junta de Acción Comunal San Matías</t>
  </si>
  <si>
    <t>Junta de Acción Comunal El Vergel</t>
  </si>
  <si>
    <t>Vereda Vahitos</t>
  </si>
  <si>
    <t>Junta de Acción Comunal Vahitos</t>
  </si>
  <si>
    <t>Junta de Acción Comunal La Cascada</t>
  </si>
  <si>
    <t>Vereda Tafetanes</t>
  </si>
  <si>
    <t>Junta de Acción Comunal Tafetanes</t>
  </si>
  <si>
    <t>Asociación de Usuarios Suscriptores del Acueducto Rural Aguas Cristalinas- Los Medios</t>
  </si>
  <si>
    <t>Asociacion de Usuarios Suscriptores del Acueducto Rural- La Quiebra</t>
  </si>
  <si>
    <t>Vereda Reyes</t>
  </si>
  <si>
    <t>Junta de Acción Comunal Reyes</t>
  </si>
  <si>
    <t>Junta de Acción Comunal Quebradona Abajo</t>
  </si>
  <si>
    <t>Junta de Acción Comunal Malpaso</t>
  </si>
  <si>
    <t>Vereda Primavera</t>
  </si>
  <si>
    <t>Junta de Acción Comunal Primavera</t>
  </si>
  <si>
    <t>Vereda Los Planes</t>
  </si>
  <si>
    <t>Junta de Acción Comunal Los Planes</t>
  </si>
  <si>
    <t>Vereda Buenavista</t>
  </si>
  <si>
    <t>Junta de Acción Comunal Buena Vista</t>
  </si>
  <si>
    <t>NO</t>
  </si>
  <si>
    <t>Vereda El Tabor</t>
  </si>
  <si>
    <t>Junta de Acción Comunal El Tabor</t>
  </si>
  <si>
    <t>Vereda La Merced</t>
  </si>
  <si>
    <t>Junta de Acción Comunal La Merced</t>
  </si>
  <si>
    <t>Vereda El Eden</t>
  </si>
  <si>
    <t>Acueducto Multiveredal San Esteban, El Roble y El Eden-El Eden</t>
  </si>
  <si>
    <t>Acueducto Multiveredal San Esteban, El Roble y El Eden-El Roble</t>
  </si>
  <si>
    <t>Vereda Las Vegas</t>
  </si>
  <si>
    <t>Junta de Acción Comunal Las Vegas</t>
  </si>
  <si>
    <t>Acueducto Multiveredal San Esteban, El Roble y El Eden-San Esteban</t>
  </si>
  <si>
    <t>Vereda La Aguada</t>
  </si>
  <si>
    <t>Asociacion de Usuarios Suscriptores del Acueducto Rural Los Pomos de La Vereda- La Aguada</t>
  </si>
  <si>
    <t>Vereda Minitas</t>
  </si>
  <si>
    <t>Junta Administradora  de Acueducto Vereda Minitas</t>
  </si>
  <si>
    <t>Junta Administradora  de Acueducto Vereda Santa Ana</t>
  </si>
  <si>
    <t>Vereda Las Faldas</t>
  </si>
  <si>
    <t>Junta Administradora  de Acueducto Vereda Las Faldas</t>
  </si>
  <si>
    <t>Vereda Juan XXIII</t>
  </si>
  <si>
    <t>Asociacion de Suscriptores del Acueducto Multiveredal Juan XXIII-Chaparrall- Juan XXIII</t>
  </si>
  <si>
    <t>Junta de Acción Comunal Vereda Bellavista</t>
  </si>
  <si>
    <t>Vereda San Jose Canoas Sector Bajo</t>
  </si>
  <si>
    <t>Asociacion de Usuarios del Acueducto Veredal San Jose - Canoas Sector Bajo</t>
  </si>
  <si>
    <t>Asociacion de Usuarios del Acueducto Veredal San Jose -  San Jose</t>
  </si>
  <si>
    <t>Vereda San Jose Hondita SectorII</t>
  </si>
  <si>
    <t>Asociacion de Usuarios del Acueducto Veredal San Jose -  Hondita Sector II</t>
  </si>
  <si>
    <t>Vereda San Jose Honda Sector III</t>
  </si>
  <si>
    <t>Asociacion de Usuarios del Acueducto Veredal San Jose -Honda Sector III</t>
  </si>
  <si>
    <t>Vereda San Jose Hojas Anchas Sector alto</t>
  </si>
  <si>
    <t>Asociacion de Usuarios del Acueducto Veredal San Jose - Hojas Anchas Sector Alto</t>
  </si>
  <si>
    <t>Vereda Yolombal</t>
  </si>
  <si>
    <t>Asociación de Suscriptores del Acueducto Multiveredal El Roble - Yolombal</t>
  </si>
  <si>
    <t>Vereda La Enea</t>
  </si>
  <si>
    <t>Asociacion de Suscriptores del Acueducto Multiveredal El Roble - La Enea</t>
  </si>
  <si>
    <t>Vereda Palmar</t>
  </si>
  <si>
    <t>Asociación de Suscriptores del Acueducto Multiveredal El Roble - El Palmar</t>
  </si>
  <si>
    <t>Asociacion de Usuarios del Servicio de Acueducto de La Vereda Yolombal</t>
  </si>
  <si>
    <t>Vereda Hojas Anchas</t>
  </si>
  <si>
    <t>Asociacion de Suscriptores del Acueducto Hondita Hojas Anchas del Municipio de Guarne ASACUHAN – Hojas Anchas</t>
  </si>
  <si>
    <t>Asociacion de Suscriptores del Acueducto Hondita Hojas Anchas del Municipio de Guarne ASACUHAN – La Clara</t>
  </si>
  <si>
    <t>Asociacion de Suscriptores del Acueducto Hondita Hojas Anchas del Municipio de Guarne ASACUHAN– Bellavista</t>
  </si>
  <si>
    <t>Vereda Toldas</t>
  </si>
  <si>
    <t>Asociacion de Suscriptores del Acueducto Hondita Hojas Anchas del Municipio de Guarne ASACUHAN – Toldas</t>
  </si>
  <si>
    <t>Vereda Canoas</t>
  </si>
  <si>
    <t>Asociacion de Suscriptores del Acueducto Hondita Hojas Anchas del Municipio de Guarne ASACUHAN – Canoas</t>
  </si>
  <si>
    <t>Vereda La Mosquita</t>
  </si>
  <si>
    <t>Asociacion de Suscriptores del Acueducto Hondita Hojas Anchas del Municipio de Guarne ASACUHAN – La Mosquita</t>
  </si>
  <si>
    <t>Asociacion de Suscriptores del Acueducto Hondita Hojas Anchas del Municipio de Guarne ASACUHAN – San Jose</t>
  </si>
  <si>
    <t>Vereda La Hondita</t>
  </si>
  <si>
    <t>Aasociacion de Suscriptores del Acueducto Hondita Hojas Anchas del Municipio de Guarne ASACUHAN – Hondita</t>
  </si>
  <si>
    <t>Asociacion de Usuarios del Acueducto Ensenillo Asoense - El Salado</t>
  </si>
  <si>
    <t>Vereda La Brizuela</t>
  </si>
  <si>
    <t>Asociacion de Usuarios del Acueducto Ensenillo Asoense- La Brizuela</t>
  </si>
  <si>
    <t>Asociacion de Usuarios del Acueducto Ensenillo Asoense-San Isidro</t>
  </si>
  <si>
    <t>Vereda Sango parte baja</t>
  </si>
  <si>
    <t>Asociacion de Usuarios del Acueducto Ensenillo Asoense- Sango Parte Baja</t>
  </si>
  <si>
    <t>Asociacion de Usuarios del Acueducto El Rosario Piedras Blancas- Piedras Blancas</t>
  </si>
  <si>
    <t>Asociacion de Usuarios del Acueducto El Rosario Piedras Blanca- La Brizuela</t>
  </si>
  <si>
    <t>Vereda Pueblito</t>
  </si>
  <si>
    <t>Asociacion de Usuarios del Acueducto El Rosario Piedras Blanca- Pueblito</t>
  </si>
  <si>
    <t>Vereda Barro Blanco</t>
  </si>
  <si>
    <t>Asociacion de Usuarios del Acueducto El Rosario Piedras Blanca- Barro Blanco</t>
  </si>
  <si>
    <t>Asociacion de Usuarios del Acueducto El Rosario Piedras Blanca- San Isidro</t>
  </si>
  <si>
    <t>Vereda San Antonio Parte Baja</t>
  </si>
  <si>
    <t>Asociacion de Suscriptores del Acueducto Barrio San Antonio Aguasanan-San Antonio Parte Baja</t>
  </si>
  <si>
    <t>Vereda Guapante</t>
  </si>
  <si>
    <t>Asociacion Acueducto Guapante Asoagua</t>
  </si>
  <si>
    <t>Vereda Chaparral</t>
  </si>
  <si>
    <t>Asociacion de Suscriptores del Acueducto Multiveredal Juan XXIII Chaparral- Chaparral</t>
  </si>
  <si>
    <t>Asociacion de Suscriptores del Acueducto Multiveredal Juan XXIII Chaparral-Guamito</t>
  </si>
  <si>
    <t>Vereda Garrido</t>
  </si>
  <si>
    <t>Asociacion de Suscriptores del Acueducto Multiveredal Juan XXIII Chaparral-Garrido</t>
  </si>
  <si>
    <t>Vereda San Antonio Parte Alta</t>
  </si>
  <si>
    <t>Asociacion de Suscriptores del Acueducto Barrio San Antonio Aguasanan- San Antonio Parte Alta</t>
  </si>
  <si>
    <t>Vereda La Charanga</t>
  </si>
  <si>
    <t>Asociacion de Suscriptores del Acueducto Barrio San Antonio Aguasanan - La Charanga</t>
  </si>
  <si>
    <t>Asociacion de Usuarios del Acueducto Veredal La Clara</t>
  </si>
  <si>
    <t>Vereda El Colorado</t>
  </si>
  <si>
    <t>Asociacion de Suscriptores Acueducto Multiveredal El Colorado Asucol - Colorado</t>
  </si>
  <si>
    <t>Asociacion de Suscriptores Acueducto Multiveredal El Colorado Asucol - Bellavista</t>
  </si>
  <si>
    <t>Vereda  Garrido</t>
  </si>
  <si>
    <t>Asociacion de Suscriptores Acueducto Multiveredal El Colorado Asucol - Garrido</t>
  </si>
  <si>
    <t>Asociacion de Suscriptores Acueducto Multiveredal El Colorado Asucol - Toldas</t>
  </si>
  <si>
    <t>Vereda La Mosca</t>
  </si>
  <si>
    <t xml:space="preserve">Asociacion de Suscriptores Acueducto Multiveredal El Colorado Asucol - La Mosca </t>
  </si>
  <si>
    <t>Asociacion de Suscriptores Acueducto Multiveredal El Colorado Asucol - Chaparral</t>
  </si>
  <si>
    <t>Vereda Berracal</t>
  </si>
  <si>
    <t>Asociacion de Suscriptores Acueducto Multiveredal El Colorado Asucol - Berracal</t>
  </si>
  <si>
    <t>Vereda La Charanga Parte Alta</t>
  </si>
  <si>
    <t>Asociacion de Usuarios Acueducto La Charanga Parte Alta</t>
  </si>
  <si>
    <t>Asociacion de Usuarios del Acueducto de La Vereda La Brizuela</t>
  </si>
  <si>
    <t>Asociacion de Suscriptores Aguas La Chorrera  - La Mosquita</t>
  </si>
  <si>
    <t>Vereda San Ignacio</t>
  </si>
  <si>
    <t>Asociacion de Usuarios del Acueducto San Ignacio A.S.U.A.S.I. -San Ignacio</t>
  </si>
  <si>
    <t xml:space="preserve">Vereda El Porvenir </t>
  </si>
  <si>
    <t>Asociacion de Usuarios del Acueducto San Ignacio A.S.U.A.S.I. - El Porvenir</t>
  </si>
  <si>
    <t>Vereda Montañez</t>
  </si>
  <si>
    <t>Asociacion de Usuarios del Acueducto Montanes El Aguacate - Montañez</t>
  </si>
  <si>
    <t>Vereda El Sango</t>
  </si>
  <si>
    <t>Asociacion de Usuarios del Servicio de Acueducto de La Vereda El Sango -El Sango</t>
  </si>
  <si>
    <t>Vereda El Molino</t>
  </si>
  <si>
    <t>Asociacion de Usuarios del Servicio de Acueducto de La Vereda El Sango - El Molino</t>
  </si>
  <si>
    <t>Vereda  Montañez</t>
  </si>
  <si>
    <t>Asociacion de Usuarios del Servicio de Acueducto de La Vereda El Sango - Montañez</t>
  </si>
  <si>
    <t>Vereda  El Salado</t>
  </si>
  <si>
    <t>Asociacion de Usuarios del Servicio de Acueducto de La Vereda El Sango - El Salado</t>
  </si>
  <si>
    <t>Vereda  San Isidro</t>
  </si>
  <si>
    <t>Asociacion de Usuarios del Servicio de Acueducto de La Vereda El Sango - San Isidro</t>
  </si>
  <si>
    <t>Vereda  Romeral</t>
  </si>
  <si>
    <t>Asociacion de Usuarios del Servicio de Acueducto de La Vereda El Sango - Romeral</t>
  </si>
  <si>
    <t>Asociacion de Usuarios del Acueducto de La Vereda San Isidro- San Isidro</t>
  </si>
  <si>
    <t>Vereda El Sango parte alta</t>
  </si>
  <si>
    <t>Asociacion de Usuarios del Acueducto de La Vereda San Isidro- Sango Parte Alta</t>
  </si>
  <si>
    <t>Vereda Batea Seca</t>
  </si>
  <si>
    <t>Asociacion de Usuarios del Acueducto de La Vereda San Isidro- Batea Seca</t>
  </si>
  <si>
    <t>Asociacion de Usuarios del Acueducto de La Vereda San Isidro- Salado Parte Baja</t>
  </si>
  <si>
    <t>Vereda El Aguacate parte baja</t>
  </si>
  <si>
    <t>Asociacion de Usuarios del Acueducto Montanes El Aguacate - El Agucate Sector Bajo</t>
  </si>
  <si>
    <t>Vereda La Cabaña</t>
  </si>
  <si>
    <t>Asociacion de Usuarios del Acueducto Montanes El Aguacate - La Cabaña</t>
  </si>
  <si>
    <t>Vereda El Romeral</t>
  </si>
  <si>
    <t xml:space="preserve"> Asociacion de Usuarios del Acueducto de La Vereda Romeral</t>
  </si>
  <si>
    <t>Vereda La Pastorcita</t>
  </si>
  <si>
    <t>Asociacion de Usuarios del Acueducto La Pastorcita - La Pastorcita</t>
  </si>
  <si>
    <t>Vereda Batea Seca parte baja</t>
  </si>
  <si>
    <t>Asociacion de Usuarios del Acueducto La Pastorcita - Batea Seca Parte Baja</t>
  </si>
  <si>
    <t>Asociacion de Usuarios del Acueducto La Pastorcita - El Molino</t>
  </si>
  <si>
    <t>Asociacion de Usuarios del Acueducto Multiveredal El Molino -El Molino</t>
  </si>
  <si>
    <t>Vereda Sierra Linda</t>
  </si>
  <si>
    <t>Asociacion de Usuarios del Acueducto Multiveredal El Molino -Sierra Linda</t>
  </si>
  <si>
    <t>Asociacion de Usuarios del Acueducto Multiveredal El Molino -Romeral</t>
  </si>
  <si>
    <t>Asociacion de Usuarios del Acueducto Multiveredal El Molino -La Pastorcita</t>
  </si>
  <si>
    <t>Vereda Alto de la Virgen</t>
  </si>
  <si>
    <t>Asociacion de Usuarios del Acueducto Alto de La Virgen - Alto de La Virgen</t>
  </si>
  <si>
    <t>Vereda Alto de La Virgen Parte Alta</t>
  </si>
  <si>
    <t>Asociacion de Usuarios del Acueducto Alto de La Virgen - Parte Alta</t>
  </si>
  <si>
    <t>Vereda Romeral</t>
  </si>
  <si>
    <t>Asociacion de Usuarios del Acueducto Alto de La Virgen- Romeral</t>
  </si>
  <si>
    <t>Vereda La Mejia</t>
  </si>
  <si>
    <t>Asociacion Acueducto Vereda La Mejia - La Mejia</t>
  </si>
  <si>
    <t>Vereda Monteoscuro</t>
  </si>
  <si>
    <t>Asociacion Acueducto Vereda La Mejia -Monteoscuro</t>
  </si>
  <si>
    <t>Asociacion Acueducto Vereda La Mejia -Guapante</t>
  </si>
  <si>
    <t>Asociacion Acueducto Vereda La Mejia -Yolombal</t>
  </si>
  <si>
    <t>Asociacion Acueducto Vereda La Mejia -Alto de La Virgen</t>
  </si>
  <si>
    <t>Asociacion Acueducto Vereda La Mejia - Montañez</t>
  </si>
  <si>
    <t>Vereda La Charanga San Antonio Parte Alta</t>
  </si>
  <si>
    <t>Asociacion de Suscriptores del Acueducto Barrio San Antonio Aguasanan - La Charanga San Antonio Parte Alta</t>
  </si>
  <si>
    <t>Junta Administradora Acueducto Sonadora</t>
  </si>
  <si>
    <t>Vereda La Piedra</t>
  </si>
  <si>
    <t>Asociacion de Usuarios del Acueducto Multiveredal La Piedra La Pena y Los Naranjos-La Piedra</t>
  </si>
  <si>
    <t>Junta de Acción Comunal Vereda El Roble</t>
  </si>
  <si>
    <t>Junta Administradora Acueducto Quebrada Arriba</t>
  </si>
  <si>
    <t>Vereda San Miguel</t>
  </si>
  <si>
    <t>Vereda Guamito sector Capiro</t>
  </si>
  <si>
    <t>Vereda Los Saltos</t>
  </si>
  <si>
    <t>Vereda Piedras El Salvio</t>
  </si>
  <si>
    <t>Vereda  San Nicolas</t>
  </si>
  <si>
    <t>Corregimiento San Jose Cestillal</t>
  </si>
  <si>
    <t>Corregimiento San Jose La Palma</t>
  </si>
  <si>
    <t>Vereda La Miel</t>
  </si>
  <si>
    <t>Vereda El Higuerón Los Planes</t>
  </si>
  <si>
    <t>Vereda Colmenas (sin tratamiento)</t>
  </si>
  <si>
    <t xml:space="preserve">Vereda las lomitas </t>
  </si>
  <si>
    <t>Vereda El Tambo</t>
  </si>
  <si>
    <t>Sector La Palma -El Romeral</t>
  </si>
  <si>
    <t>Vereda San Gerardo</t>
  </si>
  <si>
    <t>Vereda La Loma</t>
  </si>
  <si>
    <t>Vereda Vallejuelitos Peñas</t>
  </si>
  <si>
    <t xml:space="preserve">Junta de Accion Comunal Vallejuelito Peñas </t>
  </si>
  <si>
    <t>Vereda La Concha</t>
  </si>
  <si>
    <t>Junta de Accion Comunal La Concha</t>
  </si>
  <si>
    <t>Corregimiento Mesopotamia</t>
  </si>
  <si>
    <t>Asociación de Usuarios del Acueducto y Alcantarillado del Corregimiento de Mesopotamia</t>
  </si>
  <si>
    <t>Junta de Accion Comunal  Pantalio</t>
  </si>
  <si>
    <t>Vereda La Almeria</t>
  </si>
  <si>
    <t>Asociacion de Usuarios del Acueducto de La Vereda La Almeria</t>
  </si>
  <si>
    <t xml:space="preserve">Junta de Accion Comunal Minitas </t>
  </si>
  <si>
    <t>Vereda La Palmera</t>
  </si>
  <si>
    <t>Junta de Accion Comunal La Palmera</t>
  </si>
  <si>
    <t>Vereda Chuscalito</t>
  </si>
  <si>
    <t>Asociación de Usuarios del Acueducto Chuscalito</t>
  </si>
  <si>
    <t>Asociación de Usuarios del Acueducto y Alcantarillado de La Vereda Buenavista</t>
  </si>
  <si>
    <t>Vereda El Cardal</t>
  </si>
  <si>
    <t>Asociación de Asociados del Acueducto de La Vereda El Cardal</t>
  </si>
  <si>
    <t>Vereda Las Teresas</t>
  </si>
  <si>
    <t>Asociación de Asociados del Acueducto de La Vereda Las Teresas</t>
  </si>
  <si>
    <t>Asociación de Usuarios del Acueducto de La Vereda Quebrada Negra Asuaquen Municipio de La Union departamento de Antioquia</t>
  </si>
  <si>
    <t>Vereda El Guarango</t>
  </si>
  <si>
    <t>Asociación de Usuarios del Acueducto de La Vereda El Guarango Asuagun Municipio de La Union departamento de Antioquia</t>
  </si>
  <si>
    <t>Vereda Fatima</t>
  </si>
  <si>
    <t>Asociacion de Asociados del Acueducto de La Vereda Fatima</t>
  </si>
  <si>
    <t>Asociación de Usuarios del Acueducto San Juan</t>
  </si>
  <si>
    <t>Vereda Colmenas García</t>
  </si>
  <si>
    <t>Asociación de Usuarios del Acueducto y/o Alcantarillado Colmenas García</t>
  </si>
  <si>
    <t>Vereda Las Brisas</t>
  </si>
  <si>
    <t xml:space="preserve">Junta de Accion Comunal Las Brisas </t>
  </si>
  <si>
    <t>Asociación de Socios del Acueducto de Las Acacias del Municipio del Carmen de Viboral - Las Acacias</t>
  </si>
  <si>
    <t>Sector El Hoyo</t>
  </si>
  <si>
    <t>Asociacion de Usuarios Propietarios de Acueducto Rural de Llanadas-Sector El Hoyo</t>
  </si>
  <si>
    <t>Sector Yolombos</t>
  </si>
  <si>
    <t>Asociacion de Usuarios Propietarios de Acueducto Rural de Llanadas-Sector Yolombos</t>
  </si>
  <si>
    <t>Vereda Cascajo Abajo</t>
  </si>
  <si>
    <t>Asociados del Acueducto de Cascajo- Cascajo Abajo</t>
  </si>
  <si>
    <t>Asociados del Acueducto de Cascajo - Campo Alegre</t>
  </si>
  <si>
    <t>Vereda Cimarronas</t>
  </si>
  <si>
    <t>Asociados del Acueducto de Cascajo- Cimarronas</t>
  </si>
  <si>
    <t>Vereda Cascajo Arriba</t>
  </si>
  <si>
    <t>Asociados del Acueducto de Cascajo- Cascajo Arriba</t>
  </si>
  <si>
    <t>Vereda Las Mercedes</t>
  </si>
  <si>
    <t>Acueducto Las Mercedes, La Esperanza, La Esmeralda y El Chagualo-Las Mercedes</t>
  </si>
  <si>
    <t>Vereda La Esmeralda</t>
  </si>
  <si>
    <t>Acueducto Las Mercedes, La Esperanza, La Esmeralda y El Chagualo-La Esmeraldo</t>
  </si>
  <si>
    <t>Acueducto Las Mercedes, La Esperanza, La Esmeralda y El Chagualo-La Esperanza</t>
  </si>
  <si>
    <t>Vereda El Chagualo</t>
  </si>
  <si>
    <t>Acueducto Las Mercedes, La Esperanza, La Esmeralda y El Chagualo-El Chagualo</t>
  </si>
  <si>
    <t>Vereda Chocho Mayo</t>
  </si>
  <si>
    <t>Asociación de Usuarios Propietarios del Acueducto Rural Alto del Mercado-Chocho Mayo</t>
  </si>
  <si>
    <t>Vereda Alto del Mercado</t>
  </si>
  <si>
    <t>Asociación de Usuarios Propietarios del Acueducto Rural Alto del Mercado-Alto del Mercado</t>
  </si>
  <si>
    <t>Vereda Santa Cruz</t>
  </si>
  <si>
    <t>Asociación de Usuarios Propietarios del Acueducto Rural Alto del Mercado-Santa Cruz</t>
  </si>
  <si>
    <t>Asociación de Usuarios Propietarios del Acueducto Rural Alto del Mercado-San Jose</t>
  </si>
  <si>
    <t>Vereda Pozo</t>
  </si>
  <si>
    <t>Asociacion de Usuarios Propietarios del Acueducto Multiveredal Pozo, La Inmaculada, Milagrosa-Pozo</t>
  </si>
  <si>
    <t>Asociacion de Usuarios Propietarios del Acueducto Multiveredal Pozo, La Inmaculada, Milagrosa-La Inmaculada</t>
  </si>
  <si>
    <t>Asociacion de Usuarios Propietarios del Acueducto Multiveredal Pozo, La Inmaculada, Milagrosa-El Rosario</t>
  </si>
  <si>
    <t>Asociacion de Usuarios Propietarios del Acueducto Multiveredal Pozo, La Inmaculada, Milagrosa-La Milagrosa</t>
  </si>
  <si>
    <t>Asociacion de Usuarios Propietarios del Acueducto Multiveredal Pozo, La Inmaculada, Milagrosa-El Porvenir</t>
  </si>
  <si>
    <t>Vereda Salto Arriba</t>
  </si>
  <si>
    <t>Asociacion Usuarios Propietarios del Acueducto Multiveredal Los Saltos-Salto Arriba</t>
  </si>
  <si>
    <t>Vereda Salto Abajo</t>
  </si>
  <si>
    <t>Asociacion Usuarios Propietarios del Acueducto Multiveredal Los Saltos-Salto Abajo</t>
  </si>
  <si>
    <t>Asociacion Usuarios Propietarios del Acueducto Multiveredal Los Saltos-Chocho Mayo</t>
  </si>
  <si>
    <t>Asociacion Usuarios Propietarios del Acueducto Multiveredal Los Saltos-El Rosario</t>
  </si>
  <si>
    <t>Vereda Montañita Arriba</t>
  </si>
  <si>
    <t>Asociacion de Usuarios Propietarios del Acueducto Montañita Arriba</t>
  </si>
  <si>
    <t>Vereda Montañita</t>
  </si>
  <si>
    <t>Asociacion Usuarios Propietarios del Acueducto Multiveredal Los Saltos-Montañita</t>
  </si>
  <si>
    <t>Vereda La Asuncion</t>
  </si>
  <si>
    <t>Asociacion Usuarios Propietarios del Acueducto Multiveredal Los Saltos-La Asunción</t>
  </si>
  <si>
    <t>Vereda Yarumos</t>
  </si>
  <si>
    <t>Asociacion Usuarios Propietarios del Acueducto Multiveredal Los Saltos-Yarumos</t>
  </si>
  <si>
    <t>Vereda  La Peña</t>
  </si>
  <si>
    <t>Asociacion Usuarios Propietarios del Acueducto Multiveredal Los Saltos-La Peña</t>
  </si>
  <si>
    <t>Asociacion Usuarios Propietarios del Acueducto Multiveredal Los Saltos-El Porvenir</t>
  </si>
  <si>
    <t xml:space="preserve"> Vereda Gaviria Sector La Escuela</t>
  </si>
  <si>
    <t>Asociación de Usuarios Propietarios del Acueducto Multiveredal Gaviria San Juan Bosco Aguas-Gaviria Sector La Escuela</t>
  </si>
  <si>
    <t>Verda Gaviria Sector Planta de Tratamiento</t>
  </si>
  <si>
    <t>Asociación de Usuarios Propietarios del Acueducto Multiveredal Gaviria San Juan Bosco Aguas-Gaviria Sector Planta de Tratamiento</t>
  </si>
  <si>
    <t>Asociación de Usuarios Propietarios del Acueducto Multiveredal Gaviria San Juan Bosco Aguas-Cristo Rey</t>
  </si>
  <si>
    <t>Vereda San Juan Bosco</t>
  </si>
  <si>
    <t>Asociación de Usuarios Propietarios del Acueducto Multiveredal Gaviria San Juan Bosco Aguas-San Juan Bosco</t>
  </si>
  <si>
    <t>Vereda El Recodo</t>
  </si>
  <si>
    <t>Asociación de Usuarios Propietarios del Acueducto Multiveredal Gaviria San Juan Bosco Aguas-El Recodo</t>
  </si>
  <si>
    <t>Asociación de Usuarios Propietarios del Acueducto Rural La Primavera El Socorro La Asunción y Parte del Alto del Mercado-El Socorro</t>
  </si>
  <si>
    <t>Vereda La Asunción</t>
  </si>
  <si>
    <t>Asociación de Usuarios Propietarios del Acueducto Rural La Primavera El Socorro La Asunción y Parte del Alto del Mercado-La Asunción</t>
  </si>
  <si>
    <t>Vereda Alto Del Mercado</t>
  </si>
  <si>
    <t>Asociación de Usuarios Propietarios del Acueducto Rural La Primavera El Socorro La Asunción y Parte del Alto del Mercado-Alto del Mercado</t>
  </si>
  <si>
    <t>Asociación de Usuarios Propietarios del Acueducto Rural La Primavera El Socorro La Asunción y Parte del Alto del Mercado-La Primavera</t>
  </si>
  <si>
    <t>Vereda La Aurora</t>
  </si>
  <si>
    <t>Sajonia - Barro Blanco - Aeropuerto - Chachafruto - La Convención - Playa Rica - Yarumal</t>
  </si>
  <si>
    <t>Asociación Usuarios Acueducto Rural Sajonia - Alto Vallejo - ARSA</t>
  </si>
  <si>
    <t>Cuatro Esquinas - Cimarronas - El Vergel</t>
  </si>
  <si>
    <t>AUAA Cuatro Esquinas</t>
  </si>
  <si>
    <t>vereda galicia</t>
  </si>
  <si>
    <t>Corporacion de acueducto de Galicia J.H.G.N</t>
  </si>
  <si>
    <t>AS Aguas La Chorrera</t>
  </si>
  <si>
    <t>La Enea - Galicia - Garrido - La Laja - La Playa</t>
  </si>
  <si>
    <t>Corporación La Enea</t>
  </si>
  <si>
    <t>La Quiebra</t>
  </si>
  <si>
    <t>Corporación Aguas del Mirador</t>
  </si>
  <si>
    <t>San Antonio de Pereira</t>
  </si>
  <si>
    <t>CC San Antonio de Pereira</t>
  </si>
  <si>
    <t>Vereda Cabeceras de Llano Grande - Planta I</t>
  </si>
  <si>
    <t>AA Cabeceras Llano Grande</t>
  </si>
  <si>
    <t xml:space="preserve">Asosiación Libardo González Echeverri </t>
  </si>
  <si>
    <t>Cuchillas - Carmín - Mampuesto</t>
  </si>
  <si>
    <t>CAM Carmín, Cuchillas, Mampuesto y Anexos</t>
  </si>
  <si>
    <t>Vereda El Capiro</t>
  </si>
  <si>
    <t>CUA El Capiro</t>
  </si>
  <si>
    <t>Vereda Pontezuela</t>
  </si>
  <si>
    <t>AUA Pontezuela</t>
  </si>
  <si>
    <t>Vereda Rancherías</t>
  </si>
  <si>
    <t>JA Servicio Agua Potable Rancherías</t>
  </si>
  <si>
    <t>Río Abajo - Los Piinos</t>
  </si>
  <si>
    <t>Acueducto Río Abajo Los Pinos</t>
  </si>
  <si>
    <t>Vereda San Luis - Santa Bárbara</t>
  </si>
  <si>
    <t>CC San Luis - Santa Bárbara</t>
  </si>
  <si>
    <t>Vereda Santa Teresa</t>
  </si>
  <si>
    <t>CC Acueducto Santa Teresa</t>
  </si>
  <si>
    <t>Vereda Tablazo</t>
  </si>
  <si>
    <t>AA El Tablazo</t>
  </si>
  <si>
    <t>Vereda La Convención</t>
  </si>
  <si>
    <t>AJAA vereda La Convención</t>
  </si>
  <si>
    <t xml:space="preserve">Vereda El Tablacito </t>
  </si>
  <si>
    <t>AA El Tablacito</t>
  </si>
  <si>
    <t>Tres Puertas - Guayabito</t>
  </si>
  <si>
    <t>Aguas de Llanogrande</t>
  </si>
  <si>
    <t>Junta de Accion Comunal Vereda El Tabor</t>
  </si>
  <si>
    <t>Vereda Peñoles</t>
  </si>
  <si>
    <t>Junta de Accion Comunal Vereda Peñoles</t>
  </si>
  <si>
    <t>Vereda Arenosas</t>
  </si>
  <si>
    <t>Junta de Accion Comunal Arenosas</t>
  </si>
  <si>
    <t>Corregimiento El Jordan</t>
  </si>
  <si>
    <t>Asociacion de Usuarios Acueducto El Jordan AUAJOR</t>
  </si>
  <si>
    <t>Corregimiento Puerto Garza</t>
  </si>
  <si>
    <t>Junta de Accion Comunal Corregimiento Puerto Garza</t>
  </si>
  <si>
    <t>Vereda Dinamarca</t>
  </si>
  <si>
    <t>Junta de Accion Comunal Vereda Dinamarca</t>
  </si>
  <si>
    <t>Vereda Palmichal</t>
  </si>
  <si>
    <t>Asociacion de Usuarios Acueducto Palmichal</t>
  </si>
  <si>
    <t>Vereda La Rapida</t>
  </si>
  <si>
    <t>Asociacion de Usuarios del Acueducto La Rapida</t>
  </si>
  <si>
    <t>Vereda Santa Rita</t>
  </si>
  <si>
    <t>Junta de Accion Comunal Vereda Santa Rita</t>
  </si>
  <si>
    <t>Vereda Dos Quebradas</t>
  </si>
  <si>
    <t>Junta de Accion Comunal Vereda Dos Quebradas</t>
  </si>
  <si>
    <t>Junta de Accion Comunal Vereda El Choco</t>
  </si>
  <si>
    <t>Corregimiento Samana del Norte</t>
  </si>
  <si>
    <t>Junta de Accion Comunal Corregimiento Samana del Norte</t>
  </si>
  <si>
    <t>Vereda La Holanda</t>
  </si>
  <si>
    <t>Junta de Accion Comunal La Holanda</t>
  </si>
  <si>
    <t>Vereda El Paraguas</t>
  </si>
  <si>
    <t>Junta de Accion Comunal Vereda El Paraguas</t>
  </si>
  <si>
    <t>Vereda Agualinda</t>
  </si>
  <si>
    <t>Junta de Accion Comunal Agualinda</t>
  </si>
  <si>
    <t>Corregimiento Aquitania</t>
  </si>
  <si>
    <t>Junta de Accion Comunal Vereda Aquitania</t>
  </si>
  <si>
    <t>Vereda Pocitos</t>
  </si>
  <si>
    <t>Junta de Accion Comunal  Vereda Pocitos</t>
  </si>
  <si>
    <t>Vereda El Pajui</t>
  </si>
  <si>
    <t>Junta de Accion Comunal Vereda El Pajui</t>
  </si>
  <si>
    <t>Junta de Accion Comunal San Isidro</t>
  </si>
  <si>
    <t>Junta de Accion Comunal Vereda La Esperanza</t>
  </si>
  <si>
    <t>Vereda La Cristalina</t>
  </si>
  <si>
    <t>Junta de Accion Comunal Vereda La Cristalina</t>
  </si>
  <si>
    <t>Vereda Farallones</t>
  </si>
  <si>
    <t>Junta de Accion Comunal Vereda Farallones</t>
  </si>
  <si>
    <t xml:space="preserve">Corregimiento El Prodigio Central     </t>
  </si>
  <si>
    <t>Junta de Accion Comunal El Prodigio Central</t>
  </si>
  <si>
    <t xml:space="preserve">Corregimiento El Prodigio Barrio Valencia     </t>
  </si>
  <si>
    <t>Junta de Accion Comunal Barrio Valencia</t>
  </si>
  <si>
    <t>Junta de Accion Comunal Buenos Aires</t>
  </si>
  <si>
    <t>Vereda La Josefina</t>
  </si>
  <si>
    <t>Junta Administradora de Acueducto  La Josefina</t>
  </si>
  <si>
    <t>Junta de Accion Comunal Monteloro</t>
  </si>
  <si>
    <t>Vereda Cuba</t>
  </si>
  <si>
    <t>Junta de Accion Comunal Cuba</t>
  </si>
  <si>
    <t>Junta de Accion Comunal La Estrella</t>
  </si>
  <si>
    <t>Junta de Accion Comunal San Francisco</t>
  </si>
  <si>
    <t>Vereda Sopetran</t>
  </si>
  <si>
    <t>Junta de Accion Comunal Sopetran</t>
  </si>
  <si>
    <t>Vereda El Arenal</t>
  </si>
  <si>
    <t>Junta de Accion Comunal Barrio Totumito-Totumito</t>
  </si>
  <si>
    <t>Vereda la Rápida</t>
  </si>
  <si>
    <t>Junta de Accion Comunal La Rapida</t>
  </si>
  <si>
    <t>Vereda Bizcocho</t>
  </si>
  <si>
    <t>Junta de Accion Comunal El Bizcocho</t>
  </si>
  <si>
    <t>Vereda el Silencio</t>
  </si>
  <si>
    <t>Junta de Accion Comunal Vereda El Silencio</t>
  </si>
  <si>
    <t xml:space="preserve">Vereda Balsas </t>
  </si>
  <si>
    <t>Junta de Accion Comunal Balsas</t>
  </si>
  <si>
    <t>Junta de Accion Comunal El Brasil</t>
  </si>
  <si>
    <t>Vereda El Charco</t>
  </si>
  <si>
    <t>Junta de Accion Comunal El Charco</t>
  </si>
  <si>
    <t>Vereda El Topacio</t>
  </si>
  <si>
    <t>Junta de Accion Comunal El Topacio</t>
  </si>
  <si>
    <t>Vereda La Dorada</t>
  </si>
  <si>
    <t>Junta de Accion Comunal La Dorada</t>
  </si>
  <si>
    <t>Vereda Arenal</t>
  </si>
  <si>
    <t>Junta de Accion Comunal Barrio Totumito-El Arenal</t>
  </si>
  <si>
    <t>Vereda Piedras Arriba</t>
  </si>
  <si>
    <t>Junta Administradora Piedrasan-Piedras Arriba</t>
  </si>
  <si>
    <t>Vereda Danticas</t>
  </si>
  <si>
    <t>Junta Administradora Piedrasan-Danticas</t>
  </si>
  <si>
    <t>Vereda Tesorito</t>
  </si>
  <si>
    <t>Junta de Accion Comunal Tesorito</t>
  </si>
  <si>
    <t>Vereda La Cumbre</t>
  </si>
  <si>
    <t>Junta de Accion Comunal La Cumbre</t>
  </si>
  <si>
    <t>Vereda San Julian</t>
  </si>
  <si>
    <t>Junta de Accion Comunal San Julian</t>
  </si>
  <si>
    <t>Vereda El Brasil Parte Baja</t>
  </si>
  <si>
    <t>Junta de Accion Comunal Guayabal</t>
  </si>
  <si>
    <t>Acueducto Alto de La Compañía-Alto de La Compañía</t>
  </si>
  <si>
    <t>Asociacion de Suscriptores del Acueducto Veredal La Mina Vereda La Enea-La Enea</t>
  </si>
  <si>
    <t>Asociacion de Suscriptores del Acueducto Veredal La Mina Vereda La Enea-San Nicolás</t>
  </si>
  <si>
    <t>Acueducto Alto de La Compañía-El Potrero</t>
  </si>
  <si>
    <t>Asociacion de Usuarios del Acueducto de Chaparral</t>
  </si>
  <si>
    <t>Asociacion de Usuarios del Acueducto de La Vereda La Magdalena</t>
  </si>
  <si>
    <t>Asociacion de Usuarios del Acueducto de La Vereda El Porvenir-La Magdalena</t>
  </si>
  <si>
    <t>Asociacion de Usuarios del Acueducto de La Vereda El Porvenir-El Calvario</t>
  </si>
  <si>
    <t>Asociacion de Usuarios del Acueducto de La Vereda El Porvenir-Guaciru</t>
  </si>
  <si>
    <t>Asociacion de Usuarios del Acueducto de La Vereda El Porvenir-Travesias</t>
  </si>
  <si>
    <t>Asociacion de Usuarios del Acueducto de La Vereda El Porvenir-Santa Ana</t>
  </si>
  <si>
    <t>Asociacion de Usuarios del Acueducto de La Vereda El Porvenir-Porvenir</t>
  </si>
  <si>
    <t>Asociacion de Usuarios del Acueducto Multiveredal San Jose -San Jose</t>
  </si>
  <si>
    <t>Asociacion de Usuarios del Acueducto Multiveredal San Jose -Cantor</t>
  </si>
  <si>
    <t>Asociacion de Usuarios del Acueducto Multiveredal San Jose-San Ignacio</t>
  </si>
  <si>
    <t>Asociacion de Usuarios del Acueducto Multiveredal Carmelo Corrientes-El Carmelo</t>
  </si>
  <si>
    <t>Asociacion de Usuarios del Acueducto Multiveredal Carmelo Corrientes-El Canelo</t>
  </si>
  <si>
    <t>Asociacion de Usuarios del Acueducto Multiveredal Carmelo Corrientes-El Porvenir</t>
  </si>
  <si>
    <t>Asociacion de Usuarios del Acueducto Multiveredal Carmelo Corrientes-Piedragorda</t>
  </si>
  <si>
    <t>Asociacion de Usuarios del Acueducto Multiveredal Carmelo Corrientes-Corrientes</t>
  </si>
  <si>
    <t>Asociacion de Usuarios del Acueducto Multiveredal Piedragorda-Piedragorda</t>
  </si>
  <si>
    <t>Acueducto Multiveredal Piedragorda, La Cabaña, Peñolcito, Guamal, Potrerito-Potrerito</t>
  </si>
  <si>
    <t>Acueducto Multiveredal Piedragorda, La Cabaña, Peñolcito, Guamal, Potrerito-La Cabaña</t>
  </si>
  <si>
    <t>Acueducto Multiveredal Piedragorda, La Cabaña, Peñolcito, Guamal, Potrerito-Peñolcitos</t>
  </si>
  <si>
    <t>Acueducto Multiveredal Piedragorda, La Cabaña, Peñolcito, Guamal, Potrerito-Guamal</t>
  </si>
  <si>
    <t>Asociacion de Usuarios del Acueducto de La Vereda El Porvenir-San Cristobal</t>
  </si>
  <si>
    <t xml:space="preserve"> Acueducto Multiveredal Santa Rita Parte Baja, Perpetuo Socorro, San Antonio, La Porquera y Las Hojas-Perpetuo Socorro</t>
  </si>
  <si>
    <t xml:space="preserve"> Acueducto Multiveredal Santa Rita Parte Baja, Perpetuo Socorro, San Antonio, La Porquera y Las Hojas-Las Hojas</t>
  </si>
  <si>
    <t xml:space="preserve"> Acueducto Multiveredal Santa Rita Parte Baja, Perpetuo Socorro, San Antonio, La Porquera y Las Hojas-La Porquera</t>
  </si>
  <si>
    <t xml:space="preserve"> Acueducto Multiveredal Santa Rita Parte Baja, Perpetuo Socorro, San Antonio, La Porquera y Las Hojas-San Antonio</t>
  </si>
  <si>
    <t xml:space="preserve"> Acueducto Multiveredal Santa Rita Parte Baja, Perpetuo Socorro, San Antonio, La Porquera y Las Hojas-La Compañía</t>
  </si>
  <si>
    <t xml:space="preserve"> Acueducto Multiveredal Santa Rita Parte Baja, Perpetuo Socorro, San Antonio, La Porquera y Las Hojas-Santa Rita</t>
  </si>
  <si>
    <t>Asociacion de Usuarios del Acueducto Guaciru-El Calvario</t>
  </si>
  <si>
    <t>Asociacion de Usuarios del Acueducto Guaciru-Travesias</t>
  </si>
  <si>
    <t>Asociacion de Usuarios del Acueducto Guaciru-San Cristobal</t>
  </si>
  <si>
    <t>Asociacion de Usuarios del Acueducto Guaciru-Magdalena</t>
  </si>
  <si>
    <t>Asociacion de Usuarios del Acueducto Honda, Floresta,  Santa Ana-La Peña</t>
  </si>
  <si>
    <t>Asociacion de Usuarios del Acueducto Guaciru-Guaciru</t>
  </si>
  <si>
    <t>Asociacion de Usuarios del Acueducto Santa Rita</t>
  </si>
  <si>
    <t>Asociacion de Usuarios del Acueducto Honda, Floresta,  Santa Ana-La Honda</t>
  </si>
  <si>
    <t>Asociacion de Usuarios del Acueducto Honda, Floresta,  Santa Ana-La Floresta</t>
  </si>
  <si>
    <t>Asociacion de Usuarios del Acueducto Honda, Floresta,  Santa Ana-Peñolcitos</t>
  </si>
  <si>
    <t>Asociacion de Usuarios del Acueducto Honda, Floresta,  Santa Ana-Santa Ana</t>
  </si>
  <si>
    <t>Vereda El Calvario</t>
  </si>
  <si>
    <t>Vereda Travesias</t>
  </si>
  <si>
    <t>Vereda San Cristobal</t>
  </si>
  <si>
    <t>Vereda La Magdalena</t>
  </si>
  <si>
    <t>Vereda Guaciru</t>
  </si>
  <si>
    <t>Vereda La Honda</t>
  </si>
  <si>
    <t>Vereda Peñolcito</t>
  </si>
  <si>
    <t>Vereda Alto de La Compañia</t>
  </si>
  <si>
    <t xml:space="preserve">Vereda La Enea </t>
  </si>
  <si>
    <t>Vereda San Nicolas</t>
  </si>
  <si>
    <t>Vereda El Potrero</t>
  </si>
  <si>
    <t>Vereda Cantor</t>
  </si>
  <si>
    <t>Vereda El Canelo</t>
  </si>
  <si>
    <t>Vereda  Piedragorda</t>
  </si>
  <si>
    <t>Vereda Piedragorda</t>
  </si>
  <si>
    <t>Vereda Peñolcitos</t>
  </si>
  <si>
    <t>Vereda Guamal</t>
  </si>
  <si>
    <t>Vereda El Perpetuo Socorro</t>
  </si>
  <si>
    <t>Vereda Las Hojas</t>
  </si>
  <si>
    <t>Vereda La Porquera</t>
  </si>
  <si>
    <t>Vereda La Compañia</t>
  </si>
  <si>
    <t>Vereda La Danta</t>
  </si>
  <si>
    <t>Aguas del Páramo de Sonsón S.A.S E.S.P. -La Danta</t>
  </si>
  <si>
    <t xml:space="preserve">Asociación de Usuarios del Acueducto Alcantarillado y Aseo de San Miguel </t>
  </si>
  <si>
    <t>Vereda Alto de Sabanas</t>
  </si>
  <si>
    <t>Junta Administradora de Acueducto Veredal Alto de Sabanas</t>
  </si>
  <si>
    <t>Vereda Los Potreros</t>
  </si>
  <si>
    <t>Junta Administradora de Acueducto Los Potreros</t>
  </si>
  <si>
    <t>Junta Administradora de Acueducto Veredal Arenillal Aguacates- Las Brisas</t>
  </si>
  <si>
    <t>Vereda La Habana La Loma</t>
  </si>
  <si>
    <t>Junta de Acueducto Veredal La Habana La Loma</t>
  </si>
  <si>
    <t>Proacueducto Piedras Blancas</t>
  </si>
  <si>
    <t>Junta Administradora de Acueducto Veredal Guamal</t>
  </si>
  <si>
    <t>Vereda Megallo Centro</t>
  </si>
  <si>
    <t>Junta Administradora de Acueducto Veredal Megallo Centro</t>
  </si>
  <si>
    <t>Vereda Roblalito B</t>
  </si>
  <si>
    <t>Junta Administradora de Acueductos Veredales  Roblalito B</t>
  </si>
  <si>
    <t>Vereda Yarumal Alta Vista</t>
  </si>
  <si>
    <t>Junta Administradora de Acueducto Veredal Yarumal Alta Vista</t>
  </si>
  <si>
    <t>Vereda Jerusalen</t>
  </si>
  <si>
    <t>Junta Administradora de Acueducto Veredal Jerusalén</t>
  </si>
  <si>
    <t>Junta de Acueducto Veredal Rio Arriba - San Francisco</t>
  </si>
  <si>
    <t>Vereda El Chirimoyo</t>
  </si>
  <si>
    <t xml:space="preserve">Junta de Acueducto Veredal El Chirymoyo </t>
  </si>
  <si>
    <t>Vereda Rio Arriba</t>
  </si>
  <si>
    <t>Junta de Acueducto Veredal  Rio Arriba</t>
  </si>
  <si>
    <t>Junta Administradora Acueducto los  Planes</t>
  </si>
  <si>
    <t>Vereda Arenillal</t>
  </si>
  <si>
    <t>Junta Administradora de Acueducto Veredal Arenillal Aguacates- Arenillal</t>
  </si>
  <si>
    <t>Vereda Cascaron</t>
  </si>
  <si>
    <t>Vereda El Pital</t>
  </si>
  <si>
    <t>Vereda Sardinas</t>
  </si>
  <si>
    <t>Vereda Quebradona</t>
  </si>
  <si>
    <t>Vereda Santa Isabel</t>
  </si>
  <si>
    <t>Vereda Canalones</t>
  </si>
  <si>
    <t>Vereda  El Bagre</t>
  </si>
  <si>
    <t>Vereda El 62</t>
  </si>
  <si>
    <t>Vereda  Canutillo</t>
  </si>
  <si>
    <t>Vereda Corrales</t>
  </si>
  <si>
    <t>Corregimiento La Susana</t>
  </si>
  <si>
    <t>Corregimiento La Floresta</t>
  </si>
  <si>
    <t>Vereda El Ingenio</t>
  </si>
  <si>
    <t>Vereda Alto Dolores</t>
  </si>
  <si>
    <t>Vereda Guardasol</t>
  </si>
  <si>
    <t>Corregimiento El Brasil</t>
  </si>
  <si>
    <t>Junta de Acción Comunal Corregimiento El Brasil</t>
  </si>
  <si>
    <t>Corregimiento Virginias</t>
  </si>
  <si>
    <t>Junta de Acción Comunal corregimiento Virginias</t>
  </si>
  <si>
    <t>Corregimiento Puerto Murillo</t>
  </si>
  <si>
    <t>Junta de Acción Comunal corregimiento  Puerto Murillo</t>
  </si>
  <si>
    <t>Junta de Acción Comunal Vereda La Cristalina</t>
  </si>
  <si>
    <t>Batallon Bombona</t>
  </si>
  <si>
    <t>Acueducto Batallón Bombona</t>
  </si>
  <si>
    <t>Vereda  Las Flores</t>
  </si>
  <si>
    <t>Junta de Acción Comunal Vereda Las Flores</t>
  </si>
  <si>
    <t>Vereda  La Carlota</t>
  </si>
  <si>
    <t>Junta de Acción Comunal Vereda La Carlota</t>
  </si>
  <si>
    <t>Vereda Dorado Calamar</t>
  </si>
  <si>
    <t>Junta de Acción Comunal Vereda el Dorado-Calamar</t>
  </si>
  <si>
    <t>Vereda  San Juan Debedout</t>
  </si>
  <si>
    <t>Junta de Acción Comunal Vereda San Juan de Bedouth</t>
  </si>
  <si>
    <t>Vereda  Minas de Vapor</t>
  </si>
  <si>
    <t>Junta de Acción Comunal Minas de Vapor</t>
  </si>
  <si>
    <t>Vereda Santa Martina</t>
  </si>
  <si>
    <t>Junta de Acción Comunal Vereda Santa Martina</t>
  </si>
  <si>
    <t>Vereda Bodegas</t>
  </si>
  <si>
    <t>Junta de Acción Comunal Vereda Bodegas</t>
  </si>
  <si>
    <t>Vereda Estación la Malena</t>
  </si>
  <si>
    <t>Junta de Acción Comunal Vereda Estación la Malena</t>
  </si>
  <si>
    <t>Vereda Estacion Calera</t>
  </si>
  <si>
    <t>Junta de Acción Comunal Vereda Calera</t>
  </si>
  <si>
    <t>Vereda Cabañas</t>
  </si>
  <si>
    <t>Junta de Acción Comunal Vereda Cabañas</t>
  </si>
  <si>
    <t>Corregimiento La Unión</t>
  </si>
  <si>
    <t>Empresas Públicas Municipales de Puerto Nare - Corregimiento La Unión</t>
  </si>
  <si>
    <t>Empresas Públicas Municipales de Puerto Nare - Corregimiento La Mina</t>
  </si>
  <si>
    <t>Corregimiento La Pesca</t>
  </si>
  <si>
    <t>Empresas Públicas Municipales de Puerto Nare - Corregimiento La Pesca</t>
  </si>
  <si>
    <t>Corregimiento La Sierra</t>
  </si>
  <si>
    <t>Empresas Públicas de Puerto Nare - Corregimiento La Sierra</t>
  </si>
  <si>
    <t>Vereda Los Delirios</t>
  </si>
  <si>
    <t>Empresas Públicas Municipales de Puerto Nare - Vereda La Clara</t>
  </si>
  <si>
    <t>Vereda Las Angelitas</t>
  </si>
  <si>
    <t>Vereda Alto del Pollo</t>
  </si>
  <si>
    <t>Asociación de Usuarios del Acueducto de La Vereda Alto del Pollo E.S.P</t>
  </si>
  <si>
    <t>Corregimiento Estación Cocorná</t>
  </si>
  <si>
    <t>Junta Administradora del Acueducto de Estación Cocorná</t>
  </si>
  <si>
    <t>Corremiento Las Mercedes</t>
  </si>
  <si>
    <t>Asociación de Ususarios del Acueducto y Alcantarillado de Las Mercedes Puerto Triunfo</t>
  </si>
  <si>
    <t>Corregimiento Doradal</t>
  </si>
  <si>
    <t>Asociación Junta Administradora del Acueducto y Alcantarillado de Doradal</t>
  </si>
  <si>
    <t>Asociación Junta Administradora del Acueducto La Florida</t>
  </si>
  <si>
    <t>Corregimiento Puerto Perales</t>
  </si>
  <si>
    <t>Asociación de Usuarios del Acueducto y Alcantarillado de Puerto Perales E.S.P</t>
  </si>
  <si>
    <t>Hacienda Napoles (Doradal)</t>
  </si>
  <si>
    <t>INPEC-El Pesebre</t>
  </si>
  <si>
    <t>Vereda Estación Pita</t>
  </si>
  <si>
    <t>Acueducto Estacion Pita</t>
  </si>
  <si>
    <t>Vereda Tres Ranchos</t>
  </si>
  <si>
    <t>Asociación de Usuarios del Acueducto y Alcantarillado  Tres Ranchos (E.S.P.)</t>
  </si>
  <si>
    <t>Corregimiento Santiago Berrio</t>
  </si>
  <si>
    <t>Asociación de Usuarios del Acueducto Corregimiento Santiago Berrio</t>
  </si>
  <si>
    <t>Vereda Napoles</t>
  </si>
  <si>
    <t>Acueducto Parcelas Napoles</t>
  </si>
  <si>
    <t>Vereda San Luis Beltrán</t>
  </si>
  <si>
    <t>Junta de Acción Comunal San Luis Beltran</t>
  </si>
  <si>
    <t xml:space="preserve">Corregimiento San Miguel  El Tigre </t>
  </si>
  <si>
    <t>Junta de Acción Comunal Corregimiento San Miguel "El Tigre"</t>
  </si>
  <si>
    <t>Vereda San Francisco Alto Cimitarra</t>
  </si>
  <si>
    <t>Junta de Acción Comunal San Francisco Alto Cimitarra</t>
  </si>
  <si>
    <t>Vereda Puerto Nuevo</t>
  </si>
  <si>
    <t>Junta de Acción Comunal Puerto Nuevo</t>
  </si>
  <si>
    <t xml:space="preserve">Vereda Boca de Don Juan </t>
  </si>
  <si>
    <t>Junta de Acción Comunal Bocas de Don Juan</t>
  </si>
  <si>
    <t>Junta de Acción Comunal El Porvenir</t>
  </si>
  <si>
    <t>Vereda Kilómetro Cinco</t>
  </si>
  <si>
    <t>Junta de Acción Comunal Kilometro Cinco</t>
  </si>
  <si>
    <t>Vereda Puerto Matilde</t>
  </si>
  <si>
    <t>Junta de Acción Comunal Puerto Matilde</t>
  </si>
  <si>
    <t>Vereda Vietnam</t>
  </si>
  <si>
    <t>Junta de Acción Comunal El Vietnam</t>
  </si>
  <si>
    <t>Vereda San Juan Ite</t>
  </si>
  <si>
    <t>Junta de Acción Comunal San Juan Hacienda Ite</t>
  </si>
  <si>
    <t>Vereda Cienaga de Barbacoas</t>
  </si>
  <si>
    <t>Junta de Accion Comunal Cienaga de Barbacoas</t>
  </si>
  <si>
    <t>Vereda La Congoja</t>
  </si>
  <si>
    <t>Junta de Acción Comunal Vereda La Congoja</t>
  </si>
  <si>
    <t>Vereda No Te Pases</t>
  </si>
  <si>
    <t>Junta de Acción Comunal No Te Pases</t>
  </si>
  <si>
    <t>Vereda Jabonal</t>
  </si>
  <si>
    <t>Junta de Acción Comunal Jabonal</t>
  </si>
  <si>
    <t>Vereda Caño Bodegas</t>
  </si>
  <si>
    <t>Junta de Acción Comunal Caño Bodegas Asociacion de Afrodescendientes</t>
  </si>
  <si>
    <t>Junta de Acción Comunal La Raya</t>
  </si>
  <si>
    <t>Vereda El Bagre</t>
  </si>
  <si>
    <t>Junta de Acción Comunal "El Bagre"</t>
  </si>
  <si>
    <t>Vereda Caño Blanco</t>
  </si>
  <si>
    <t>Junta de Acción Comunal Caño Blanco</t>
  </si>
  <si>
    <t>Vereda La Represa</t>
  </si>
  <si>
    <t xml:space="preserve">Junta de Acción Comunal Vereda La Represa </t>
  </si>
  <si>
    <t xml:space="preserve">Vereda Caño Negro  </t>
  </si>
  <si>
    <t>Junta de Acción Comunal "Caño Negro"</t>
  </si>
  <si>
    <t>Zona Rural Plana</t>
  </si>
  <si>
    <t>Aguas y Aseo de Yondó S.A. E.S.P. -  Zona Rural Plana</t>
  </si>
  <si>
    <t>Vereda La Esmeralda Barranquillita</t>
  </si>
  <si>
    <t>Junta de Accion Comunal La Esmeralda</t>
  </si>
  <si>
    <t>Corregimiento Margento</t>
  </si>
  <si>
    <t>ACUAMAR-Acueducto Margento</t>
  </si>
  <si>
    <t>Junta de Accion Comunal Risaralda</t>
  </si>
  <si>
    <t>Vereda La Union</t>
  </si>
  <si>
    <t>Junta de Accion Comunal La Union</t>
  </si>
  <si>
    <t>Vereda Las Peñitas</t>
  </si>
  <si>
    <t>Vereda Puerto Triana</t>
  </si>
  <si>
    <t>Junta de Accion Comunal Puerto Triana-Puerto Triana</t>
  </si>
  <si>
    <t>Corregimiento Cacerí</t>
  </si>
  <si>
    <t>Junta de Accion Comunal Caceri</t>
  </si>
  <si>
    <t>Vereda Santa Rosita</t>
  </si>
  <si>
    <t>Junta de Acion Comunal Santa Rosita</t>
  </si>
  <si>
    <t xml:space="preserve"> </t>
  </si>
  <si>
    <t>Junta de Accion Comunal Campo Alegre</t>
  </si>
  <si>
    <t>Corregimiento Cuturu</t>
  </si>
  <si>
    <t>Acueducto San Jose- Acueducto Cuturu</t>
  </si>
  <si>
    <t>Vereda Puerto Colombia</t>
  </si>
  <si>
    <t>Junta de Accion Comunal Puerto Colombia</t>
  </si>
  <si>
    <t>Junta de Acción Administradora Asovirgen-Acueducto La Virgen</t>
  </si>
  <si>
    <t>Corregimiento Palanca</t>
  </si>
  <si>
    <t>Junta de Acción Comunal Corregimiento Palanca</t>
  </si>
  <si>
    <t>Corregimiento La ilusión</t>
  </si>
  <si>
    <t>Junta de Acción Comunal Corregimiento La Ilusión</t>
  </si>
  <si>
    <t>Junta de Accion Comunal Santo Domingo</t>
  </si>
  <si>
    <t>Vereda Villa del Socorro</t>
  </si>
  <si>
    <t>Junta de Accion Comunal Villa del Socorro</t>
  </si>
  <si>
    <t>Corregimiento El Pando</t>
  </si>
  <si>
    <t>Junta de Accion Comunal  Corregimiento El Pando</t>
  </si>
  <si>
    <t>Cabildo Indigena Zenu</t>
  </si>
  <si>
    <t>Corregimiento Palomar</t>
  </si>
  <si>
    <t>Junta de Accion Comunal Palomar</t>
  </si>
  <si>
    <t>Barrio Chino</t>
  </si>
  <si>
    <t>Junta de Accion Comunal Vereda Barrio Chino</t>
  </si>
  <si>
    <t>Cooperativa Yarumal de Aguas</t>
  </si>
  <si>
    <t>Vereda El Morro</t>
  </si>
  <si>
    <t>Asociación de Usuarios de Acueducto del Acueducto  Vereda El Morro</t>
  </si>
  <si>
    <t>Vereda Pueblito de los Sánchez</t>
  </si>
  <si>
    <t>Asociación de Usuarios de Acueducto del Acueducto y Alcantarillado de la Vereda Pueblito de los Sanchez</t>
  </si>
  <si>
    <t>Vereda La Ferreria</t>
  </si>
  <si>
    <t>Vereda Maní Parte Baja</t>
  </si>
  <si>
    <t>AUAMCAM-E.S.P-Vereda La Mani Parte Baja</t>
  </si>
  <si>
    <t>Vereda Deposito La Virgen</t>
  </si>
  <si>
    <t>AUAMCAM-E.S.P-Deposito La Virgen</t>
  </si>
  <si>
    <t>AUAMCAM-E.S.P- Vereda El Morro</t>
  </si>
  <si>
    <t>Centro Poblado Camilo C</t>
  </si>
  <si>
    <t>Asociación de Suscriptores Acueducto de Camilo C - ASOCAMILO</t>
  </si>
  <si>
    <t>Vereda Sector El Mangal</t>
  </si>
  <si>
    <t>Asociación de Usuarios del Acueducto de Travesias Sector Carretera El Mangal</t>
  </si>
  <si>
    <t>Vereda Caseta Comunal</t>
  </si>
  <si>
    <t>Asociación de Usuarios del Acueducto de Vereda Travesías Caseta Comunal</t>
  </si>
  <si>
    <t>Vereda Parte Baja</t>
  </si>
  <si>
    <t>Vereda Malabrigo Parte Alta Fuente Malabriga</t>
  </si>
  <si>
    <t>Asociación de Usuarios del Acueducto  de la vereda Malabrigo parte Alta - Fuente La Malabriga</t>
  </si>
  <si>
    <t>VeredaMalabrigo Parte Alta Fuente La Chinca</t>
  </si>
  <si>
    <t xml:space="preserve">Asociación de Usuarios del Acueducto  de la vereda Malabrigo parte Alta - Fuente La Chinca </t>
  </si>
  <si>
    <t>Vereda Malabrigo Parte Baja</t>
  </si>
  <si>
    <t>Asociación de Usuarios del Acueducto  de la vereda Malabrigo parte Baja</t>
  </si>
  <si>
    <t>Vereda Yarumal</t>
  </si>
  <si>
    <t>Vereda Pueblito San Jose Sector Taborda</t>
  </si>
  <si>
    <t>Vereda Pueblito San Jose Sector La Escuela</t>
  </si>
  <si>
    <t>Vereda Mani de las Casas</t>
  </si>
  <si>
    <t>Vereda Piedecuesta</t>
  </si>
  <si>
    <t>Asociación de Usuarios del Acueducto Calle Nueva-Piedecuesta</t>
  </si>
  <si>
    <t>Vereda Maní Parte Alta</t>
  </si>
  <si>
    <t>AUAMCAM-E.S.P- Vereda La Mani Parte Alta</t>
  </si>
  <si>
    <t>Vereda Nicanor La Paja</t>
  </si>
  <si>
    <t>Vereda Nicanor Sabaletica</t>
  </si>
  <si>
    <t>Vereda Los Aljibes</t>
  </si>
  <si>
    <t>Vereda Paso Nivel</t>
  </si>
  <si>
    <t>Centro Poblado Minas</t>
  </si>
  <si>
    <t>Corregimiento La Clarita</t>
  </si>
  <si>
    <t>Centro Poblado El Cedro</t>
  </si>
  <si>
    <t>Sector Naranjitos</t>
  </si>
  <si>
    <t>Asociación de Usuarios del Acueducto Naranjitos</t>
  </si>
  <si>
    <t>Barrio Los Alvarez</t>
  </si>
  <si>
    <t>Corregimiento  El Cedro Sector Las Faldas</t>
  </si>
  <si>
    <t>Centro Poblado Camilo C Sector El Trincho</t>
  </si>
  <si>
    <t>Asociación de Usuarios Acueducto La Comunidad</t>
  </si>
  <si>
    <r>
      <t xml:space="preserve">SUBREGION: </t>
    </r>
    <r>
      <rPr>
        <sz val="11"/>
        <rFont val="Arial"/>
        <family val="2"/>
      </rPr>
      <t>SUROESTE</t>
    </r>
  </si>
  <si>
    <t xml:space="preserve">Junta Administradora de Acueducto Corregimiento Buenos Aires </t>
  </si>
  <si>
    <t>Corregimiento Santa Rita</t>
  </si>
  <si>
    <t>Junta de Acción Comunal Santa Rita-Corregimiento Santa Rita</t>
  </si>
  <si>
    <t>Corregimiento Santa Inés</t>
  </si>
  <si>
    <t>Acueducto Santa Ines -Corregimiento Santa Inés</t>
  </si>
  <si>
    <t>Corregimiento San Jose</t>
  </si>
  <si>
    <t>Asociación de Usuarios del Acueducto Veredal Corregimiento San Jose Andes E.S.P.</t>
  </si>
  <si>
    <t>Vereda La Lejía</t>
  </si>
  <si>
    <t>Asociación de Usuarios del Acueducto Veredal La Lejia Taparto Andes E.S.P</t>
  </si>
  <si>
    <t>Vereda La Cedrona</t>
  </si>
  <si>
    <t>Junta de Acción Comunal La Cedrona</t>
  </si>
  <si>
    <t>Vereda  Los Almendros</t>
  </si>
  <si>
    <t>Asociación de Usuarios del Acueducto Multiveredal del Municipio de Andes - Urbanización Los Almendros</t>
  </si>
  <si>
    <t>Vereda La Aguada Sector La Pava</t>
  </si>
  <si>
    <t>Vereda Las Flores</t>
  </si>
  <si>
    <t>Vereda La Solita</t>
  </si>
  <si>
    <t>Junta de Acción Comunal La Solita</t>
  </si>
  <si>
    <t>Corregimiento San Bartolo</t>
  </si>
  <si>
    <t>Asociación de Usuarios del Acueducto Multiveredal del Municipio de Andes - Corregimiento San Bartolo</t>
  </si>
  <si>
    <t>Empresa de Servicios Públicos de Andes S.A E.S.P - Sistema Maria Auxiliadora</t>
  </si>
  <si>
    <t>Vereda San Hernando</t>
  </si>
  <si>
    <t>Asociación de Usuarios del Acueducto Multiveredal del Municipio de Andes - Vereda San Hernando</t>
  </si>
  <si>
    <t>Vereda La Yolanda</t>
  </si>
  <si>
    <t>Asociación de Usuarios del Acueducto Veredal La Yolanda-La Yolanda</t>
  </si>
  <si>
    <t>Vereda El Crucero</t>
  </si>
  <si>
    <t>Acueducto El Cedrón y El Crucero-El Crucero</t>
  </si>
  <si>
    <t>Vereda El Cedrón</t>
  </si>
  <si>
    <t>Acueducto El Cedrón y El Crucero-El Cedrón</t>
  </si>
  <si>
    <t>Acueducto El Empedrado Vereda Risaralda</t>
  </si>
  <si>
    <t>Acueducto La Primavera Sector El Barrio Corregimiento de Buenos Aires</t>
  </si>
  <si>
    <t>Vereda La Carmelita</t>
  </si>
  <si>
    <t>Asociación de Usuarios del Acueducto Multiveredal del Municipio de Andes - La Carmelita</t>
  </si>
  <si>
    <t>Vereda  San Carlos</t>
  </si>
  <si>
    <t>Asociación de Usuarios del Acueducto Multiveredal del Municipio de Andes - Vereda San Carlos</t>
  </si>
  <si>
    <t>Junta Administradora de Acueducto del Municipio de Andes - Vereda alto del Rayo La Solita</t>
  </si>
  <si>
    <t>Vereda El Tapao</t>
  </si>
  <si>
    <t>Asociación de Usuarios del Acueducto Multiveredal del Municipio de Andes - Vereda El Tapao</t>
  </si>
  <si>
    <t>Sector El Empedrado</t>
  </si>
  <si>
    <t>Asociación de Usuarios del Acueducto Multiveredal del Municipio de Andes - Sector El Empedrado</t>
  </si>
  <si>
    <t>Sector Santa Elena</t>
  </si>
  <si>
    <t>Junta de Acción Comunal Santa Rita-El Pencal Sector Santa Elena</t>
  </si>
  <si>
    <t>Vereda La Quinta</t>
  </si>
  <si>
    <t>Junta de Acción Comunal Santa Rita-La Quinta</t>
  </si>
  <si>
    <t>Vereda Contrafuerte</t>
  </si>
  <si>
    <t>Fundación Berta Martínez-La Aguada</t>
  </si>
  <si>
    <t>Vereda Alto del Rayo</t>
  </si>
  <si>
    <t>Asociación de Usuarios del Acueducto Multiveredal del Municipio de Andes - Vereda Alto del Rayo</t>
  </si>
  <si>
    <t>Vereda El Cabrero</t>
  </si>
  <si>
    <t xml:space="preserve">Asociación de Usuarios del Acueducto Multiveredal del Municipio de Andes - Vereda El Cabrero </t>
  </si>
  <si>
    <t>Sector La Ciudad</t>
  </si>
  <si>
    <t>Acueducto La Ciudad, El Morro y El Palmar- Sector La Ciudad</t>
  </si>
  <si>
    <t>Sector Villa Luz</t>
  </si>
  <si>
    <t>Acueducto La Ciudad, El Morro y El Palmar- Sector Villa Luz</t>
  </si>
  <si>
    <t>Vereda Piamonte</t>
  </si>
  <si>
    <t>Asociación de Usuarios del Acueducto Multiveredal del Municipio de Andes - Vereda Piamonte</t>
  </si>
  <si>
    <t>Asociación de Usuarios del Acueducto Multiveredal del Municipio de Andes - Vereda Risaralda</t>
  </si>
  <si>
    <t>Sector la Manchurria</t>
  </si>
  <si>
    <t xml:space="preserve">Asociación de Usuarios del Acueducto Multiveredal del Municipio de Andes - Sector La Manchurria </t>
  </si>
  <si>
    <t>Vereda la Comuna</t>
  </si>
  <si>
    <t>Asociación de Usuarios del Acueducto Multiveredal del Municipio de Andes - Vereda La Comuna</t>
  </si>
  <si>
    <t>Vereda La Camelia</t>
  </si>
  <si>
    <t>Asociación de Usuarios del Acueducto Multiveredal del Municipio de Andes - Vereda La Camelia</t>
  </si>
  <si>
    <t>Vereda  la Alsacia</t>
  </si>
  <si>
    <t xml:space="preserve">Asociación de Usuarios del Acueducto  La Alsacia </t>
  </si>
  <si>
    <t>Asociación de Usuarios del Acueducto Multiveredal del Municipio de Andes -Palestina</t>
  </si>
  <si>
    <t>Vereda Alto Cañaveral Chorros Parte Alta</t>
  </si>
  <si>
    <t>Asociación de Usuarios del Acueducto Multiveredal del Municipio de Andes -Vereda Alto Cañaveral Chorros Parte Alto</t>
  </si>
  <si>
    <t>Vereda Alto Cañaveral La Negra</t>
  </si>
  <si>
    <t>Asociación de Usuarios del Acueducto Multiveredal del Municipio de Andes - Vereda Alto Cañaveral La Negra</t>
  </si>
  <si>
    <t>Asociación de Usuarios del Acueducto Multiveredal del Municipio de Andes -Vereda Alto Cañaveral Chorros Parte Bajo</t>
  </si>
  <si>
    <t>Vereda  El Rojo</t>
  </si>
  <si>
    <t>Asociación de Usuarios del Acueducto Multiveredal del Municipio de Andes - Vereda El Rojo</t>
  </si>
  <si>
    <t>Vereda  Bajo Cañaveral</t>
  </si>
  <si>
    <t xml:space="preserve">Asociación de Usuarios del Acueducto Multiveredal del Municipio de Andes - Vereda Bajo Cañaveral </t>
  </si>
  <si>
    <t>Vereda Monte Blanco</t>
  </si>
  <si>
    <t xml:space="preserve">Asociación de Usuarios del Acueducto Multiveredal del Municipio de Andes - Vereda Monte Blanc </t>
  </si>
  <si>
    <t>Corregimiento de Taparto</t>
  </si>
  <si>
    <t>Asociación de Usuarios del Acueducto del Corregimiento de Taparto (ADUACOT)</t>
  </si>
  <si>
    <t>Vereda el Golgota</t>
  </si>
  <si>
    <t>Asociación de Usuarios del Acueducto Multiveredal del Municipio de Andes - Vereda el Golgota</t>
  </si>
  <si>
    <t>Empresa de Aseo Caceres S.A ESP-Corregimiento El Jardin</t>
  </si>
  <si>
    <t>Empresa de Aseo Caceres S.A ESP-Corregimiento Puerto Belgica</t>
  </si>
  <si>
    <t>Corregimiento Manizalez</t>
  </si>
  <si>
    <t>Junta de Acción Comunal Manizalez</t>
  </si>
  <si>
    <t>Vereda Rio Man</t>
  </si>
  <si>
    <t xml:space="preserve">Junta de Acción Comunal Rio Man </t>
  </si>
  <si>
    <t>Vereda Nicaragua</t>
  </si>
  <si>
    <t xml:space="preserve">Junta de Acción Comunal Nicaragua </t>
  </si>
  <si>
    <t>Corregimiento La Estacion</t>
  </si>
  <si>
    <t>Dirección de Servicios Públicos Angelópolis - Corregimiento La Estacion</t>
  </si>
  <si>
    <t xml:space="preserve">Vereda Cienaguita  </t>
  </si>
  <si>
    <t>Junta de Accion Comunal Vereda Cieneguita</t>
  </si>
  <si>
    <t>Vereda El  Barro</t>
  </si>
  <si>
    <t>Asociación de Usuarios del Acueducto Multiveredal Angelopolis, Amaga y Titiribi - El Barro</t>
  </si>
  <si>
    <t>Vereda El Nudillo</t>
  </si>
  <si>
    <t>Asociación de Usuarios del Acueducto Multiveredal Angelopolis, Amaga y Titiribi - El Nudillo</t>
  </si>
  <si>
    <t xml:space="preserve">Junta de Usuarios Acueducto  Santa Bárbara </t>
  </si>
  <si>
    <t>Vereda Barrio Nuevo</t>
  </si>
  <si>
    <t>Asociación de Usuarios del Acueducto Multiveredal Angelopolis, Amaga y Titiribi - Barrio Nuevo</t>
  </si>
  <si>
    <t>Vereda La Miranda</t>
  </si>
  <si>
    <t>Asociación de Usuarios del Acueducto Multiveredal Angelopolis, Amaga y Titiribi - La Miranda</t>
  </si>
  <si>
    <t>Asociación de Usuarios del Acueducto Multiveredal Angelopolis, Amaga y Titiribi - Cienaguita</t>
  </si>
  <si>
    <t>Asociación de Usuarios del Acueducto Multiveredal Angelopolis, Amaga y Titiribi - San Isidro</t>
  </si>
  <si>
    <t>Junta Administradora de Acueducto El Nudillo</t>
  </si>
  <si>
    <t>Asociación de Suscriptores o Usuarios del Acueducto  El Barro</t>
  </si>
  <si>
    <t xml:space="preserve">Vereda Bellavista </t>
  </si>
  <si>
    <t>Asociación de Usuarios del Acueducto Bellavista, Los Aguacates y Santa Ana-Bellavista</t>
  </si>
  <si>
    <t>Asociación de Usuarios del Acueducto Bellavista, Los Aguacates y Santa Ana-Santa Ana</t>
  </si>
  <si>
    <t>Vereda Los Aguacates</t>
  </si>
  <si>
    <t>Asociación de Usuarios del Acueducto Bellavista, Los Aguacates y Santa Ana-Los Aguacates</t>
  </si>
  <si>
    <t>Vereda Pedral Abajo</t>
  </si>
  <si>
    <t>Asociación de Usuarios del Acueducto Multiveredal Betania - Hispania E.S.P-Pedral Abajo</t>
  </si>
  <si>
    <t>Vereda Las Travesias</t>
  </si>
  <si>
    <t>Asociación de Usuarios del Acueducto Multiveredal Betania - Hispania E.S.P-Las Travesias</t>
  </si>
  <si>
    <t>Asociación de Usuarios del Acueducto Multiveredal Betania - Hispania E.S.P-Las Mercedes</t>
  </si>
  <si>
    <t>Asociación de Usuarios del Acueducto Multiveredal Betania - Hispania E.S.P-Las Animas</t>
  </si>
  <si>
    <t>Asociación de Usuarios del Acueducto Multiveredal Betania - Hispania E.S.P-La Julia</t>
  </si>
  <si>
    <t>Vereda Palenque</t>
  </si>
  <si>
    <t>Vereda Media Luna</t>
  </si>
  <si>
    <t>Asociación de Usuarios del Acueducto Multiveredal Betania - Hispania E.S.P-Media Luna</t>
  </si>
  <si>
    <t>Vereda La Hermosa</t>
  </si>
  <si>
    <t>Asociación de Usuarios del Acueducto Multiveredal Betania - Hispania E.S.P-La Hermosa</t>
  </si>
  <si>
    <t>Vereda Alto del Oso</t>
  </si>
  <si>
    <t>Asociación de Usuarios del Acueducto Multiveredal Betania - Hispania E.S.P-Alto del Oso</t>
  </si>
  <si>
    <t>Asociación de Usuarios del Acueducto de Altamira Municipio de Betulia - El Tostado</t>
  </si>
  <si>
    <t>Vereda  El Cuchillon</t>
  </si>
  <si>
    <t>Junta de Acción Comunal El Cuchillon</t>
  </si>
  <si>
    <t>Corregimiento Cangrejo</t>
  </si>
  <si>
    <t>Junta de Accion Comunal Corregimiento de Cangrejo</t>
  </si>
  <si>
    <t>Vereda El Piñonal</t>
  </si>
  <si>
    <t>Junta de Acción Comunal Piñonal</t>
  </si>
  <si>
    <t>Vereda Las Ánimas</t>
  </si>
  <si>
    <t>Junta de Acción Comunal Las Animas</t>
  </si>
  <si>
    <t>Asociacion de Usuarios del Acueducto Multiveredal Las Iglesias Betulia E.S.P-Santa Rita</t>
  </si>
  <si>
    <t>Vereda El Cuchuco</t>
  </si>
  <si>
    <t>Junta de Accion Comunal El Cuchuco</t>
  </si>
  <si>
    <t>Vereda La Manguita</t>
  </si>
  <si>
    <t>Asociación de Usuarios El yerbal - Paraje La Manguita</t>
  </si>
  <si>
    <t>Junta de Accion Comunal San Antonio</t>
  </si>
  <si>
    <t>Vereda Los Animes</t>
  </si>
  <si>
    <t>Asociación de Usuarios Los Animes</t>
  </si>
  <si>
    <t>Junta de Accion Comunal El Guadual</t>
  </si>
  <si>
    <t>Vereda Pueblo Duro</t>
  </si>
  <si>
    <t>Asociación de Usuarios El Yerbal -Pueblo Duro</t>
  </si>
  <si>
    <t>Vereda  El León</t>
  </si>
  <si>
    <t>Junta de Acción Comunal El Leon</t>
  </si>
  <si>
    <t>Vereda El Indio</t>
  </si>
  <si>
    <t>Asociación de Usuarios del Acueducto Multiveredal "Luciano Restrepo" -  El Indio y Pinguro</t>
  </si>
  <si>
    <t>Vereda La Guaimalita</t>
  </si>
  <si>
    <t>Asociación de Usuarios del Acueducto Multiveredal "Luciano Restrepo"-  La Guamalita</t>
  </si>
  <si>
    <t>Corregimiento Luciano Restrepo</t>
  </si>
  <si>
    <t>Asociación de Usuarios del Acueducto Multiveredal "Luciano Restrepo"-Corregimiento Luciano Restrepo</t>
  </si>
  <si>
    <t>Vereda La Vargas</t>
  </si>
  <si>
    <t>Junta de Accion Comunal La Vargas</t>
  </si>
  <si>
    <t xml:space="preserve">Vereda La Asomadera </t>
  </si>
  <si>
    <t xml:space="preserve">Junta de Acción Comunal La Asomadera </t>
  </si>
  <si>
    <t>Vereda Altamira</t>
  </si>
  <si>
    <t>Asociación de Usuarios del Acueducto de Altamira Municipio de Betulia-Altamira</t>
  </si>
  <si>
    <t>Vereda  La Ceibala</t>
  </si>
  <si>
    <t>Asociación de Usuarios El Yerbal - La Ceibala</t>
  </si>
  <si>
    <t>Vereda  La Iracala</t>
  </si>
  <si>
    <t>Asociación de Usuarios El Yerbal -La Iracala</t>
  </si>
  <si>
    <t>Vereda  Quebrada Arriba</t>
  </si>
  <si>
    <t>Junta de Acción Comunal Quebrada Arriba</t>
  </si>
  <si>
    <t>Vereda La Cibeles</t>
  </si>
  <si>
    <t>Asociacion de Usuarios del Acueducto Multiveredal Las Iglesias Betulia E.S.P.-La Cibeles</t>
  </si>
  <si>
    <t>Vereda La Urraeña</t>
  </si>
  <si>
    <t>Junta de Accion Comunal La Urraeña</t>
  </si>
  <si>
    <t>Vereda Purco</t>
  </si>
  <si>
    <t>Asociación de Usuarios del Acueducto de Altamira-Purco</t>
  </si>
  <si>
    <t>Vereda El Yerbal</t>
  </si>
  <si>
    <t>Junta Administradora Acueducto Multiveredal Guayabal-El Yerbal</t>
  </si>
  <si>
    <t>Vereda La Ciénaga</t>
  </si>
  <si>
    <t>Asociación de Usuarios del Acueducto de Altamira Municipio de Betulia - La Cienaga</t>
  </si>
  <si>
    <t>Junta de Accion Comunal La Quiebra</t>
  </si>
  <si>
    <t>Corregimeinto Puerto Lopez</t>
  </si>
  <si>
    <t>Junta de Accion Comunal Corregimiento Puerto López</t>
  </si>
  <si>
    <t>Corregiemiento Puerto Claver</t>
  </si>
  <si>
    <t>ASUAPUCLA-Corregimiento Puerto Claver</t>
  </si>
  <si>
    <t>Junta de Accion Comunal Corregimento Las Flores</t>
  </si>
  <si>
    <t>Corregimento de Colorado</t>
  </si>
  <si>
    <t>Junta de Accion Comunal Corregimento de Colorado</t>
  </si>
  <si>
    <t>Corregimento Las Conchas</t>
  </si>
  <si>
    <t>Junta de Accion Comunal Corregimento Las Conchas</t>
  </si>
  <si>
    <t>Corregimento Puerto de los Indios</t>
  </si>
  <si>
    <t>Junta de Accion Comunal Corregimento Puerto de los Indios</t>
  </si>
  <si>
    <t>Corregimento Puerto Gaitan</t>
  </si>
  <si>
    <t>Junta de Accion Comunal Corregimento Puerto Gaitan</t>
  </si>
  <si>
    <t>Corregimiento  La Caucana Rural</t>
  </si>
  <si>
    <t>Administracion Municipal Taraza-La Caucana</t>
  </si>
  <si>
    <t>Junta Accion Comunal el Oasis Buenos Aires</t>
  </si>
  <si>
    <t>Vereda El Tres</t>
  </si>
  <si>
    <t>Junta de Accion Comunal El Tres</t>
  </si>
  <si>
    <t>Corregimiento Barro Blanco</t>
  </si>
  <si>
    <t>Junta Accion Comunal Montenegro-Barro Blanco</t>
  </si>
  <si>
    <t>Corregimiento El Guimaro</t>
  </si>
  <si>
    <t>Junta de Accion Comunal El Guaimaro</t>
  </si>
  <si>
    <t>Corregimiento El Doce</t>
  </si>
  <si>
    <t>Junta de Accion Comunal   El Doce</t>
  </si>
  <si>
    <t>Corregimiento Puerto Antioquia</t>
  </si>
  <si>
    <t>Junta de Accion Comunal Puerto Antioquia</t>
  </si>
  <si>
    <t>Vereda La Pipiola</t>
  </si>
  <si>
    <t>Junta Accion Comunal La Pipola</t>
  </si>
  <si>
    <t>Vereda Pueblo Nuevo</t>
  </si>
  <si>
    <t>Junta de Acueducto Pueblo Nuevo</t>
  </si>
  <si>
    <t>Vereda El Paramo</t>
  </si>
  <si>
    <t>Junta de Acción Comunal El Paramo</t>
  </si>
  <si>
    <t>Vereda Pablo Muera</t>
  </si>
  <si>
    <t>Resguardo Indigena</t>
  </si>
  <si>
    <t>Junta de Acción Comunal La Arenosa</t>
  </si>
  <si>
    <t>Vereda La Clarita</t>
  </si>
  <si>
    <t>Junta de Acción Comunal La Clarita</t>
  </si>
  <si>
    <t>Corregimiento El Pato</t>
  </si>
  <si>
    <t>ASOAGUA La Fortuna</t>
  </si>
  <si>
    <t>Vereda La Pajuila</t>
  </si>
  <si>
    <t>Junta de Acción Comunal La Pajuila</t>
  </si>
  <si>
    <t>Verdea Chilona Abajo</t>
  </si>
  <si>
    <t>Junta de Accion Comunal Chichona Abajo</t>
  </si>
  <si>
    <t>Vereda La Quebradona</t>
  </si>
  <si>
    <t>Junta Administradora de Acueducto Quebradona Número Uno</t>
  </si>
  <si>
    <t>Vereda Vegas de Segovia</t>
  </si>
  <si>
    <t>ACUAVEGA-Vegas de Segovia</t>
  </si>
  <si>
    <t>Junta de Acción Comunal La Porquera</t>
  </si>
  <si>
    <t>Vereda El Saltillo</t>
  </si>
  <si>
    <t>ASOA-Vereda El Saltillo</t>
  </si>
  <si>
    <t>Junta de Acción Comunal El Retiro</t>
  </si>
  <si>
    <t>Junta de Acción Comunal La Estrella</t>
  </si>
  <si>
    <t>Vereda La Muñoz</t>
  </si>
  <si>
    <t>Asociación de Usuarios de Acueducto  La Muñoz</t>
  </si>
  <si>
    <t>Vereda La Culebra</t>
  </si>
  <si>
    <t>Asociación de Usuarios de Acueducto Pajarito-La Culebra</t>
  </si>
  <si>
    <t>Asociación de Usuarios de Acueducto Santa Rita</t>
  </si>
  <si>
    <t>Vereda La Trinidad</t>
  </si>
  <si>
    <t>Asociación de Usuarios de Acueducto La Trinidad</t>
  </si>
  <si>
    <t>VeredaLa Chiquita</t>
  </si>
  <si>
    <t>Asociación de Usuarios de Acueducto Manzanillo-La Chuiquita</t>
  </si>
  <si>
    <t>Asociación de Usuarios de Acueducto Los Pantanos</t>
  </si>
  <si>
    <t>Asociación de Usuarios de Acueducto Batea Seca</t>
  </si>
  <si>
    <t>VeredaMatablanco</t>
  </si>
  <si>
    <t>Asociación de Usuarios de Acueducto Altorhin Matablanco</t>
  </si>
  <si>
    <t>Vereda Santa Anita</t>
  </si>
  <si>
    <t>Asociación de Usuarios de Acueducto Quiebra Arriba-Santa Anita</t>
  </si>
  <si>
    <t>Vereda Los Pinos</t>
  </si>
  <si>
    <t>Asociación de Usuarios de Acueducto  Los Pinos</t>
  </si>
  <si>
    <t>Vereda Santa Ana Los Chochos</t>
  </si>
  <si>
    <t>Acueducto Multiveredal Santa Ana Los Chochos</t>
  </si>
  <si>
    <t>Vereda Altorhin</t>
  </si>
  <si>
    <t xml:space="preserve">Asociación de Usuarios de Acueducto Altorhin </t>
  </si>
  <si>
    <t>Vereda El Olivo</t>
  </si>
  <si>
    <t>Asociación de Usuarios de Acueducto Canoas-Maldonado-El Olivo-Montañita</t>
  </si>
  <si>
    <t>Vereda Quiebra Arriba</t>
  </si>
  <si>
    <t xml:space="preserve">Asociación de Usuarios de Acueducto Quiebra Arriba </t>
  </si>
  <si>
    <t>Vereda San Alejandro</t>
  </si>
  <si>
    <t>Asociación de Usuarios de Acueducto San Alejandro</t>
  </si>
  <si>
    <t>Vereda Los Cañaveral es</t>
  </si>
  <si>
    <t>Asociación de Usuarios de Acueducto Los Cañaverales</t>
  </si>
  <si>
    <t>Asociación de Usuarios de Acueducto El Socorro</t>
  </si>
  <si>
    <t>Vereda El Oriente</t>
  </si>
  <si>
    <t>Asociación de Usuarios de Acueducto El Oriente</t>
  </si>
  <si>
    <t>Vereda Llanos de Cuiva</t>
  </si>
  <si>
    <t>Asociación de Usuarios de Acueducto Llanos de Cuiva</t>
  </si>
  <si>
    <t>Vereda Guajira Abajo</t>
  </si>
  <si>
    <t>Asociación de Usuarios de Acueducto Guajira Abajo</t>
  </si>
  <si>
    <t>Vereda Guajira Arriba</t>
  </si>
  <si>
    <t>Asociación de Usuarios de Acueducto Guajira Arriba</t>
  </si>
  <si>
    <t>Asociación de Usuarios de Acueducto La Milagrosa</t>
  </si>
  <si>
    <t>Vereda La Quiebrita</t>
  </si>
  <si>
    <t>Asociación de Usuarios de Acueducto La Quiebrita</t>
  </si>
  <si>
    <t>Vereda Pajarito Arriba</t>
  </si>
  <si>
    <t xml:space="preserve">Asociación de Usuarios de Acueducto Veredal de La Quinta </t>
  </si>
  <si>
    <t>Corregimiento  Barro Blanco</t>
  </si>
  <si>
    <t>Junta Administradora de Acueducto Corregimiento de Barro Blanco</t>
  </si>
  <si>
    <t>Corregimiento  Alegrías</t>
  </si>
  <si>
    <t>Asociación de Usuarios del Acueducto Multiveredal del Corregimiento de Alegrías (AMCA)</t>
  </si>
  <si>
    <t>Vereda La Frisolera</t>
  </si>
  <si>
    <t>Junta de Acción Comunal Vereda La Frisolera</t>
  </si>
  <si>
    <t>Corregimiento  Sucre</t>
  </si>
  <si>
    <t>Junta Administradora de Acueducto Corregimiento de Sucre</t>
  </si>
  <si>
    <t>Vereda Aguadita Grande</t>
  </si>
  <si>
    <t>Junta de Acción Comunal Vereda La Aguadita Grande</t>
  </si>
  <si>
    <t>Vereda Aguadita Chiquita</t>
  </si>
  <si>
    <t>Junta de Acción Comunal Vereda La Aguadita Chiquita</t>
  </si>
  <si>
    <t>Junta de Acccion Comunal  Vereda San Antonio</t>
  </si>
  <si>
    <t>Vereda Chirapoto</t>
  </si>
  <si>
    <t>Junta de Acccion Comunal Vereda Chirapoto</t>
  </si>
  <si>
    <t>Junta de Acción Comunal Vereda La Cascada</t>
  </si>
  <si>
    <t>Vereda La Sirena</t>
  </si>
  <si>
    <t>Junta de Acción Comunal Vereda La Sirena</t>
  </si>
  <si>
    <t>Vereda Yarumalito</t>
  </si>
  <si>
    <t>Junta de Acción Comunal Vereda Yarumalito</t>
  </si>
  <si>
    <t>Junta de Acción Comunal Vereda San Pablo</t>
  </si>
  <si>
    <t>Sector Corozal</t>
  </si>
  <si>
    <t>Junta Administradora de Acueducto Vereda Cañas Sector Corozal</t>
  </si>
  <si>
    <t>Junta Administradora de Acueducto Vereda Palmichal</t>
  </si>
  <si>
    <t>Vereda El Balso</t>
  </si>
  <si>
    <t>Junta Administradora de Acueducto Vereda El Balso</t>
  </si>
  <si>
    <t>Vereda Peladeros</t>
  </si>
  <si>
    <t>Junta Administradora de Acueducto Vereda Peladeros</t>
  </si>
  <si>
    <t>Vereda El Tostado</t>
  </si>
  <si>
    <t>SI</t>
  </si>
  <si>
    <t>Planta de tratamiento</t>
  </si>
  <si>
    <t>Asociación de Usuarios del Acueducto Multiveredal Betania - Hispania E.S.P-Planta de tratamiento</t>
  </si>
  <si>
    <t>Asociacion de Usuarios de Acueducto Vereda Santa Rita (ASOSANI)</t>
  </si>
  <si>
    <t>Asociacion del Acueducto Vereda La Aguada-Sector La Pava</t>
  </si>
  <si>
    <t>Asociacion del Acueducto de Santa Ines Vereda Las Flores</t>
  </si>
  <si>
    <t>Asociacion del Acueducto de Santa Ines Vereda San Antonio</t>
  </si>
  <si>
    <t>Asociacion del Acueducto Vereda La Aguada-El Molino</t>
  </si>
  <si>
    <t>Asociacion de Usuarios del Acueducto Multiveredal del Municipio de Andes - Sector El Empedrado</t>
  </si>
  <si>
    <t>Asociacion de Usuarios del Acueducto Multiveredal de Jardin-Contrafuerte</t>
  </si>
  <si>
    <t>Vereda Alto Cañaveral Chorros Parte Baja</t>
  </si>
  <si>
    <t>Vereda Peñas Azules</t>
  </si>
  <si>
    <t xml:space="preserve">Acueducto Veredal Peñas Azules </t>
  </si>
  <si>
    <t xml:space="preserve">Vereda Santa Elena </t>
  </si>
  <si>
    <t>Acueducto Vereda Santa Elena</t>
  </si>
  <si>
    <t>Vereda La Melliza</t>
  </si>
  <si>
    <t>Asociación de Usuarios del Acueducto Veredal La Melliza</t>
  </si>
  <si>
    <t>Vereda  Monte Verde</t>
  </si>
  <si>
    <t>Asociación de Usuarios del Acueducto Veredal  Monte Verde</t>
  </si>
  <si>
    <t>Asociacion de Usuarios del Acueducto de La Ferreria</t>
  </si>
  <si>
    <t>Asociacion de Usuarios del Acueducto y Alcantarillado de La Vereda El Cedro-Parte Baja</t>
  </si>
  <si>
    <t>Asociacion de Usuarios del Acueducto Vereda Yarumal</t>
  </si>
  <si>
    <t>Asociacion de Usuarios del Acueducto Vereda Pueblito de San Jose- Sector Taborda</t>
  </si>
  <si>
    <t xml:space="preserve">Asociacion de Usuarios del Acueducto Vereda Pueblito de San Jose- Sector La Escuela </t>
  </si>
  <si>
    <t>Asociacion de Usuarios del Acueducto de La Vereda Mani de Las Casas</t>
  </si>
  <si>
    <t>Asociacion de Usuarios del Acueducto Vereda Guaimaral</t>
  </si>
  <si>
    <t>Asociacion de Usuarios del Acueducto de Piedecuesta</t>
  </si>
  <si>
    <t>Asociacion de Usuarios del Acueducto de Alto de Nicanor-Vereda Nicanor La Paja</t>
  </si>
  <si>
    <t>Asociacion de Usuarios del Acueducto de Alto de Nicanor-Vereda Nicanor La Sabaletica</t>
  </si>
  <si>
    <t>Asociacion de Usuarios del Acueducto de Los Aljibes-Pueblito Sánchez</t>
  </si>
  <si>
    <t>Asociacion de Usuarios del Acueducto de Pasonivel</t>
  </si>
  <si>
    <t>Asociacion de Usuarios del Acueducto del Corregimiento Minas</t>
  </si>
  <si>
    <t>Asociación de Usuarios de Acueducto del Centro Poblado La Clarita</t>
  </si>
  <si>
    <t>Junta Administradora del Acueducto la Paniagua</t>
  </si>
  <si>
    <t>Junta Administradora del Acueducto la Florida</t>
  </si>
  <si>
    <t>Asociacion de Usuarios del Acueducto Multiveredal de los Municipios Angelopolis Amaga y Tititibi-Centro Poblado El Cedro</t>
  </si>
  <si>
    <t>Asociacion de Usuarios del Acueducto la Esperanza</t>
  </si>
  <si>
    <t>Vereda Buena Vista - Sector la Caseta</t>
  </si>
  <si>
    <t>Asociacion de Usuarios del Acueducto AVBTA - Caseta</t>
  </si>
  <si>
    <t>Asociacion de Usuarios del Acueducto AVBTA - Escuela</t>
  </si>
  <si>
    <t>Vereda Alto De Los Jaramillos</t>
  </si>
  <si>
    <t>Acueducto Altos de Los Jaramillos</t>
  </si>
  <si>
    <t>Asociación de Usuarios del Acueducto Veredal Samaria</t>
  </si>
  <si>
    <t>Corregimiento Alfonso Lopez</t>
  </si>
  <si>
    <t>Asociación de Usuarios del Acueducto y Alcantarillado Corregimiento Alfonso Lopez "ASUAAL E.S.P" - Planta de Tratamiento Parte Alta</t>
  </si>
  <si>
    <t>Asociación de Usuarios del Acueducto y Alcantarillado Corregimiento Alfonso Lopez "ASUAAL E.S.P" - Planta de Tratamiento Parte Baja</t>
  </si>
  <si>
    <t>Vereda  Bolívar Arriba</t>
  </si>
  <si>
    <t>Asociacion Usuarios Acueducto Multiveredal Bolivar Arriba (AMBA)</t>
  </si>
  <si>
    <t>Vereda Punta Brava</t>
  </si>
  <si>
    <t>Acueducto Multiveredal La Marina</t>
  </si>
  <si>
    <t>Acueducto Veredal Punta Brava</t>
  </si>
  <si>
    <t>Vereda  Lindaja</t>
  </si>
  <si>
    <t>Acueducto Junta de Acción Comunal La Lindaja Aguas Frías-La Lindaja</t>
  </si>
  <si>
    <t>Vereda la Lindaja - Planta de tratamiento</t>
  </si>
  <si>
    <t>Asociacion de Usuarios del Acueducto La Lindaja-Planta de Tratamiento</t>
  </si>
  <si>
    <t>Vereda  La Arboleda</t>
  </si>
  <si>
    <t>Asociacion de Suscriptores o Usuarios del Acueducto La Arboleda</t>
  </si>
  <si>
    <t>Vereda Puerto Limón</t>
  </si>
  <si>
    <t>Asociacion de Usuarios del Acueducto Veredal Puerto Limon</t>
  </si>
  <si>
    <t>Vereda  Manzanillo</t>
  </si>
  <si>
    <t>Asociación de Usuarios del Acueducto Veredal El Manzanillo</t>
  </si>
  <si>
    <t>Corregimiento  Farallones</t>
  </si>
  <si>
    <t>Asociación de Suscriptores o Usuarios del Acueducto San Bernardo de Los Farallones</t>
  </si>
  <si>
    <t>Vereda  Ventorrillo</t>
  </si>
  <si>
    <t>Asociación de Usuarios del Acueducto Multiveredal Ventorrillo, Abejero - Ventorillo</t>
  </si>
  <si>
    <t>Vereda  Abejero</t>
  </si>
  <si>
    <t>Asociación de Usuarios del Acueducto Multiveredal Ventorrillo, Abejero - Abejero</t>
  </si>
  <si>
    <t>Vereda La María</t>
  </si>
  <si>
    <t>Asociación de Usuarios Acueducto La María</t>
  </si>
  <si>
    <t>Sector  La Raya</t>
  </si>
  <si>
    <t>Junta de Acción Comunal La Raya.</t>
  </si>
  <si>
    <t>Sector Corrales</t>
  </si>
  <si>
    <t>Asociación de Usuarios Acueducto Corrales.</t>
  </si>
  <si>
    <t>Vereda San Jose del Golpe</t>
  </si>
  <si>
    <t>Asociación de Usuarios Acueducto El Golpe</t>
  </si>
  <si>
    <t>Vereda La Aurora Llanadas</t>
  </si>
  <si>
    <t>Asociación de Usuarios Acueducto Vereda La Aurora Llanadas</t>
  </si>
  <si>
    <t>Asociación de Usuarios Acueducto La Esperanza-La Esperanza</t>
  </si>
  <si>
    <t>Vereda Llanaditas</t>
  </si>
  <si>
    <t>Asociación de Usuarios Acueducto Llanaditas-Llanaditas</t>
  </si>
  <si>
    <t>Vereda  Morrón</t>
  </si>
  <si>
    <t>Asociación de Usuarios del Acueducto Vereda Morron</t>
  </si>
  <si>
    <t>Asociación de Usuarios del Acueducto Virgen La Milagrosa Vereda La Cristalina</t>
  </si>
  <si>
    <t>Corregimiento El Socorro</t>
  </si>
  <si>
    <t>Junta de Acción Comunal Corregimiento El Socorro</t>
  </si>
  <si>
    <t>Vereda Morelia San Pacho</t>
  </si>
  <si>
    <t>Junta Administradora de Los Servicios de Acueducto y Alcantarillado de Morelia San Pacho</t>
  </si>
  <si>
    <t>Sector Partidas de Morelia</t>
  </si>
  <si>
    <t>Junta Administradora del Acueducto Partidas de Morelia</t>
  </si>
  <si>
    <t>Vereda Palosanto</t>
  </si>
  <si>
    <t>Asociación de Usuarios del Acueducto Palo Santo Municipio de Concordia</t>
  </si>
  <si>
    <t>Vereda Rumbadero</t>
  </si>
  <si>
    <t>Asociación de Usuarios Acueducto Rumbadero</t>
  </si>
  <si>
    <t>Barrio Salazar</t>
  </si>
  <si>
    <t>Junta Administradora de Acueducto Barrio Salazar</t>
  </si>
  <si>
    <t>Asociación de Usuarios del Acueducto del Corregimiento La Loma del Municipio de Yarumal</t>
  </si>
  <si>
    <t>Vereda Pueblorrico Sector Casagrande</t>
  </si>
  <si>
    <t>Asociación de Usuarios Acueducto Sector Casagrande</t>
  </si>
  <si>
    <t>Vereda El Higuerón</t>
  </si>
  <si>
    <t>Asociación de Usuarios Acueducto El Higuerón</t>
  </si>
  <si>
    <t>Vereda Pueblo Riico</t>
  </si>
  <si>
    <t>Asociación de Usuarios Acueducto Pueblo Rico</t>
  </si>
  <si>
    <t>Vereda  Campanas</t>
  </si>
  <si>
    <t>Asociación de Usuarios Acueducto Campanas-Campanas</t>
  </si>
  <si>
    <t>Asociación de Usuarios del Acueducto Vereda Santa Rita Abajo-Santa Rita</t>
  </si>
  <si>
    <t>Vereda Hoyo Frio</t>
  </si>
  <si>
    <t>Asociación de Usuarios del Acueducto de Hoyo Frio</t>
  </si>
  <si>
    <t>Asociación de Usuarios del Acueducto de La Vereda "El Calvario"</t>
  </si>
  <si>
    <t>Vereda  El Zancudo</t>
  </si>
  <si>
    <t xml:space="preserve">Asociación de Usuarios del Acueducto y Alcantarillado de La Vereda El Zancudo </t>
  </si>
  <si>
    <t>Vereda El Cinco</t>
  </si>
  <si>
    <t>Asociación de Usuarios del Acueducto de La Vereda El Cinco</t>
  </si>
  <si>
    <t>Vereda Murrapal</t>
  </si>
  <si>
    <t>Asociación de Usuarios del Acueducto de La Vereda Murrapal  - ASOMURRA</t>
  </si>
  <si>
    <t>Vereda Combia Grande</t>
  </si>
  <si>
    <t>Asociación de Usuarios del Acueducto La Milagrosa de La Vereda Combia Grande</t>
  </si>
  <si>
    <t>Vereda Combia Chiquita</t>
  </si>
  <si>
    <t>Asociación de Usuarios Acueducto Vereda Combia Chiquita</t>
  </si>
  <si>
    <t>Corregimiento Marsella</t>
  </si>
  <si>
    <t>Asociación de Usuarios del Acueducto del Corregimiento de Marsella</t>
  </si>
  <si>
    <t>Corregimiento Palomos</t>
  </si>
  <si>
    <t>Asociación de Usuarios del Acueducto del Corregimiento Los Palomos</t>
  </si>
  <si>
    <t xml:space="preserve"> Corregimiento Puente Iglesias</t>
  </si>
  <si>
    <t xml:space="preserve">Asociación de Usuarios del Acueducto Puente Iglesias </t>
  </si>
  <si>
    <t>Vereda Jonas</t>
  </si>
  <si>
    <t>Asociación de Usuarios del Acueducto de Jonas</t>
  </si>
  <si>
    <t>Vereda Asaqui</t>
  </si>
  <si>
    <t>Asociación Aguas de La Quiebra - Asaqui</t>
  </si>
  <si>
    <t>Vereda El Plan</t>
  </si>
  <si>
    <t>ASUAMFRAB- El Plan</t>
  </si>
  <si>
    <t>Vereda El Mango</t>
  </si>
  <si>
    <t>Asociacion de Usuarios del Acueducto Vereda El Mango</t>
  </si>
  <si>
    <t>Vereda  La Toscana</t>
  </si>
  <si>
    <t>ASUAMFRAB- La Toscana</t>
  </si>
  <si>
    <t>Vereda  El Carretero</t>
  </si>
  <si>
    <t>ASUAMFRAB- El Carretero</t>
  </si>
  <si>
    <t>ASUAMFRAB-  La Loma</t>
  </si>
  <si>
    <t>Vereda  El Uvital</t>
  </si>
  <si>
    <t>ASUAMFRAB- El Uvital</t>
  </si>
  <si>
    <t>Vereda El Filo del Uvital</t>
  </si>
  <si>
    <t>ASUAMFRAB-El Filo del Uvital</t>
  </si>
  <si>
    <t>Vereda Sabaletas</t>
  </si>
  <si>
    <t>Asociación de Usuarios del Acueducto de La Vereda Sabaletas E.S.P.-Sabaletas</t>
  </si>
  <si>
    <t>Vereda Alto de Los Fernandez</t>
  </si>
  <si>
    <t xml:space="preserve">Asociacioón de Usuarios de La Vereda Alto de Los Fernandez </t>
  </si>
  <si>
    <t>Asociacion de Usuarios del Acueducto del Sector Tacamocho, de Ña Vereda El Zancudo</t>
  </si>
  <si>
    <t>Vereda La Cordillera</t>
  </si>
  <si>
    <t xml:space="preserve">Asociación de Usuarios del Acueducto La Cordillera </t>
  </si>
  <si>
    <t>Vereda  El Porvenir</t>
  </si>
  <si>
    <t>Asociación de Usuarios del Acueducto El Porvenir</t>
  </si>
  <si>
    <t>Vereda  Buenos Aires</t>
  </si>
  <si>
    <t>Asociacion de Usuarios del Acueducto de Buenos Aires</t>
  </si>
  <si>
    <t>Vereda  El Vainillo</t>
  </si>
  <si>
    <t>Asociacion de Usuarios Acueducto Vereda El Vainillo</t>
  </si>
  <si>
    <t>Vereda  Aguacatal</t>
  </si>
  <si>
    <t>Asociacion de Usuarios del Acueducto de Aguacatal</t>
  </si>
  <si>
    <t>Vereda  Naranjal Poblanco</t>
  </si>
  <si>
    <t>Vereda Cadenas</t>
  </si>
  <si>
    <t>Junta de Accion Comunal Vereda Cadenas</t>
  </si>
  <si>
    <t>Corregimiento Piedra Verde</t>
  </si>
  <si>
    <t>Junta de Accion Comunal Corregimiento Piedra Verde</t>
  </si>
  <si>
    <t>Vereda Chamuscados</t>
  </si>
  <si>
    <t>Asociacion de Usuarios Acueducto de La Vereda Chamuscados</t>
  </si>
  <si>
    <t>Vereda La Garrucha</t>
  </si>
  <si>
    <t>Asociación de Usuarios del Acueducto de La Vereda La Garrucha- ASOGAR</t>
  </si>
  <si>
    <t>Asociacion de Usuarios Acueducto Vereda El  Molino</t>
  </si>
  <si>
    <t>ASUAMFRAB- Travesias</t>
  </si>
  <si>
    <t>Asociación de Usuarios del Acueducto Veredal Agua Pura La Maria</t>
  </si>
  <si>
    <r>
      <t xml:space="preserve">Asociacion de Usuarios del Acueducto  La </t>
    </r>
    <r>
      <rPr>
        <sz val="11"/>
        <rFont val="Arial"/>
        <family val="2"/>
      </rPr>
      <t>Cabuyala</t>
    </r>
  </si>
  <si>
    <t>Vereda la Florida</t>
  </si>
  <si>
    <t>Asociación de Usuarios del Acueducto Multiveredal Mulato-La Florida</t>
  </si>
  <si>
    <t>Vereda El Llanete</t>
  </si>
  <si>
    <t>Asociación de Usuarios del Acueducto Multiveredal Mulato-El Llanete</t>
  </si>
  <si>
    <t>Vereda La cuelga</t>
  </si>
  <si>
    <t>Asociación de Usuarios del Acueducto Multiveredal Mulato-La Cuelga</t>
  </si>
  <si>
    <t>Vereda El Silencio</t>
  </si>
  <si>
    <t>Asociación de Usuarios del Acueducto Multiveredal Mulato-El Silencio</t>
  </si>
  <si>
    <t>Vereda El Tablazo</t>
  </si>
  <si>
    <t>Asociación de Usuarios del Acueducto Multiveredal Betania-Hispania E.S.P-El Tablazo</t>
  </si>
  <si>
    <t>Vereda Armenia Alta</t>
  </si>
  <si>
    <t>Asociación de Usuarios del Acueducto Multiveredal Betania-Hispania E.S.P-Armenia Alta</t>
  </si>
  <si>
    <t>Vereda La Palmira</t>
  </si>
  <si>
    <t>Asociación de Usuarios del Acueducto Multiveredal Betania-Hispania E.S.P-La Palmira</t>
  </si>
  <si>
    <t>Vereda Armenia baja</t>
  </si>
  <si>
    <t>Asociación de Usuarios del Acueducto Multiveredal Betania-Hispania E.S.P-Armenia Baja</t>
  </si>
  <si>
    <t>Vereda La Seca</t>
  </si>
  <si>
    <t>Asociación de Usuarios del Acueducto Multiveredal Betania-Hispania E.S.P-La Seca</t>
  </si>
  <si>
    <t>Vereda La Salada</t>
  </si>
  <si>
    <t>Asociacion de Usuarios del Acueducto Aguas Unidas-La Salada</t>
  </si>
  <si>
    <t>VeredaQuebrada Bonita</t>
  </si>
  <si>
    <t>Asociacion de Usuarios del Acueducto Aguas Unidas-Quebrada Bonita</t>
  </si>
  <si>
    <t>Vereda Los Pomos</t>
  </si>
  <si>
    <t>Acueducto Veredal Serranias-Los Pomos</t>
  </si>
  <si>
    <t>Vereda La Herrerita</t>
  </si>
  <si>
    <t>Acueducto Veredal Serranias-La Herrerita</t>
  </si>
  <si>
    <t>Acueducto Veredal Serranias-Las Peñas</t>
  </si>
  <si>
    <t>Vereda La Curia</t>
  </si>
  <si>
    <t>Acueducto Veredal Serranias-La Curia</t>
  </si>
  <si>
    <t>Vereda Serranias Parte Baja</t>
  </si>
  <si>
    <t>Acueducto La Valencia-Serranias Parte Baja</t>
  </si>
  <si>
    <t>VeredaSerranias</t>
  </si>
  <si>
    <t>Acueducto Veredal Serranias-Serranias</t>
  </si>
  <si>
    <t>VeredaLa Herrera</t>
  </si>
  <si>
    <t>Acueducto Veredal Serranias-La Herrera</t>
  </si>
  <si>
    <t>Vereda La Casiana</t>
  </si>
  <si>
    <t>Asociacion de Usuarios del Acueducto Multiveredal de Jardin-La Casiana</t>
  </si>
  <si>
    <t>Vereda Morro Amarillo</t>
  </si>
  <si>
    <t>Asociacion de Usuarios del Acueducto Multiveredal de Jardin-Morro Amarillo</t>
  </si>
  <si>
    <t>Vereda San Bartolo Jardin</t>
  </si>
  <si>
    <t>Asociacion de Usuarios del Acueducto Multiveredal de Jardin-San Bartolo Jardín</t>
  </si>
  <si>
    <t>Vereda Cristianía</t>
  </si>
  <si>
    <t>Asociacion de Usuarios del Acueducto Multiveredal de Jardin-Cristiania</t>
  </si>
  <si>
    <t>Vereda El Tapado</t>
  </si>
  <si>
    <t>Asociacion de Usuarios del Acueducto Multiveredal de Jardin-El Tapado</t>
  </si>
  <si>
    <t>Vereda Caramanta</t>
  </si>
  <si>
    <t>Asociacion de Usuarios del Acueducto Multiveredal de Jardin-Caramanta</t>
  </si>
  <si>
    <t>Vereda La Linda</t>
  </si>
  <si>
    <t>Asociacion de Usuarios del Acueducto Multiveredal de Jardin-La Linda</t>
  </si>
  <si>
    <t>Vereda La Arboleda</t>
  </si>
  <si>
    <t>Asociación de Usuarios del Acueducto La Arboleda Rio Claro del Municipio de Jardin-La Arboleda</t>
  </si>
  <si>
    <t>Vereda Rio Claro</t>
  </si>
  <si>
    <t>Asociación de Usuarios del Acueducto La Arboleda Rio Claro del Municipio de Jardin-Rio Claro</t>
  </si>
  <si>
    <t>Vereda Alto Del Indio</t>
  </si>
  <si>
    <t>Asociación de Usuarios del Acueducto La Arboleda Rio Claro del Municipio de Jardin-Alto del Indio</t>
  </si>
  <si>
    <t>Asociación de Usuarios del Acueducto La Arboleda Rio Claro del Municipio de Jardin-La Montañita</t>
  </si>
  <si>
    <t>Vereda Gibraltar</t>
  </si>
  <si>
    <t>Junta de Usuarios del Acueducto de Avermar-Gibraltar</t>
  </si>
  <si>
    <t>Vereda Las Margaritas</t>
  </si>
  <si>
    <t>Junta de Usuarios del Acueducto de Avermar-Las Margaritas</t>
  </si>
  <si>
    <t>Vereda Verdun</t>
  </si>
  <si>
    <t>Acueducto Verdun Gibraltar-Verdun</t>
  </si>
  <si>
    <t>Vereda Guacamayal</t>
  </si>
  <si>
    <t>Junta de Acción Comunal Vereda Guacamayal</t>
  </si>
  <si>
    <t>Vereda  La Leona</t>
  </si>
  <si>
    <t>Junta de Acción Comunal Vereda La Leona</t>
  </si>
  <si>
    <t>Vereda San Ramón</t>
  </si>
  <si>
    <t>Junta de Acción Comunal San Ramón - Los Arrayanes</t>
  </si>
  <si>
    <t>Asociación de Usuarios del Acueducto La Hermosa</t>
  </si>
  <si>
    <t>Corregimiento Palo Cabildo</t>
  </si>
  <si>
    <t>Asociación Comunitaria del Acueducto del Corregimiento de Palocabildo Municipio de Jerico - Aguas del Roble.</t>
  </si>
  <si>
    <t>Vereda La Pradera</t>
  </si>
  <si>
    <t>Junta de Acción Comunal Vereda La Pradera</t>
  </si>
  <si>
    <t>Vereda Estrella Nueva</t>
  </si>
  <si>
    <t>Asociacion de Usuarios del Acueducto de Las Veredas Estrella Nueva y Estrella Vieja</t>
  </si>
  <si>
    <t>Vereda La Pista</t>
  </si>
  <si>
    <t>Asociación de Usuarios del Acueducto Multiveredal El Chuscal - Multichuscal - La Pista</t>
  </si>
  <si>
    <t>Asociación de Usuarios del acueducto aguas de La Soledad</t>
  </si>
  <si>
    <t>Vereda Los Patios</t>
  </si>
  <si>
    <t>Asociacion de Usuarios del Acueducto Multiveredal Los Patios  - Ciudadela - Acupatios</t>
  </si>
  <si>
    <t>Vereda El Zacatin</t>
  </si>
  <si>
    <t>Junta de Acción Comunal Vereda El Zacatín</t>
  </si>
  <si>
    <t>Asociación de Usuarios del Acueducto Multiveredal Guacamayal -La Leona (Multiedesa) - La Leona</t>
  </si>
  <si>
    <t>Junta Administradora del Acueducto Vereda La Aguada</t>
  </si>
  <si>
    <t xml:space="preserve">Asociación de Usuarios del Acueducto Palenque - La Virgen </t>
  </si>
  <si>
    <t>Multiveredal Buga - Palenque  - Buga (Acuebuga)</t>
  </si>
  <si>
    <t>Vereda  Palenquito</t>
  </si>
  <si>
    <t>Junta de Acción Comunal Vereda Palenquito</t>
  </si>
  <si>
    <t>Vereda Castalia</t>
  </si>
  <si>
    <t xml:space="preserve">Asociación de Usuarios del Acueducto de La Vereda Castalia - Asuveca </t>
  </si>
  <si>
    <t>Vereda Cauca Viejo</t>
  </si>
  <si>
    <t>Operadores de Servicios S.A. E.S.P-Cauca Viejo</t>
  </si>
  <si>
    <t>Junta de Acción Comunal de Altamira</t>
  </si>
  <si>
    <t>Vereda Vallecitos</t>
  </si>
  <si>
    <t>Asociación Comunitaria Acueducto Vereda Vallecitos</t>
  </si>
  <si>
    <t>Vereda Quebradona Arriba</t>
  </si>
  <si>
    <t>Junta de Acción Comunal Quebradona Arriba</t>
  </si>
  <si>
    <t>Vereda La Fé</t>
  </si>
  <si>
    <t>Junta de Acción Comunal Vereda La Fé</t>
  </si>
  <si>
    <t>Vereda La Cestillala</t>
  </si>
  <si>
    <t>Junta de Acción Comunal Vereda Cestillala</t>
  </si>
  <si>
    <t>Corregimiento Sabaletas</t>
  </si>
  <si>
    <t>Junta de Acción Comunal Corregimiento Sabaletas</t>
  </si>
  <si>
    <t>Vereda El Churimo</t>
  </si>
  <si>
    <t>Junta de Acción Comunal Vereda El Churimo</t>
  </si>
  <si>
    <t>Junta de Acción Comunal Vereda El Tablazo</t>
  </si>
  <si>
    <t>Junta de Acción Comunal Vereda Campo Alegre</t>
  </si>
  <si>
    <t>Vereda El Olival Parte Alta</t>
  </si>
  <si>
    <t>Asociación de Usuarios del Acueducto Veredal Agua Viva El Olival  Parte Alta</t>
  </si>
  <si>
    <t>Vereda Encenillo</t>
  </si>
  <si>
    <t>Junta de Acción Comunal Vereda Encenillo</t>
  </si>
  <si>
    <t>Junta de Acción Comunal Vereda La Quiebra</t>
  </si>
  <si>
    <t>Junta de Acción Comunal VeredaSan Antonio</t>
  </si>
  <si>
    <t>VeredaEl Olival Parte Baja</t>
  </si>
  <si>
    <t>Asociación de Usuarios del Acueducto Veredal Agua Viva El Olival Parte Baja</t>
  </si>
  <si>
    <t>VeredaLa Peña Parte Alta</t>
  </si>
  <si>
    <t>Junta de Acción Comunal Vereda La Peña Parte Alta</t>
  </si>
  <si>
    <t>Vereda La Peña Parte Baja</t>
  </si>
  <si>
    <t>Junta de Acción Comunal Vereda La Peña Parte Baja</t>
  </si>
  <si>
    <t>Vereda Getsemani</t>
  </si>
  <si>
    <t>Junta de Acción Comunal Vereda Getsemani</t>
  </si>
  <si>
    <t>Vereda El Gavilan</t>
  </si>
  <si>
    <t>Junta de Acción Comunal Vereda El Gavilan</t>
  </si>
  <si>
    <t>Vereda La Granja</t>
  </si>
  <si>
    <t>Junta de Acción Comunal Vereda La Granja</t>
  </si>
  <si>
    <t>Vereda Zarcitos Parte Alta</t>
  </si>
  <si>
    <t>Junta de Acción Comunal Vereda Zarcitos Parte Alta</t>
  </si>
  <si>
    <t>Vereda Sabanitas Parte Alta</t>
  </si>
  <si>
    <t>Asociación de Usuarios Acueducto Fuentes Unidas Sabanitas Parte Alta</t>
  </si>
  <si>
    <t>Vereda Sabanitas Parte Baja</t>
  </si>
  <si>
    <t>Asociación de Usuarios Acueducto Fuentes Unidas Sabanitas Parte Baja</t>
  </si>
  <si>
    <t>Vereda Zarcitos Parte Baja</t>
  </si>
  <si>
    <t>Junta de Acción Comunal Vereda Zarcitos Parte Baja</t>
  </si>
  <si>
    <t>Vereda Piedra Galana</t>
  </si>
  <si>
    <t>Junta de Acción Comunal Vereda Piedra Galana</t>
  </si>
  <si>
    <t>Vereda  La Pica</t>
  </si>
  <si>
    <t>Asociacion de Usuarios del  Acueducto de la  Vereda La Pica del municipio de Pueblorrico</t>
  </si>
  <si>
    <t>Vereda  Santa  Bárbara</t>
  </si>
  <si>
    <t>Junta Administradora del Acueducto Santa Bárbara</t>
  </si>
  <si>
    <t xml:space="preserve">Vereda California </t>
  </si>
  <si>
    <t>Asociacion de Usuarios del Acueducto de La Vereda California  del municipio de Pueblorrico</t>
  </si>
  <si>
    <t>Vereda Mulatico</t>
  </si>
  <si>
    <t>Asociacion de Usuarios del Acueducto de La Vereda Mulatico del municipio de Pueblorrico</t>
  </si>
  <si>
    <t>Vereda  La Gómez</t>
  </si>
  <si>
    <t>Asociacion de Usuarios  del  Acueducto de la Vereda La Gómez del municipio de Pueblorrico</t>
  </si>
  <si>
    <t>Vereda El Barcino</t>
  </si>
  <si>
    <t>Asociacion de Usuarios del Acueducto de La Vereda El Barcino  de Pueblorrcio Antioquia</t>
  </si>
  <si>
    <t>Vereda La Humareda</t>
  </si>
  <si>
    <t>Asociación de Usuarios La Humareda</t>
  </si>
  <si>
    <t xml:space="preserve">Asociación de Usuarios del Acueducto de La Vereda El Carmelo </t>
  </si>
  <si>
    <t>Vereda Chaquiro Arriba</t>
  </si>
  <si>
    <t>Asociación de Usuarios del Acueducto de La Vereda La Chaquiro Arriba</t>
  </si>
  <si>
    <t xml:space="preserve">Vereda El Carmelo Paraje Dos </t>
  </si>
  <si>
    <t xml:space="preserve">Asociación de Usuarios del Acueducto de La Vereda El Carmelo Paraje Dos </t>
  </si>
  <si>
    <t>Vereda  Bella Vista</t>
  </si>
  <si>
    <t xml:space="preserve">Asociación de Usuarios del Acueducto de La Vereda Bella Vista </t>
  </si>
  <si>
    <t>Vereda Gulunga Parte Alta</t>
  </si>
  <si>
    <t>Asociación de Usuarios del Acueducto de La Vereda La Gulunga Parte Alta</t>
  </si>
  <si>
    <t>Vereda Corregimiento La Margarita</t>
  </si>
  <si>
    <t>Asociación de Usuarios del Acueducto del Corregimiento La Margarita</t>
  </si>
  <si>
    <t>Vereda El Leon</t>
  </si>
  <si>
    <t xml:space="preserve">Asociación de Usuarios del Acueducto de La Vereda El Leon </t>
  </si>
  <si>
    <t>Asociación de Usuarios del Acueducto La Montañita</t>
  </si>
  <si>
    <t>ASO-La Taborda</t>
  </si>
  <si>
    <t>Asociación de Usuarios La Taborda</t>
  </si>
  <si>
    <t>Vereda Llanadas</t>
  </si>
  <si>
    <t xml:space="preserve">Asociación de Usuarios del Acueducto de La Vereda Llanadas </t>
  </si>
  <si>
    <t>Vereda Corregimiento Concilio</t>
  </si>
  <si>
    <t xml:space="preserve">Asociación de Usuarios del Acueducto del Corregimiento El Concilio </t>
  </si>
  <si>
    <t>Vereda Corregimiento Peñalisa</t>
  </si>
  <si>
    <t>Asociación de Usuarios Peñalisa</t>
  </si>
  <si>
    <t>Corregimiento La Margarita</t>
  </si>
  <si>
    <t>Empresas Publicas de Salgar S.A. E.S.P.-Corregimiento La Margarita</t>
  </si>
  <si>
    <t>Vereda Corregimiento La Camara</t>
  </si>
  <si>
    <t>Asociación de Usuarios del Acueducto del Corregimiento La Cámara</t>
  </si>
  <si>
    <t>Vereda La Chaquiro Abajo</t>
  </si>
  <si>
    <t xml:space="preserve">Asociación de Usuarios del Acueducto de La Vereda La Chaquiro Abajo </t>
  </si>
  <si>
    <t>Vereda Clara Arriba</t>
  </si>
  <si>
    <t>Asociación de Usuarios del Acueducto de La Vereda Clara Arriba</t>
  </si>
  <si>
    <t>Vereda La Chuchita</t>
  </si>
  <si>
    <t>Asociación de Usuarios La Chuchita</t>
  </si>
  <si>
    <t xml:space="preserve">Asociación de Usuarios del Acueducto de La Vereda Morritos </t>
  </si>
  <si>
    <t>Vereda Santa Luisa Parte Alta</t>
  </si>
  <si>
    <t xml:space="preserve">Asociación de Usuarios del Acueducto de La Vereda Santa Luisa Parte Alta </t>
  </si>
  <si>
    <t>No esta en uso</t>
  </si>
  <si>
    <t>AUA La Montañita- Miraflores</t>
  </si>
  <si>
    <t>Asociación  de Usuarios del Acueducto La Montañita-Miraflores</t>
  </si>
  <si>
    <t>Vereda Paraje Uno</t>
  </si>
  <si>
    <t>Asociación De Usuarios Acueducto El Carmelo Paraje Uno</t>
  </si>
  <si>
    <t>Vereda Chaquiro Dos</t>
  </si>
  <si>
    <t>Asociación De Usuarios Acueducto Vereda Chaquiro Dos</t>
  </si>
  <si>
    <t>Paraje El Clavel</t>
  </si>
  <si>
    <t xml:space="preserve">Asociación de Usuarios del Acueducto El Paraje El Clavel </t>
  </si>
  <si>
    <t>Vereda Ovejita</t>
  </si>
  <si>
    <t xml:space="preserve">Asociación de Usuarios del Acueducto de La Vereda La Ovejita </t>
  </si>
  <si>
    <t>Vereda Siberia</t>
  </si>
  <si>
    <t>Asociación de Usuarios del Acueducto de La Vereda La Siberia</t>
  </si>
  <si>
    <t>Vereda Alto de Marines</t>
  </si>
  <si>
    <t xml:space="preserve">Asociación de Usuarios del Acueducto de La Vereda Los Marines </t>
  </si>
  <si>
    <t>Corregimiento de Damasco</t>
  </si>
  <si>
    <t>Asociación de Usuarios del Acueducto Multiveredal del Corregimiento de Damasco-Corregimiento de Damasco</t>
  </si>
  <si>
    <t xml:space="preserve">Asociación Usuarios Acueducto Palmichal </t>
  </si>
  <si>
    <t>Asociación de Usuarios Acueducto Yarumalito</t>
  </si>
  <si>
    <t xml:space="preserve"> Corregimiento Versalles</t>
  </si>
  <si>
    <t>Asociación de Usuarios del Acueducto del Corregimiento de Versalles</t>
  </si>
  <si>
    <t>Buenavista</t>
  </si>
  <si>
    <t>Acueducto Junta de Acción Comunal- Buenavista</t>
  </si>
  <si>
    <t>Sector La ondina</t>
  </si>
  <si>
    <t>Acueducto Junta de Acción Comunal -Sector La Ondina</t>
  </si>
  <si>
    <t>Vereda Cordoncillo</t>
  </si>
  <si>
    <t>Asociación Acueducto Vereda Cordoncillo</t>
  </si>
  <si>
    <t xml:space="preserve">Junta de Acción Comunal Vereda Cristo Rey </t>
  </si>
  <si>
    <t>Quiebra del Barro</t>
  </si>
  <si>
    <t>Acueducto Quiebra del Barro</t>
  </si>
  <si>
    <t>Vereda Quiebra de Guamito</t>
  </si>
  <si>
    <t>Asociación de Acueducto Vereda Quiebra de Guamito</t>
  </si>
  <si>
    <t>Asociación de Usuarios del Acueducto Multiveredal Las Mercedes Los Naranjos Pitayo-Las Mercedes</t>
  </si>
  <si>
    <t xml:space="preserve">Asociación  Acueducto Vereda Guamal </t>
  </si>
  <si>
    <t>Vereda El Guacimo Parte Baja</t>
  </si>
  <si>
    <t>Asociación de Usuarios del Acueducto Multiveredal del Corregimiento de Damasco-Vereda El Guacimo Parte Baja</t>
  </si>
  <si>
    <t>Vereda La Umbría</t>
  </si>
  <si>
    <t>Asociación de Usuarios del Acueducto Multiveredal del Corregimiento de Damasco-Vereda La Umbría</t>
  </si>
  <si>
    <t>Vereda Pavas Parte Alta</t>
  </si>
  <si>
    <t>Operadores de Servicios S.A E.S.P - Vereda Pavas Parte Alta</t>
  </si>
  <si>
    <t>VeredaLa Liboriana</t>
  </si>
  <si>
    <t>Asociacion de Suscriptores del Acueducto y Alcantarillado de La Vereda La Liboriana, Corregimiento de Versalles - ACAVELI</t>
  </si>
  <si>
    <t>Vereda San Isidro Parte Baja</t>
  </si>
  <si>
    <t>Junta Administradora Acueducto Vereda San Isidro Parte Baja</t>
  </si>
  <si>
    <t>Vereda Aguacatal</t>
  </si>
  <si>
    <t>Junta de Acción Comunal Vereda Aguacatal</t>
  </si>
  <si>
    <t>Vereda Corozal</t>
  </si>
  <si>
    <t>Junta de Acción Comunal Vereda Corozal</t>
  </si>
  <si>
    <t xml:space="preserve">Junta de Acción Comunal Vereda La Primavera </t>
  </si>
  <si>
    <t>Morroplancho Parte Baja- Campamento</t>
  </si>
  <si>
    <t>Coorporación Acueducto Morroplancho Parte Baja Sector Campamento</t>
  </si>
  <si>
    <t>Morroplancho Parte Alta- Campamento</t>
  </si>
  <si>
    <t>Coorporación Acueducto Morroplancho Parte Alta Sector Campamento</t>
  </si>
  <si>
    <t>Vereda Pitayó</t>
  </si>
  <si>
    <t>Asociación Usuarios Acueducto Pitayo</t>
  </si>
  <si>
    <t>Vereda Poblanco</t>
  </si>
  <si>
    <t xml:space="preserve">Asociación de Usuarios del Acueducto Poblanco </t>
  </si>
  <si>
    <t>Vereda El Helechal</t>
  </si>
  <si>
    <t>Asociación de Usuarios del Acueducto de La Vereda El Helechal</t>
  </si>
  <si>
    <t>JAC-La Esperanza</t>
  </si>
  <si>
    <t>Acueducto Junta de Acción Comunal La Esperanza</t>
  </si>
  <si>
    <t>Vereda Alto de los Gomez</t>
  </si>
  <si>
    <t>Operadores de Servicios S.A E.S.P - Vereda Alto de Los Gomez</t>
  </si>
  <si>
    <t>Vereda Atanasio</t>
  </si>
  <si>
    <t>Operadores de Servicios S.A E.S.P - Vereda  Atanasio</t>
  </si>
  <si>
    <t>Vereda  La Ursula</t>
  </si>
  <si>
    <t>Operadores de Servicios S.A E.S.P - Vereda La Ursula</t>
  </si>
  <si>
    <t>Operadores de Servicios S.A E.S.P - Vereda El Guayabo</t>
  </si>
  <si>
    <t>Vereda Corozal Parte Alta</t>
  </si>
  <si>
    <t xml:space="preserve">Operadores de Servicios S.A E.S.P - Vereda  Corozal Parte Alta </t>
  </si>
  <si>
    <t>Operadores de Servicios S.A E.S.P - Vereda El Vergel</t>
  </si>
  <si>
    <t>Vereda Los Charcos</t>
  </si>
  <si>
    <t>Operadores de Servicios S.A E.S.P - Vereda Los Charcos</t>
  </si>
  <si>
    <t>Vereda Quiebra del Barro</t>
  </si>
  <si>
    <t>Operadores de Servicios S.A E.S.P - Vereda Quiebra del Barro</t>
  </si>
  <si>
    <t>Vereda Loma Larga Parte Alta</t>
  </si>
  <si>
    <t>Operadores de Servicios S.A E.S.P - Vereda Loma Larga Parte Alta</t>
  </si>
  <si>
    <t xml:space="preserve">Vereda Loma Larga </t>
  </si>
  <si>
    <t>Asociación Junta Administradora Acueducto Loma Larga</t>
  </si>
  <si>
    <t>Vereda San Isidro Parte Alta</t>
  </si>
  <si>
    <t>Operadores de Servicios S.A E.S.P - San Isidro Parte Alto</t>
  </si>
  <si>
    <t>Vereda Palocoposo</t>
  </si>
  <si>
    <t>Operadores de Servicios S.A E.S.P - Vereda Palocoposo</t>
  </si>
  <si>
    <t>Vereda La Arcadia</t>
  </si>
  <si>
    <t>Asociación Acueducto Vereda La Arcadia</t>
  </si>
  <si>
    <t>Vereda Loma de Don Santos</t>
  </si>
  <si>
    <t xml:space="preserve">Junta Administradora de Acueducto Vereda Loma de Don Santos </t>
  </si>
  <si>
    <t>Junta Administradora de Acueducto Vereda San Luis  Lora</t>
  </si>
  <si>
    <t>Corregimiento de Palermo</t>
  </si>
  <si>
    <t>Junta Administradora de Acueducto Corregimiento de Palermo</t>
  </si>
  <si>
    <t>Junta Administradora de Acueducto Vereda  Corozal</t>
  </si>
  <si>
    <t>Corregimiento San Pablo</t>
  </si>
  <si>
    <t>Junta Administradora de Acueducto Corregimiento de San Pablo</t>
  </si>
  <si>
    <t>Veredas Rio Claro-Otrabanda</t>
  </si>
  <si>
    <t>Junta Administradora de Acueducto Rio Claro -Otrabanda</t>
  </si>
  <si>
    <t>Junta Administradora del Acueducto Vereda Travesias</t>
  </si>
  <si>
    <t xml:space="preserve">Vereda Cedeño Bajo( viejo) </t>
  </si>
  <si>
    <t>Junta Administradora del Acueducto Vereda Cedeño Bajo</t>
  </si>
  <si>
    <t>Vereda Manzanares</t>
  </si>
  <si>
    <t>Junta Administradora de Acueducto Manzanares</t>
  </si>
  <si>
    <t>Vereda Cedeño Alto</t>
  </si>
  <si>
    <t>Junta Administradora de Acueducto Multiveredal Acuacartama-Cedeño Alto</t>
  </si>
  <si>
    <t>Vereda Cedeño Bajo</t>
  </si>
  <si>
    <t>Junta Administradora de Acueducto Multiveredal Acuacartama-Cedeño Bajo</t>
  </si>
  <si>
    <t xml:space="preserve">Vereda La Alacena </t>
  </si>
  <si>
    <t>Asociacion de Usuarios de Acueducto Multiveredal La Alacena, El Hacha y El Tabor-La Alacena</t>
  </si>
  <si>
    <t>Vereda El Hacha</t>
  </si>
  <si>
    <t>Asociacion de Usuarios de Acueducto Multiveredal La Alacena, El Hacha y El Tabor-El Hacha</t>
  </si>
  <si>
    <t>Asociacion de Usuarios de Acueducto Multiveredal La Alacena, El Hacha y El Tabor-El Tabor</t>
  </si>
  <si>
    <t>Vereda El Encanto</t>
  </si>
  <si>
    <t>ASOAGUAS -El Encanto</t>
  </si>
  <si>
    <t>ASOAGUAS -El Pescadero</t>
  </si>
  <si>
    <t>Vereda El Libano</t>
  </si>
  <si>
    <t>Junta Administradora de Acueducto El Libano</t>
  </si>
  <si>
    <t>Asociación de Usuarios Acueducto San Isidro, El Rayo-San Isidro</t>
  </si>
  <si>
    <t>ASOAGUAS -El Rayo</t>
  </si>
  <si>
    <t>Asociacion de Usuarios de Acueducto Veredal Santa Teresa-Santa Teresa</t>
  </si>
  <si>
    <t>Vereda San Pedro</t>
  </si>
  <si>
    <t>Multiveredal Campo Alegre- La Matilde- San Pedro</t>
  </si>
  <si>
    <t>Vereda La Matilde</t>
  </si>
  <si>
    <t>Multiveredal Campo Alegre- La Matilde- La Matilde</t>
  </si>
  <si>
    <t>Multiveredal Campo Alegre- Campo Alegre</t>
  </si>
  <si>
    <t>vereda  La Mirla</t>
  </si>
  <si>
    <t>Junta Administradora de Acueducto Multiveredal Acuacartama-La Mirla</t>
  </si>
  <si>
    <t>Junta Administradora de Acueducto Multiveredal Acuacartama- La Florida</t>
  </si>
  <si>
    <t>Junta Administradora de Acueducto Multiveredal Acuacartama-Guayabal</t>
  </si>
  <si>
    <t>Junta Administradora de Acueducto Multiveredal Acuacartama-Resguardo Indigena</t>
  </si>
  <si>
    <t>Vereda La Pastora</t>
  </si>
  <si>
    <t>Junta Administradora de Acueducto Multiveredal Acuacartama-La Pastora</t>
  </si>
  <si>
    <t>Vereda Nudillales</t>
  </si>
  <si>
    <t>Junta Administradora de Acueducto Multiveredal Acuacartama-Nudillales</t>
  </si>
  <si>
    <t>Vereda La Argentina</t>
  </si>
  <si>
    <t>Junta Administradora  Acueducto Piedra de Moler-La Argentina</t>
  </si>
  <si>
    <t>Vereda La Mesa</t>
  </si>
  <si>
    <t>Asociacion de Usuarios de Acueducto Vereda  La Mesa</t>
  </si>
  <si>
    <t>Veredas Rio Claro-Rio Claro</t>
  </si>
  <si>
    <t>Junta Administradora de Acueducto Rio Claro-Rio Claro</t>
  </si>
  <si>
    <t>Vereda Piedra de Moler</t>
  </si>
  <si>
    <t>Junta Administradora  Acueducto Piedra de Moler-Piedra de Moler</t>
  </si>
  <si>
    <t>Vereda Canaan</t>
  </si>
  <si>
    <t>Parcelacion Cauca Viejo-Tarso</t>
  </si>
  <si>
    <t>Vereda  La Linda</t>
  </si>
  <si>
    <t>Junta de Acción Comunal Vereda La Linda</t>
  </si>
  <si>
    <t>Vereda  El Cedron</t>
  </si>
  <si>
    <t>Junta de Acción Comunal Vereda El Cedron</t>
  </si>
  <si>
    <t>Junta de Acción Comunal Vereda La Arboleda</t>
  </si>
  <si>
    <t>Vereda  San Afortunato</t>
  </si>
  <si>
    <t>Junta de Acción Comunal Vereda La Dolores-San Afortunato</t>
  </si>
  <si>
    <t>Vereda  San Francisco</t>
  </si>
  <si>
    <t>Condominio Campestre Palma Real Vereda San Francisco</t>
  </si>
  <si>
    <t>Vereda  Chaguany</t>
  </si>
  <si>
    <t>Junta de Acción Comunal Vereda Chaguany</t>
  </si>
  <si>
    <t>Empresa de Servicios Publicos de Tarso S.A E.S.P. Vereda Patio Bonito</t>
  </si>
  <si>
    <t>Corregimiento La Meseta Sector El Hoyo</t>
  </si>
  <si>
    <t>Asociacion de Suscriptores o Usuarios del Acueducto y Alcantarillado La Meseta - Sector El Hoyo</t>
  </si>
  <si>
    <t>Corregimiento La Meseta</t>
  </si>
  <si>
    <t>Asociacion de Suscriptores o Usuarios del Acueducto y Alcantarillado La Meseta-Meseta</t>
  </si>
  <si>
    <t xml:space="preserve"> Corregimiento Sitio Viejo</t>
  </si>
  <si>
    <t>Asociacion de Usuarios del Acueducto y Alcantarillado Corregimiento Sitio Viejo</t>
  </si>
  <si>
    <t>Corregimiento La Otra Mina</t>
  </si>
  <si>
    <t>Junta Administradora del Acueducto de Otramina</t>
  </si>
  <si>
    <t>Vereda Falda Del Cauca</t>
  </si>
  <si>
    <t>Asociacion de Suscriptores o Usuarios del Acueducto y Alcantarillado Falda del Cauca</t>
  </si>
  <si>
    <t>Asociacion de Suscriptores o Usuarios Acueducto y Alcantarillado Vereda El Morro</t>
  </si>
  <si>
    <t>Junta Administradora Acueducto y Alcantarillado El Zancudo</t>
  </si>
  <si>
    <t>Asociacion de Suscriptores o Usuarios del Acueducto y Alcantarillado Campo Alegre</t>
  </si>
  <si>
    <t>Vereda Alto de Corcovado</t>
  </si>
  <si>
    <t>Acueducto Alto de Corcovado</t>
  </si>
  <si>
    <t>Sector Falda de los Upegui</t>
  </si>
  <si>
    <t>Asociacion de Suscriptores o Usuarios del Acueducto Falda de Los Upegui</t>
  </si>
  <si>
    <t>Vereda Los Micos</t>
  </si>
  <si>
    <t>Asociacion de Suscriptores o Usuarios del Acueducto y Alcantarillado Los Micos - ASUAALOSMI</t>
  </si>
  <si>
    <t>Corregimiento La Albania</t>
  </si>
  <si>
    <t>Asociacion Junta Acueducto Sector Hoyo del Barro, Corregimiento del Libano, La Albania</t>
  </si>
  <si>
    <t>Asociación de Suscriptores o Usuarios Acueducto y Alcantarillado El Porvenir</t>
  </si>
  <si>
    <t>Vereda Puerto Escondido</t>
  </si>
  <si>
    <t>Asociación de Suscriptores o Usuarios del Acueducto y Alcantarillado Puerto Escondido</t>
  </si>
  <si>
    <t>Vereda El Caracol</t>
  </si>
  <si>
    <t>Asociación de Usuarios del Acueducto Multiveredal Angelopolis, Amaga y Titiribi-El Caracol</t>
  </si>
  <si>
    <t>Vereda El Volcàn</t>
  </si>
  <si>
    <t>Asociacion de Suscriptores o Usuarios Acueducto y Alcantarillado El Volcan</t>
  </si>
  <si>
    <t>Corregimiento La Albania-Sector El Filo</t>
  </si>
  <si>
    <t>Asociación Acueducto El Trapiche, La Polla Sector El Filo</t>
  </si>
  <si>
    <t>Asociacion de Usuarios del Acueducto "Amigos del Agua" de La Vereda La Peña - ASUAVEPE</t>
  </si>
  <si>
    <t>Vereda Corcovado</t>
  </si>
  <si>
    <t>Asociacion de Suscriptores o Usuarios del Acueducto El Nacedero-Corcovado</t>
  </si>
  <si>
    <t>Corcovado Parte Baja</t>
  </si>
  <si>
    <t>Asociacion de Usuarios del Acueducto La Nueva ola - Vereda Corcovado - Parte Baja</t>
  </si>
  <si>
    <t>Vereda Los Pantanos No2</t>
  </si>
  <si>
    <t xml:space="preserve"> Asociación de Usuarios del Acueducto La Tora-Los Pantanos N° 2</t>
  </si>
  <si>
    <t>Vereda Loma Del Guamo</t>
  </si>
  <si>
    <t>Asociación de Suscriptores o Usuarios  Acueducto y Alcantarillado Loma del Guamo</t>
  </si>
  <si>
    <t>Asociacion de Usuarios del Acueducto del Rebose de La Vereda La Peña -Corregimiento La Albania</t>
  </si>
  <si>
    <t>Venta - Saladitos</t>
  </si>
  <si>
    <t>Junta de Acción Comunal Vereda Saladitos</t>
  </si>
  <si>
    <t>Orobugo Medio</t>
  </si>
  <si>
    <t>Asociación de Usuarios Acueducto Vereda Orobugo Medio</t>
  </si>
  <si>
    <t>Barrancos (muy alejado del casco urbano)</t>
  </si>
  <si>
    <t>Junta de Acción Comunal Barrancos</t>
  </si>
  <si>
    <t>Junta de Acción Comunal Vereda San Luis</t>
  </si>
  <si>
    <t>Vereda El Tunal</t>
  </si>
  <si>
    <t xml:space="preserve">Asociación de Usuarios Vereda  El Tunal </t>
  </si>
  <si>
    <t>Los Animes - El sireno</t>
  </si>
  <si>
    <t>Junta de Acción Comunal Vereda Los Animes</t>
  </si>
  <si>
    <t>San Fernando La Lucia</t>
  </si>
  <si>
    <t>Asociación Administradora del Acueducto San Fenando - La Lucia "Asaferlu"</t>
  </si>
  <si>
    <t>El Llano</t>
  </si>
  <si>
    <t>Junta de Acción Comunal El Llano</t>
  </si>
  <si>
    <t>Junta de Acción Comunal San Rafael</t>
  </si>
  <si>
    <t>Corregimiento La Encarnacion</t>
  </si>
  <si>
    <t>Junta de Acción Comunal Corregimiento La Encarnacion</t>
  </si>
  <si>
    <t>Los Quemados</t>
  </si>
  <si>
    <t>Junta de Acción Comunal Vereda Los Quemados</t>
  </si>
  <si>
    <t>Vasquez (a mas de 1 día de camino)</t>
  </si>
  <si>
    <t>Junta de Acción Comunal Vasquez</t>
  </si>
  <si>
    <t>La Loma</t>
  </si>
  <si>
    <t>Junta de Acción Comunal Vereda La Loma</t>
  </si>
  <si>
    <t>Puntas De Ocaido( a mas de 2 días de camino )</t>
  </si>
  <si>
    <t>Junta de Acción Comunal Puntas de Ocaido</t>
  </si>
  <si>
    <t>San Vidal</t>
  </si>
  <si>
    <t>Junta de Acción Comunal Vereda San Vidal</t>
  </si>
  <si>
    <t>San Matias</t>
  </si>
  <si>
    <t>Junta de Acción Comunal Vereda San Matias</t>
  </si>
  <si>
    <t>Vereda El Chuscal</t>
  </si>
  <si>
    <t>Junta de Acción Comunal Vereda El Chuscal</t>
  </si>
  <si>
    <t>Sabanas</t>
  </si>
  <si>
    <t>Junta de Acción Comunal Vereda Sabanas</t>
  </si>
  <si>
    <t>El Topacio</t>
  </si>
  <si>
    <t xml:space="preserve">Asociación de Usuarios Vereda El Topacio </t>
  </si>
  <si>
    <t>Asociación de Usuarios Vereda La Honda</t>
  </si>
  <si>
    <t>Vereda Guapantal</t>
  </si>
  <si>
    <t xml:space="preserve">Asociación de Usuarios  Vereda Guapantal </t>
  </si>
  <si>
    <t>Vereda La San Jose</t>
  </si>
  <si>
    <t>Junta Administradora Acueducto  San Jose</t>
  </si>
  <si>
    <t>Vereda Aguacates</t>
  </si>
  <si>
    <t>Asociación de Usuarios Acueducto Aguacates</t>
  </si>
  <si>
    <t>Pavon La Concentracion</t>
  </si>
  <si>
    <t xml:space="preserve">Junta  Acción Comunal Comité de Acueducto Pavon </t>
  </si>
  <si>
    <t>Vereda Pringamozal</t>
  </si>
  <si>
    <t xml:space="preserve">Junta Administradora  Acueducto Vereda Pringamosal </t>
  </si>
  <si>
    <t>Vereda La Cartagena</t>
  </si>
  <si>
    <t>Asociación de Usuarios Acueducto La Cartagena</t>
  </si>
  <si>
    <t>Vereda Arenales</t>
  </si>
  <si>
    <t>Junta Administradora  de Acueducto Vereda Arenales</t>
  </si>
  <si>
    <t>El Porvenir - Pavon</t>
  </si>
  <si>
    <t>Junta de Acción Comunal El Porvenir - Pavon</t>
  </si>
  <si>
    <t>Junta  Acción Comunal Pavon Santa Catalina</t>
  </si>
  <si>
    <t>Pavon Hoyo Rico</t>
  </si>
  <si>
    <t>Junta Administradora  Acueducto Vereda Pavon Hoyo Rico</t>
  </si>
  <si>
    <t>Vereda El Salvador</t>
  </si>
  <si>
    <t>Asociación de Usarios El Salvador</t>
  </si>
  <si>
    <t>Vereda Comuna  La Virgen</t>
  </si>
  <si>
    <t>Junta Administradora Acueducto Comuna La Virgen</t>
  </si>
  <si>
    <t>Vereda Comuna San Jose</t>
  </si>
  <si>
    <t>Asociacion Usuarios Acueducto Comuna San Jose</t>
  </si>
  <si>
    <t>Vereda El Bosque</t>
  </si>
  <si>
    <t>Asociacion Usuarios Acueducto El Bosque</t>
  </si>
  <si>
    <t>Asociacion de Usuarios Acueducto "El Guayabo"</t>
  </si>
  <si>
    <t>Vereda La Fabiana</t>
  </si>
  <si>
    <t>Junta Administradora Acueducto Itima -La Fabiana</t>
  </si>
  <si>
    <t>Vereda La Cumbre-La Graciela</t>
  </si>
  <si>
    <t>Junta Administradora Acueducto La Cumbre-La Graciela</t>
  </si>
  <si>
    <t>Vereda Mallarino</t>
  </si>
  <si>
    <t>Asociacion Usuarios Acueducto Mallarino</t>
  </si>
  <si>
    <t>Vereda Naranjal</t>
  </si>
  <si>
    <t>Junta Administradora Acueducto Naranjal</t>
  </si>
  <si>
    <t>Asociacion Usuarios Acueducto Playa Rica</t>
  </si>
  <si>
    <t>Asociacion Usuarios Acueducto El Libano</t>
  </si>
  <si>
    <t>Junta Administradora Acueducto Sabaletas</t>
  </si>
  <si>
    <t>Vereda La Herradura</t>
  </si>
  <si>
    <t>Junta Administradora Acueducto La Herradura</t>
  </si>
  <si>
    <t>Resguardo Indigena Marcelino Tascon</t>
  </si>
  <si>
    <t xml:space="preserve">Acueducto Resguardo Indigena Marcelino Tascon </t>
  </si>
  <si>
    <t>Corregimiento de Bolombolo</t>
  </si>
  <si>
    <t>Acueductos y Alcantarillados Sostenibles A.A.S S.A.   E.S.P.-Bolombolo</t>
  </si>
  <si>
    <t>Corregimiento La Mina</t>
  </si>
  <si>
    <t>Asociación de Usuarios del Acueducto del Corregimiento de Minas</t>
  </si>
  <si>
    <t>Acueducto Multiveredal Cerro Bravo-Palenque</t>
  </si>
  <si>
    <t>Acueducto Multiveredal Cerro Bravo-Palmichal</t>
  </si>
  <si>
    <t>Vereda La Amalia</t>
  </si>
  <si>
    <t>Acueducto Multiveredal Cerro Bravo-La Amalia</t>
  </si>
  <si>
    <t>Asociación de Suscriptores o Usuarios Acueducto El Cerro</t>
  </si>
  <si>
    <t>Vereda Ventiadero</t>
  </si>
  <si>
    <t>Asociación de Usuarios del Acueducto Vereda Carrizales Parte Baja El Ventiadero</t>
  </si>
  <si>
    <t>Vereda El Narciso</t>
  </si>
  <si>
    <t>Asociación de Usuarios del Acueducto de La Vereda El Narciso</t>
  </si>
  <si>
    <t>Vereda La Arabia</t>
  </si>
  <si>
    <t>Asociación de Usuarios del Acueducto de La Vereda La Arabia</t>
  </si>
  <si>
    <t>Acueducto Multiveredal El Vergel El Hoyo</t>
  </si>
  <si>
    <t>Vereda El Rincon</t>
  </si>
  <si>
    <t>Junta Administradora Vereda El Rincon</t>
  </si>
  <si>
    <t>Vereda El Llano La Antigua</t>
  </si>
  <si>
    <t>Junta Administradora Acueducto El Llano - Vereda El Llano La Antigua</t>
  </si>
  <si>
    <t>Vereda La Timotea</t>
  </si>
  <si>
    <t>Junta de Acción Comunal La Timotea - Vereda La Timotea</t>
  </si>
  <si>
    <t xml:space="preserve">Junta Administradora del Acueducto Santa Teresa - Vereda Santa Teresa </t>
  </si>
  <si>
    <t>Vereda La Nancui</t>
  </si>
  <si>
    <t xml:space="preserve">Junta Administradora del Acueducto La Nancui - Vereda La Nancuí </t>
  </si>
  <si>
    <t>Vereda Potreros 1</t>
  </si>
  <si>
    <t>Junta de Accion Comunal Potreros - Vereda Potreros 1</t>
  </si>
  <si>
    <t>Vereda Quimulá</t>
  </si>
  <si>
    <t>Junta Administra de Acueducto Quimulá - Vereda Quimulá</t>
  </si>
  <si>
    <t>Junta Administra de Acueducto El Eden - Vereda El Eden</t>
  </si>
  <si>
    <t>Vereda El Pedrero</t>
  </si>
  <si>
    <t>Asociación de Usuarios Acueducto Veredal El Pedrero</t>
  </si>
  <si>
    <t>Asociación de Usuarios Acueducto Veredal La Cejita</t>
  </si>
  <si>
    <t>Vereda Monterredondo</t>
  </si>
  <si>
    <t>Asociación de Usuarios del Acueducto Aguas Unidas de Anzá-Monterredondo</t>
  </si>
  <si>
    <t>Corregimiento de Guintar</t>
  </si>
  <si>
    <t>Asociación de Usuarios del Acueducto Corregimiento de Guintar</t>
  </si>
  <si>
    <t>Vereda La Mata</t>
  </si>
  <si>
    <t>Asociación de Usuarios del Acueducto Vereda La Mata</t>
  </si>
  <si>
    <t>Vereda La Quiuna</t>
  </si>
  <si>
    <t>Asociación de Usuarios del Acueducto Aguas Unidas de Anzá - La Quiuna</t>
  </si>
  <si>
    <t>Vereda Los Llanos</t>
  </si>
  <si>
    <t>Junta Administradora Acueducto Vereda Los Llanos</t>
  </si>
  <si>
    <t>Vereda Higuina</t>
  </si>
  <si>
    <t xml:space="preserve">Asociación de Usuarios del Acueducto Vereda Higuina </t>
  </si>
  <si>
    <t>Asociación de Usuarios Acueducto El Nudillo</t>
  </si>
  <si>
    <t>Vereda Vendiagujal</t>
  </si>
  <si>
    <t>Asociación de Usuarios del Acueducto Aguas Unidas de Anzá -Vendiagujal</t>
  </si>
  <si>
    <t>Asociación de Usuarios del Acueducto Aguas Unidas de Anzá -Lomitas</t>
  </si>
  <si>
    <t>Asociación de Usuarios Acueducto Veredal La Quiebra</t>
  </si>
  <si>
    <t>Asociación de Usuarios Acueducto Veredal El Encanto</t>
  </si>
  <si>
    <t>Asociación de Usuarios Acueducto Veredal La Cordillera</t>
  </si>
  <si>
    <t>Vereda La Chuscalita</t>
  </si>
  <si>
    <t>Asociación de Usuarios Acueducto Veredal La Chuscalita</t>
  </si>
  <si>
    <t>Junta Administradora Acueducto Vereda Las Travesias</t>
  </si>
  <si>
    <t>Vereda La Choclína</t>
  </si>
  <si>
    <t>Asociación de Usuarios del Acueducto Aguas Unidas de Anzá-La Choclína</t>
  </si>
  <si>
    <t>Vereda El Gredal</t>
  </si>
  <si>
    <t>Asociación de Usuarios Acueducto Veredal El Gredal</t>
  </si>
  <si>
    <t>Vereda La Pescadora</t>
  </si>
  <si>
    <t>Asociación Usuarios Acueducto La Pescadora</t>
  </si>
  <si>
    <t>Vereda  La Herradura</t>
  </si>
  <si>
    <t>Asociación Usuarios Acueducto La Herradura</t>
  </si>
  <si>
    <t>Asociación Usuarios Acueducto La Quiebra</t>
  </si>
  <si>
    <t>Asociación Usuarios Acueducto La Cuchilla</t>
  </si>
  <si>
    <t>Buriticá</t>
  </si>
  <si>
    <t>Corregimeinto de  Guarco</t>
  </si>
  <si>
    <t>Junta de Acción Comunal Corregimiento Guarco</t>
  </si>
  <si>
    <t>Corregimeinto de El Naranjo</t>
  </si>
  <si>
    <t>Junta de Acción Comunal Corregimiento El Naranjo</t>
  </si>
  <si>
    <t>Corregimeinto de la Angelina</t>
  </si>
  <si>
    <t>Junta de Acción Comunal Corregimiento de la Angelina</t>
  </si>
  <si>
    <t>Corregimeinto de Urarco</t>
  </si>
  <si>
    <t>Junta de Acción Comunal Corregimiento Urarco</t>
  </si>
  <si>
    <t>Vereda Llano Chiquito</t>
  </si>
  <si>
    <t>Junta de Acción Comunal Vereda Llano Chiquito</t>
  </si>
  <si>
    <t>Vereda Los Arados</t>
  </si>
  <si>
    <t>Junta de Acción Comunal Vereda de  los Arados</t>
  </si>
  <si>
    <t>Junta de Acción Comunal  Vereda Buenavista</t>
  </si>
  <si>
    <t>Vereda Sincierco</t>
  </si>
  <si>
    <t>Junta de Acción Comunal Vereda Sincierco</t>
  </si>
  <si>
    <t>Vereda Sopetrancito</t>
  </si>
  <si>
    <t>Junta de Acción Comunal Vereda de  Sopetrancito</t>
  </si>
  <si>
    <t>Vereda Untí</t>
  </si>
  <si>
    <t>Junta de Acción Comunal Vereda Untí</t>
  </si>
  <si>
    <t>Vereda Bubará</t>
  </si>
  <si>
    <t>Empresa de Servicios Publicos Domiciliarios de Buritica S.A.  E.S.P.-Bubara</t>
  </si>
  <si>
    <t>Vereda Asomadera</t>
  </si>
  <si>
    <t>Empresa de Servicios Publicos Domiciliarios de Buritica S.A.  E.S.P.-Asomadera</t>
  </si>
  <si>
    <t>Empresa de Servicios Publicos Domiciliarios de Buritica S.A.  E.S.P.-Piedragorda</t>
  </si>
  <si>
    <t>Vereda Carauquia</t>
  </si>
  <si>
    <t>Junta de Acción Comunal Vereda Carauquia</t>
  </si>
  <si>
    <t>Vereda Chunchunco</t>
  </si>
  <si>
    <t>Junta de Acción Comunal Vereda Chunchunco</t>
  </si>
  <si>
    <t>Vereda Conejos</t>
  </si>
  <si>
    <t>Junta de Acción Comunal Vereda Conejos</t>
  </si>
  <si>
    <t>Vereda Costas</t>
  </si>
  <si>
    <t>Junta de Acción Comunal Vereda de Costas</t>
  </si>
  <si>
    <t>Vereda Alto del Obispo</t>
  </si>
  <si>
    <t>Junta de Acción Comunal Vereda Alto del Obispo</t>
  </si>
  <si>
    <t>Vereda Tabacal</t>
  </si>
  <si>
    <t>Junta de Acción Comunal Vereda Tabacal</t>
  </si>
  <si>
    <t>Vereda El León</t>
  </si>
  <si>
    <t>Junta de Acción Comunal Vereda El Leon</t>
  </si>
  <si>
    <t>Junta de Acción Comunal Vereda Guadual</t>
  </si>
  <si>
    <t>Vereda Higabra</t>
  </si>
  <si>
    <t>Junta de Acción Comunal Vereda Higabra</t>
  </si>
  <si>
    <t>Junta de Acción Comunal Vereda Las Brisas</t>
  </si>
  <si>
    <t>Junta de Acción Comunal Vereda La Cordillera</t>
  </si>
  <si>
    <t>Vereda La Fragua</t>
  </si>
  <si>
    <t>Junta de Acción Comunal Vereda de la Fragua</t>
  </si>
  <si>
    <t>Junta de Acción Comunal Vereda La Palma</t>
  </si>
  <si>
    <t>Junta de Acción Comunal Vereda de la Playa</t>
  </si>
  <si>
    <t>Vereda La Vega</t>
  </si>
  <si>
    <t>Junta de Acción Comunal Vereda La Vega</t>
  </si>
  <si>
    <t>Vereda Las Cuatro</t>
  </si>
  <si>
    <t>Junta de Acción Comunal Vereda Las Cuatro</t>
  </si>
  <si>
    <t>Vereda Mogotes</t>
  </si>
  <si>
    <t>Junta de Acción Comunal Vereda Mogotes</t>
  </si>
  <si>
    <t>Vereda Pajarito</t>
  </si>
  <si>
    <t>Junta de Acción Comunal Vereda Pajarito</t>
  </si>
  <si>
    <t>Junta de Acción Comunal Vereda Palenque</t>
  </si>
  <si>
    <t>Junta de Acción Comunal Vereda Llano Grande</t>
  </si>
  <si>
    <t>Vereda El Siento</t>
  </si>
  <si>
    <t>Junta de Acción Comunal Vereda El Siento</t>
  </si>
  <si>
    <t>Vereda El Guaimaro</t>
  </si>
  <si>
    <t>Junta de Acción Comunal Vereda El Guaimaro</t>
  </si>
  <si>
    <t>Junta de Acción Comunal Vereda Murrapal</t>
  </si>
  <si>
    <t>Junta de Acción Comunal Vereda Santa Teresa</t>
  </si>
  <si>
    <t>Vereda Los Asientos</t>
  </si>
  <si>
    <t>Junta de Acción Comunal Vereda Los Asientos</t>
  </si>
  <si>
    <t>Vereda Altavista</t>
  </si>
  <si>
    <t>Junta Administradora Acueducto Altavista</t>
  </si>
  <si>
    <t>Vereda Casanova</t>
  </si>
  <si>
    <t>Asociación de Usuarios del Acueducto Multiveredal Hato-Casanova Vereda Casanova</t>
  </si>
  <si>
    <t>Vereda Chochal</t>
  </si>
  <si>
    <t>Asociación de Usuarios del Acueducto San Juan-Chochal Vereda Chochal</t>
  </si>
  <si>
    <t>Vereda El Playon</t>
  </si>
  <si>
    <t>Asociación de Usuarios del Acueducto Multiveredal Playon-Chochal Vereda El Playón</t>
  </si>
  <si>
    <t>Vereda Los Sauces</t>
  </si>
  <si>
    <t>Asociación de Usuarios del Acueducto Multiveredal Pinos-Cortada Vereda Los Sauces</t>
  </si>
  <si>
    <t>Vereda La Garcia</t>
  </si>
  <si>
    <t>Asociación de Usuarios del Acueducto Multiveredal Pinos-Cortada Vereda La Garcia</t>
  </si>
  <si>
    <t>Vereda Asesi</t>
  </si>
  <si>
    <t>Junta Administradora Acueducto Asesi</t>
  </si>
  <si>
    <t>Vereda La Cortada</t>
  </si>
  <si>
    <t>Asociación de Usuarios del Acueducto Multiveredal Pinos-Cortada Vereda Cortada</t>
  </si>
  <si>
    <t>Vereda La Cascajala</t>
  </si>
  <si>
    <t xml:space="preserve"> Junta Administradora de Acueducto Multiveredal La Salazar- Cascajala </t>
  </si>
  <si>
    <t>Vereda La Manga</t>
  </si>
  <si>
    <t>Asociación de Usuarios del Acueducto La Manga</t>
  </si>
  <si>
    <t>Asociación de Usuarios del Acueducto El Encanto</t>
  </si>
  <si>
    <t>Asociación de Usuarios del Acueducto La Soledad</t>
  </si>
  <si>
    <t>Vereda La Salazar</t>
  </si>
  <si>
    <t>Asociación de Usuarios del Acueducto La Salazar</t>
  </si>
  <si>
    <t>Vereda El Hato</t>
  </si>
  <si>
    <t>Asociación de Usuarios del Acueducto Multiveredal Hato-Casanova Vereda El Hato</t>
  </si>
  <si>
    <t>Asociación de Usuarios del Acueducto San Juan-Chochal Vereda San Juan</t>
  </si>
  <si>
    <t>Vereda Playón Parte Baja</t>
  </si>
  <si>
    <t>Asociación de Usuarios del Acueducto San Juan-Chochal Vereda Playón Parte Baja</t>
  </si>
  <si>
    <t>Vereda La Balsita</t>
  </si>
  <si>
    <t>Junta Administradora  Acueducto de La Balsita</t>
  </si>
  <si>
    <t>Junta Administradora Acueducto El Socorro</t>
  </si>
  <si>
    <t>Vereda La Aldea</t>
  </si>
  <si>
    <t>Junta de Acciòn Comunal La Aldea</t>
  </si>
  <si>
    <t>Vereda La Loma de San Pascual</t>
  </si>
  <si>
    <t>Junta Administradora Acueducto de La Loma San Pascual</t>
  </si>
  <si>
    <t>Corregimiento Cestillal</t>
  </si>
  <si>
    <t>Junta Administradora Acueducto El Silguero-Corregimiento Cestillal</t>
  </si>
  <si>
    <t>Corregimiento Juntas de Uramita</t>
  </si>
  <si>
    <t>Junta de Acción Comunal Acueducto de Juntas de Uramita-Corregimiento Juntas de Uramita</t>
  </si>
  <si>
    <t>Vereda Alto del Roble</t>
  </si>
  <si>
    <t>Junta Administradora Acueducto Alto del Roble</t>
  </si>
  <si>
    <t>Junta Administradora Acueducto de Guadual</t>
  </si>
  <si>
    <t>Vereda San Luís del Café</t>
  </si>
  <si>
    <t>Junta de Acción Comunal Acueducto San Luis del Café</t>
  </si>
  <si>
    <t>Vereda Insor Quebrada de Minas</t>
  </si>
  <si>
    <t>Junta Administradora Vereda Buenos Aires-Parte Alta</t>
  </si>
  <si>
    <t>Vereda Alto de Buenavista Juntas</t>
  </si>
  <si>
    <t>Junta Administradora Acueducto Alto de Buena Vista Juntas</t>
  </si>
  <si>
    <t>Vereda Los Antioqueños</t>
  </si>
  <si>
    <t>Junta Administradora Acueducto Los Antioqueños</t>
  </si>
  <si>
    <t>Vereda Los Naranjos</t>
  </si>
  <si>
    <t>Junta Administradora Acueducto Los Naranjos</t>
  </si>
  <si>
    <t>Junta Administradora Acueducto de La Manga</t>
  </si>
  <si>
    <t>Junta Administradora Acueducto El Retiro</t>
  </si>
  <si>
    <t>Vereda Cumbarrá</t>
  </si>
  <si>
    <t>Junta Administradora Acueducto de Cumbarrà</t>
  </si>
  <si>
    <t>Vereda La Curva</t>
  </si>
  <si>
    <t>Junta Administradora Acueducto de San Pascual-La Curva</t>
  </si>
  <si>
    <t>Vereda Morotó</t>
  </si>
  <si>
    <t>Junta Administradora Acueducto de Morotó</t>
  </si>
  <si>
    <t>Vereda Ciriguan</t>
  </si>
  <si>
    <t>Junta Administradora Acueducto de Ciriguan</t>
  </si>
  <si>
    <t>Corregimietno San Pascual</t>
  </si>
  <si>
    <t>Junta Administradora Acueducto de San Pascual-San Pascual</t>
  </si>
  <si>
    <t>Vereda Loma de la Alegría</t>
  </si>
  <si>
    <t>Junta Administradora Acueducto Loma de La Alegria</t>
  </si>
  <si>
    <t>Vereda Buenos aires-Parte Baja</t>
  </si>
  <si>
    <t>Junta Administradora Acueducto Buenos Aires-Parte Baja</t>
  </si>
  <si>
    <t>Vereda Caracolal</t>
  </si>
  <si>
    <t>Junta Administradora Acueducto Caracolal</t>
  </si>
  <si>
    <t>Vereda Buenos Aires-Parte Alta</t>
  </si>
  <si>
    <t>Junta Administradora Acueducto Buenos Aires-Parte Alta</t>
  </si>
  <si>
    <t>Vereda Juan Gomez</t>
  </si>
  <si>
    <t>Junta Administradora Acueducto Juan Gomez</t>
  </si>
  <si>
    <t>Vereda El Madero</t>
  </si>
  <si>
    <t>Junta Administradora Acueducto El Madero</t>
  </si>
  <si>
    <t>Vereda Alto de la Aldea</t>
  </si>
  <si>
    <t xml:space="preserve">Asociación de Usuarios Acueducto Multiveredal La Berrionda Cestillal-Alto de La Aldea </t>
  </si>
  <si>
    <t>Vereda La Unión</t>
  </si>
  <si>
    <t>Junta Administradora Acueducto Vereda La Unión</t>
  </si>
  <si>
    <t>Vereda Menbrillal</t>
  </si>
  <si>
    <t>Junta Administradora Acueducto de Membrillal</t>
  </si>
  <si>
    <t>Asociación de Usuarios Acueducto Multiveredal La Berrionda Cestillal-Guayabal</t>
  </si>
  <si>
    <t>Junta Administradora Acueducto de Guayabal</t>
  </si>
  <si>
    <t>Junta Administradora Acueducto Llano Grande</t>
  </si>
  <si>
    <t>Asociación de Usuarios Acueducto Multiveredal La Berrionda Cestillal San Miguel</t>
  </si>
  <si>
    <t>Junta Administradora Acueducto San Miguel Cestillal</t>
  </si>
  <si>
    <t>Vereda La Balsa</t>
  </si>
  <si>
    <t>Junta Administradora Acueducto Vereda La Balsa</t>
  </si>
  <si>
    <t>Barrio Los Balsos</t>
  </si>
  <si>
    <t>Junta Administradora Acueducto Barrio Los Balsos</t>
  </si>
  <si>
    <t>Vereda Imantago</t>
  </si>
  <si>
    <t>Junta Administradora Acueducto Imantago</t>
  </si>
  <si>
    <t>Vereda Rubicón</t>
  </si>
  <si>
    <t>Asociación de UsuariosAcueducto Multiveredal La Berrionda Cestillal-Rubicòn</t>
  </si>
  <si>
    <t>Junta Administradora Acueducto de Rubicòn</t>
  </si>
  <si>
    <t>Junta Administradora Acueducto Vereda El Canelo</t>
  </si>
  <si>
    <t>Vereda El Canelito</t>
  </si>
  <si>
    <t>Junta Administradora Acueducto Vereda El Canelito</t>
  </si>
  <si>
    <t>Vereda Media Cuesta</t>
  </si>
  <si>
    <t>Asociación de UsuariosAcueducto Vereda Mediacuesta Cañasgordas</t>
  </si>
  <si>
    <t>Vereda Paso Arriba</t>
  </si>
  <si>
    <t>Junta Administradora Acueducto de Paso Arriba</t>
  </si>
  <si>
    <t>Vereda El Paso</t>
  </si>
  <si>
    <t>Junta Administradora Vereda El Paso</t>
  </si>
  <si>
    <t>Vereda Botija Arriba</t>
  </si>
  <si>
    <t xml:space="preserve">Asociación de Usuarios Acueducto Multiveredal La Berrionda Cestillal-Botija Arriba </t>
  </si>
  <si>
    <t>Vereda Botija Abajo</t>
  </si>
  <si>
    <t xml:space="preserve">Asociación de Usuarios Acueducto Multiveredal Cestillal-Botija Abajo </t>
  </si>
  <si>
    <t>Asociación de Usuarios Acueducto Multiveredal La Berrionda Cestillal-La Quiebra</t>
  </si>
  <si>
    <t>Vereda Santo Cristo</t>
  </si>
  <si>
    <t>Asociación de Usuarios Acueducto Multiveredal La Berrionda Cestillal-Santo Cristo</t>
  </si>
  <si>
    <t>Vereda Uvital</t>
  </si>
  <si>
    <t>Asociación de Usuarios Acueducto Multiveredal Uvital</t>
  </si>
  <si>
    <t>Asociación de Usuarios Acueducto Multiveredal Cestillal-San Antonio</t>
  </si>
  <si>
    <t>Asociación de Usuarios Acueducto Multiveredal Cestillal-Naranjal</t>
  </si>
  <si>
    <t>Junta Administradora Acueducto La Aguada</t>
  </si>
  <si>
    <t>Vereda Apucarco</t>
  </si>
  <si>
    <t>Junta Administradora Acueducto Apucarco-Apucarco</t>
  </si>
  <si>
    <t>Verreda San Julian</t>
  </si>
  <si>
    <t>Junta de Aciòn Comunal Acueducto de Juntas de Uramita-San Julian</t>
  </si>
  <si>
    <t>Barrio Versalles</t>
  </si>
  <si>
    <t>Junta Administradora Acueducto La Aguada-Barrio Versalles</t>
  </si>
  <si>
    <t>Barrio El Chispero</t>
  </si>
  <si>
    <t>Junta Administradora Acueducto Apucarco-Barrio El Chispero</t>
  </si>
  <si>
    <t>Barrio Cordoncillal</t>
  </si>
  <si>
    <t>Asociación de Usuarios Acueducto Multiveredal La Berrionda Cestillal-Barrio Cordoncillal</t>
  </si>
  <si>
    <t>Asociación de Usuarios Acueducto Multiveredal La Cristalina-Bellavista</t>
  </si>
  <si>
    <t>Vereda Armenia</t>
  </si>
  <si>
    <t>Junta de Acción Comunal Vereda Armenia</t>
  </si>
  <si>
    <t>Vereda La Falda</t>
  </si>
  <si>
    <t>Junta de Acción Comunal Vereda La Falda</t>
  </si>
  <si>
    <t xml:space="preserve"> Vereda Carrá</t>
  </si>
  <si>
    <t>Junta de Acción Comunal Vereda Carrá</t>
  </si>
  <si>
    <t xml:space="preserve">Vereda  Lopia </t>
  </si>
  <si>
    <t>Junta de Acción Comunal Vereda  Lopia</t>
  </si>
  <si>
    <t xml:space="preserve">Vereda  Anta </t>
  </si>
  <si>
    <t>Junta de Acción Comunal Vereda  Anta</t>
  </si>
  <si>
    <t>Vereda Dabeiba Viejo</t>
  </si>
  <si>
    <t>Junta de Acción Comunal Dabeiba Viejo-Dabeiba Viejo</t>
  </si>
  <si>
    <t>Vereda Pegado</t>
  </si>
  <si>
    <t>Junta de Acción Comunal Vereda Pegadó</t>
  </si>
  <si>
    <t>Vereda Llanogrande Chimiado</t>
  </si>
  <si>
    <t>Junta de Acción Comunal Vereda Llanogrande</t>
  </si>
  <si>
    <t>Vereda Llano  de Cruces</t>
  </si>
  <si>
    <t>Junta de Acción Comunal Vereda Llano de Cruces</t>
  </si>
  <si>
    <t>Corregimiento Cruces de Urama</t>
  </si>
  <si>
    <t>Junta de Acción Comunal Corregimiento Cruces de Urama</t>
  </si>
  <si>
    <t>Corregimiento San José de Urama</t>
  </si>
  <si>
    <t>Junta de Acción Comunal Vereda Urama-Corregimiento San José de Urama</t>
  </si>
  <si>
    <t>Corremiento San Rafael</t>
  </si>
  <si>
    <t>Junta de Acción Comunal Corremiento San Rafael</t>
  </si>
  <si>
    <t>Vereda Chever</t>
  </si>
  <si>
    <t xml:space="preserve">Junta de Accion Comunal Vereda Chever  </t>
  </si>
  <si>
    <t>Vereda  Dabeiba Viejo(Indigena)</t>
  </si>
  <si>
    <t>Comunidad Indigena Dabeiba Viejo</t>
  </si>
  <si>
    <t>Vereda Culantrillales</t>
  </si>
  <si>
    <t>Junta de Accion Comunal Culantrillales</t>
  </si>
  <si>
    <t>Vereda Dabeiba viejo Coco Guayabito</t>
  </si>
  <si>
    <t>Junta de Acción Comunal Dabeiba Viejo-Coco Guayabito</t>
  </si>
  <si>
    <t>Vereda El Mohan</t>
  </si>
  <si>
    <t>Junata de Accion Comunal El Mohan</t>
  </si>
  <si>
    <t>Vereda Pueblecito</t>
  </si>
  <si>
    <t>Junta de Accion Comunal Pueblecito</t>
  </si>
  <si>
    <t>Vereda El Jordan</t>
  </si>
  <si>
    <t>Junata de Accion Comunal El Jordan</t>
  </si>
  <si>
    <t>Vereda El Tigre</t>
  </si>
  <si>
    <t>Junta de Accion comunal el tigre</t>
  </si>
  <si>
    <t>Vereda El Plancito</t>
  </si>
  <si>
    <t>Junta de Accion Comunal El Plancito</t>
  </si>
  <si>
    <t>Junta de Accion Comunal El Plan</t>
  </si>
  <si>
    <t>Vereda Betania</t>
  </si>
  <si>
    <t>Junta de Accion Comunal Betania- Puente Nuevo</t>
  </si>
  <si>
    <r>
      <t>V</t>
    </r>
    <r>
      <rPr>
        <sz val="11"/>
        <rFont val="Arial"/>
        <family val="2"/>
      </rPr>
      <t>vereda Antado sector El Rodeo</t>
    </r>
  </si>
  <si>
    <t>Junta de Accion Comunal Antado-El Rodeo</t>
  </si>
  <si>
    <t>Junta de Accion Comunal Los Naranjos</t>
  </si>
  <si>
    <t>Vereda Caracolon El Paraiso</t>
  </si>
  <si>
    <t>Junta de Accion Comunal Caracolon El Paraiso</t>
  </si>
  <si>
    <t>Corregimiento Sevilla</t>
  </si>
  <si>
    <t>Asociación de Suscriptores o Usuarios del Servicio de Acueducto del Corregimiento El Brasil-Sevilla</t>
  </si>
  <si>
    <t>Vereda La Cuchara</t>
  </si>
  <si>
    <t>Asociación Usuarios Acuanieves E.S.P- La Cuchara</t>
  </si>
  <si>
    <t>Asociación Usuarios Acuanieves-La Cruz</t>
  </si>
  <si>
    <t>Asociación Usuarios Acuanieves E.S.P- La Quinta</t>
  </si>
  <si>
    <t>Vereda El Saibo</t>
  </si>
  <si>
    <t>Asociación Usuarios Acuanieves--El Saibo</t>
  </si>
  <si>
    <t>Vereda Mano de Oso</t>
  </si>
  <si>
    <t>Asociación Usuarios Acuanieves E.S.P-Mano de Oso</t>
  </si>
  <si>
    <t>Asociación Usuarios Acuanieves E.S.P-La Aldea</t>
  </si>
  <si>
    <t>Vereda Boca Negra</t>
  </si>
  <si>
    <t>Asociación Usuarios Acuanieves E.S.P-Boca Negra</t>
  </si>
  <si>
    <t>Vereda El Bagio</t>
  </si>
  <si>
    <t>Asociación Usuarios Acuanieves E.S.P-El Bagío</t>
  </si>
  <si>
    <t>Vereda El Palon</t>
  </si>
  <si>
    <t>Asociación Usuarios Acuanieves E.S.P-El Palón</t>
  </si>
  <si>
    <t>Vereda Charrascal</t>
  </si>
  <si>
    <t>Asociación Usuarios Acuanieves E.S.P-Charrascal</t>
  </si>
  <si>
    <t>Vereda  La Palma</t>
  </si>
  <si>
    <t>Asociación Usuarios Acuanieves E.S.P- La Palma</t>
  </si>
  <si>
    <t xml:space="preserve">Corregimiento Guayabal </t>
  </si>
  <si>
    <t>Asociación de Usuarios del Acueducto Multiveredal del Municipio de Ebejico-Guayabal</t>
  </si>
  <si>
    <t>Vereda Filo San Jose</t>
  </si>
  <si>
    <t>Asociación de Usuarios del Acueducto Multiveredal del Municipio de Ebejico-Filo San José</t>
  </si>
  <si>
    <t>Asociación de Usuarios del Acueducto Multiveredal del Municipio de Ebejico-Las Brisas</t>
  </si>
  <si>
    <t>Asociación de Usuarios del Acueducto Multiveredal del Municipio de Ebejico-La Quiebra</t>
  </si>
  <si>
    <t>Vereda Blanquizal</t>
  </si>
  <si>
    <t>Asociación de Usuarios del Acueducto Multiveredal del Municipio de Ebejico-Blanquizal</t>
  </si>
  <si>
    <t>Asociación de Usuarios del Acueducto Multiveredal del Municipio de Ebejico-Campo Alegre</t>
  </si>
  <si>
    <t>Asociación de Usuarios del Acueducto Multiveredal del Municipio de Ebejico-El Retiro</t>
  </si>
  <si>
    <t>Vereda Las Coles</t>
  </si>
  <si>
    <t>Asociación de Usuarios del Acueducto Multiveredal del Municipio de Ebejico-Alto de Las Coles</t>
  </si>
  <si>
    <t>Vereda Holanda</t>
  </si>
  <si>
    <t>Asociación de Usuarios del Acueducto Multiveredal del Municipio de Ebejico-Holanda</t>
  </si>
  <si>
    <t>Vereda Santander</t>
  </si>
  <si>
    <t>Asociación de Usuarios del Acueducto Multiveredal del Municipio de Ebejico-Santander</t>
  </si>
  <si>
    <t>Vereda La Renta</t>
  </si>
  <si>
    <t>Asociación de Usuarios del Acueducto Multiveredal del Municipio de Ebejico-La Renta</t>
  </si>
  <si>
    <t>Asociación de Suscriptores o Usuarios del Servicio de Acueducto del Corregimiento El Brasil-La Gramala</t>
  </si>
  <si>
    <t>Vereda Alto El Brasil</t>
  </si>
  <si>
    <t>Asociación de Suscriptores o Usuarios del Servicio de Acueducto del Corregimiento El Brasil-Alto El Brasil</t>
  </si>
  <si>
    <t>Vereda Falda de la Suiza</t>
  </si>
  <si>
    <t>Asociación de Suscriptores o Usuarios del Servicio de Acueducto del Corregimiento El Brasil-La Suiza</t>
  </si>
  <si>
    <t>Asociación de Suscriptores o Usuarios del Servicio de Acueducto del Corregimiento El Brasil-Los Pomos</t>
  </si>
  <si>
    <t>Vereda Saguá</t>
  </si>
  <si>
    <t>Asociación de Suscriptores o Usuarios del Servicio de Acueducto del Corregimiento El Brasil-Saguá</t>
  </si>
  <si>
    <t>Junta Administradora Acueducto La Esmeralda</t>
  </si>
  <si>
    <t>Corregimiento La Clara</t>
  </si>
  <si>
    <t>Asociación Usuarios Acueducto ASUCLARA-Corregimiento La Clara</t>
  </si>
  <si>
    <t>Vereda  Arenales</t>
  </si>
  <si>
    <t>Asociación Usuarios Acueducto ASUCLARA-Arenales</t>
  </si>
  <si>
    <t>Asociación Usuarios Acueducto ASUCLARA-Murrapal</t>
  </si>
  <si>
    <t>Vereda Llano Santa Barbara</t>
  </si>
  <si>
    <t>Asociación Usuarios Acueducto ASUCLARA-Llano Santa Barbara</t>
  </si>
  <si>
    <t>Junta Administradora Acueducto-El Socorro</t>
  </si>
  <si>
    <t>Vereda Chachafruto</t>
  </si>
  <si>
    <t xml:space="preserve">Junta Administradora Acueducto Chachafruto </t>
  </si>
  <si>
    <t>Vereda Fátima</t>
  </si>
  <si>
    <t>Junta Administradora Acueducto-Fátima</t>
  </si>
  <si>
    <t xml:space="preserve">Vereda Nariño </t>
  </si>
  <si>
    <t xml:space="preserve">Junta Administradora Acueducto-Nariño </t>
  </si>
  <si>
    <t>Vereda El Zarzal</t>
  </si>
  <si>
    <t>Junta Administradora del Servicio de Acueducto de La Vereda El Zarzal</t>
  </si>
  <si>
    <t>Vereda El Cedro</t>
  </si>
  <si>
    <t>Junta Administradora Acueducto El Cedro</t>
  </si>
  <si>
    <t>Vereda Comunidad</t>
  </si>
  <si>
    <t>Asociación de Usuarios Acueducto Vereda Comunidad</t>
  </si>
  <si>
    <t>Vereda Chachafrutal</t>
  </si>
  <si>
    <t>Asociación Usuarios Acueducto Multiveredal Tres Montañas Chachafrutal</t>
  </si>
  <si>
    <t xml:space="preserve">Vereda  El Bosque </t>
  </si>
  <si>
    <t>Asociación Usuarios Acueducto Multiveredal  Tres Montañas  El Bosque</t>
  </si>
  <si>
    <t>Vereda Quirimará Placitas</t>
  </si>
  <si>
    <t>Junta Administradora Acueducto Quimara-Placitas</t>
  </si>
  <si>
    <t>Vereda Quirimará Rodeo</t>
  </si>
  <si>
    <t>Junta Administradora Acueducto Quimara - Rodeo</t>
  </si>
  <si>
    <t>Vereda Filo de las Arboledas</t>
  </si>
  <si>
    <t>Junta Administradora Acueducto-Vereda Filo de las Arboledas</t>
  </si>
  <si>
    <t>Vereda Nobogá</t>
  </si>
  <si>
    <t>Junta Administradora de Acueducto Nobogá</t>
  </si>
  <si>
    <t>Vereda Cabritas</t>
  </si>
  <si>
    <t>Junta Administradora de Acueducto Cabritas</t>
  </si>
  <si>
    <t>Vereda  Madre Laura</t>
  </si>
  <si>
    <t>Junta de Accion Comunal Acueducto Multiveredal Piedras Blanquitas - Madre Laura</t>
  </si>
  <si>
    <t>Vereda Paso Ancho</t>
  </si>
  <si>
    <t>Junta de Accion Comunal Acueducto Multiveredal Piedras Blanquitas - Paso Ancho</t>
  </si>
  <si>
    <t xml:space="preserve">Junta de Accion Comunal Acueducto Multiveredal Piedras Blanquitas - El Paso </t>
  </si>
  <si>
    <t>Vereda Chuscal de Musinga</t>
  </si>
  <si>
    <t>Junta de Acción Comunal Acueducto Chuscal de Musinga</t>
  </si>
  <si>
    <t>Vereda Chontaduro</t>
  </si>
  <si>
    <t>Junta Administradora Multiveredal Chontaduro, La Quiebra-Chontaduro</t>
  </si>
  <si>
    <t>Vereda Nobogacita</t>
  </si>
  <si>
    <t>Junta Administradora Acueducto Nobogacita</t>
  </si>
  <si>
    <t>Vereda Cuajron La Escuela</t>
  </si>
  <si>
    <t>Junta Administradora Acueducto Cuajron La Escuela</t>
  </si>
  <si>
    <t>Vereda San Lázaro</t>
  </si>
  <si>
    <t>Junta de Acción Comunal Acueducto San Lázaro</t>
  </si>
  <si>
    <t>Vereda El Rayo Cañaveral</t>
  </si>
  <si>
    <t>Junta de Accion Comunal Multiveredal  El Rayo Cañaveral</t>
  </si>
  <si>
    <t>Junta Administradora de Acueducto Multiveredal Los Israeles - El Rayo</t>
  </si>
  <si>
    <t>Junta Administradora de Acueducto Multiveredal Los Israeles - Nobogá</t>
  </si>
  <si>
    <t>Junta Administradora de Acueducto Multiveredal Los Israeles - Cabritas</t>
  </si>
  <si>
    <t>Vereda Loma de los Indios</t>
  </si>
  <si>
    <t>Junta Administradora de Acueducto Multiveredal Los Israeles - Loma de los Indios</t>
  </si>
  <si>
    <t>Vereda Las Cruces</t>
  </si>
  <si>
    <t>Junta Administradora Acueducto Las Cruces</t>
  </si>
  <si>
    <t>Vereda La Campiña</t>
  </si>
  <si>
    <t>Junta de Acción Comunal Acueducto La Campiña</t>
  </si>
  <si>
    <t>Vereda Los Monos</t>
  </si>
  <si>
    <t>Junta de Acción Comunal Vereda Los Monos</t>
  </si>
  <si>
    <t>Vereda Nutibara</t>
  </si>
  <si>
    <t>Cabildo Indigena Nusido Acueducto Nusido-Nutibara</t>
  </si>
  <si>
    <t>Vereda Nusido</t>
  </si>
  <si>
    <t>Cabildo Indigena Nusido Acueducto Nusido-Nusido</t>
  </si>
  <si>
    <t>Asociación de Usuarios Acueducto Multiveredal ASUACUM - La Honda</t>
  </si>
  <si>
    <t>Vereda El Chaquiro</t>
  </si>
  <si>
    <t>Asociación de Usuarios Acueducto Multiveredal ASUACUM - El Chaquiro</t>
  </si>
  <si>
    <t>Asociación de Usuarios Acueducto Multiveredal ASUACUM - La Primavera</t>
  </si>
  <si>
    <t>Vereda La Cañada Pontón</t>
  </si>
  <si>
    <t>Asociación de Usuarios Acueducto Multiveredal ASUACUM - La Cañada Pontón</t>
  </si>
  <si>
    <t>Asociación de Usuarios Acueducto Multiveredal ASUACUM - La Hondita</t>
  </si>
  <si>
    <t>Asociación de Usuarios Acueducto Multiveredal ASUACUM - La Herradura</t>
  </si>
  <si>
    <t>Vereda Alto de Frontino</t>
  </si>
  <si>
    <t>Asociación de Usuarios Acueducto Multiveredal ASUACUM - Alto de Frontino</t>
  </si>
  <si>
    <t>Vereda San Andrés</t>
  </si>
  <si>
    <t>Junta de Accion Comunal Acueducto Multiveredal San Andrés Murindó-San Andrés</t>
  </si>
  <si>
    <t>Vereda Murindó</t>
  </si>
  <si>
    <t>Junta de Accion Comunal Acueducto Multiveredal San Andrés Murindó-Murindó</t>
  </si>
  <si>
    <t>Vereda Blanquita</t>
  </si>
  <si>
    <t>Junta de Acción Comunal Acueducto La Blanquita</t>
  </si>
  <si>
    <t>Vereda Ponton</t>
  </si>
  <si>
    <t>Junta Administradora  Vereda Ponton</t>
  </si>
  <si>
    <t>Vereda La Blanquita</t>
  </si>
  <si>
    <t>Vereda Fuemia</t>
  </si>
  <si>
    <t>Junta de Acción Comunal Acueducto Fuemia</t>
  </si>
  <si>
    <t>Vereda Barrancas</t>
  </si>
  <si>
    <t>Junta de Acción Comunal Vereda  Barrancas</t>
  </si>
  <si>
    <t>Vereda Nore</t>
  </si>
  <si>
    <t>Junta de Acción Comunal Acueducto Nore</t>
  </si>
  <si>
    <t>Vereda Montañon</t>
  </si>
  <si>
    <t>Junta de Acción Comunal Acueducto Montañón</t>
  </si>
  <si>
    <t>Vereda Loma de Los Indios</t>
  </si>
  <si>
    <t>Junta de Acción Comunal Acueducto Loma de Los Indios</t>
  </si>
  <si>
    <t>Junta de Acción Comunal Vereda La Cabaña</t>
  </si>
  <si>
    <t>Vereda Llano de Musinga Tablaito</t>
  </si>
  <si>
    <t>Junta de Acción Comunal Acueducto Llano de Musinga CaseríoTablaito</t>
  </si>
  <si>
    <t>Junta de Acción Comunal El Cerro</t>
  </si>
  <si>
    <t>Vereda Llano de Musinga</t>
  </si>
  <si>
    <t>Junta de Acción Comunal Acueducto Llano de Musinga</t>
  </si>
  <si>
    <t>Vereda Las Cabras</t>
  </si>
  <si>
    <t>Junta de Acción Comunal Vereda Las Cabras</t>
  </si>
  <si>
    <t>Vereda El Matadero</t>
  </si>
  <si>
    <t>Junta de Acción Comunal Vereda El Matadero</t>
  </si>
  <si>
    <t>Corregimiento Nutibara</t>
  </si>
  <si>
    <t>Empresa de Servicios Publicos de Frontino E.S.P. Corregimiento Nutibara</t>
  </si>
  <si>
    <t>Vereda La Sierrita</t>
  </si>
  <si>
    <t>Junta de Accion Comunal La Sierrita-La Sierrita</t>
  </si>
  <si>
    <t>Vereda El Puente</t>
  </si>
  <si>
    <t>Junta de Accion Comunal Cuajaron-Sector El Puente</t>
  </si>
  <si>
    <t>Vereda Quiebritas</t>
  </si>
  <si>
    <t>Junta de Accion Comunal Cuajaron-Sector Quiebritas</t>
  </si>
  <si>
    <t>Vereda Escuela</t>
  </si>
  <si>
    <t>Junta de Accion Comunal Cuajaron-La Escuela</t>
  </si>
  <si>
    <t>Vereda  Filo Del Medio</t>
  </si>
  <si>
    <t>Junta de Accion Comunal Filo del Medio</t>
  </si>
  <si>
    <t>Vereda El Roblar</t>
  </si>
  <si>
    <t>Junta de Accion Comunal El Roblal</t>
  </si>
  <si>
    <t>Vereda El Aguila</t>
  </si>
  <si>
    <t>Junta de Accion Comunal El Aguila</t>
  </si>
  <si>
    <t>Junta de Accion Comunal La Sierra</t>
  </si>
  <si>
    <t>Junta de Accion Comunal El Tambo- El Tambo</t>
  </si>
  <si>
    <t>Sector La Trampa</t>
  </si>
  <si>
    <t>Junta de Accion Comunal El Tambo-Sector La Trampa</t>
  </si>
  <si>
    <t>Vereda Toyo Parte Alta</t>
  </si>
  <si>
    <t>Junta de Accion Comunal Toyo-Parte Alta</t>
  </si>
  <si>
    <t>Vereda El Limo</t>
  </si>
  <si>
    <t>Junta de Accion Comunal El Limo</t>
  </si>
  <si>
    <t>Junta de Accion Comunal El Balso</t>
  </si>
  <si>
    <t>Corregimiento Pinguro</t>
  </si>
  <si>
    <t>Junta de Accion Comunal Corregimiento Pinguro</t>
  </si>
  <si>
    <t>Vereda Tinajitas</t>
  </si>
  <si>
    <t>Junta de Accion Comunal Tinajitas</t>
  </si>
  <si>
    <t>Vereda La Cienaga</t>
  </si>
  <si>
    <t>Junta de Accion Comunal La Cienaga-La Cienaga</t>
  </si>
  <si>
    <t>Vereda La Bonanza</t>
  </si>
  <si>
    <t>Junta de Accion Comunal La Cienaga-La Bonanza</t>
  </si>
  <si>
    <t>Vereda La Planta</t>
  </si>
  <si>
    <t>Junta de Accion Comunal La Planta</t>
  </si>
  <si>
    <t xml:space="preserve">Corregimiento Manglar </t>
  </si>
  <si>
    <t>Asociación de Usuarios de Acuedcuto y Alcantarillado del Corregimiento Manglar</t>
  </si>
  <si>
    <t>Vereda la Cienaga Uruta</t>
  </si>
  <si>
    <t xml:space="preserve"> Junta de Accion Comunal la Cienaga Uruta</t>
  </si>
  <si>
    <t>Vereda Ceferino</t>
  </si>
  <si>
    <t>Acueducto Ceferino</t>
  </si>
  <si>
    <t>Corregimiento Alto del Corral</t>
  </si>
  <si>
    <t>Asociación de Usuarios del Acueducto Multiveredal del Corregimiento "Alto del Corral"</t>
  </si>
  <si>
    <t>Corregimiento Pueblito</t>
  </si>
  <si>
    <t>Junta Administradora del Acueducto Corregimiento Pueblito</t>
  </si>
  <si>
    <t xml:space="preserve">Vereda Palo Blanco </t>
  </si>
  <si>
    <t>Asociación de Usuarios del Acueducto Multiveredal Tres Montañas-Paloblanco</t>
  </si>
  <si>
    <t>Asociación de Usuarios del Acueducto Multiveredal Tres Montañas-La Pradrea</t>
  </si>
  <si>
    <t>Asociación de Usuarios del Acueducto Multiveredal Tres Montañas-Chachafruto</t>
  </si>
  <si>
    <t>Asociación de Usuarios del Acueducto Multiveredal Tres Montañas-Los Naranjos</t>
  </si>
  <si>
    <t xml:space="preserve">Vereda La Pava </t>
  </si>
  <si>
    <t>Acueducto La Pava</t>
  </si>
  <si>
    <t>Asociación de Usuarios del Acueducto Multiveredal Tres Montañas-Guayabal</t>
  </si>
  <si>
    <t xml:space="preserve"> Corregimiento Llano de San Jose</t>
  </si>
  <si>
    <t>Junta Administradora del Acueducto Corregimiento Llano de San Jose</t>
  </si>
  <si>
    <t>Vereda El Chocho</t>
  </si>
  <si>
    <t>Junta Administradora Vereda El Chocho</t>
  </si>
  <si>
    <t>Vereda Los Botes</t>
  </si>
  <si>
    <t>Acueducto Los Botes</t>
  </si>
  <si>
    <t>Vereda Las Estancias</t>
  </si>
  <si>
    <t>Junta de Accion Comunal Ventiadero Las Estancias</t>
  </si>
  <si>
    <t>Asociación de Usuarios del Acueducto Corregimiento El Potrero</t>
  </si>
  <si>
    <t>Vereda Los Granadillos</t>
  </si>
  <si>
    <t>Junta  de Acción Comunal Los Granadillos</t>
  </si>
  <si>
    <t>Corregimiento La Merced del Playón</t>
  </si>
  <si>
    <t>Asociación de Usuarios del Acueducto Corregimiento La Merced del Playón</t>
  </si>
  <si>
    <t>Corregimiento San Diego</t>
  </si>
  <si>
    <t>Asociación de Usuarios del Acueducto Corregimiento San Diego</t>
  </si>
  <si>
    <t>Corregimiento El Carmen de La Venta</t>
  </si>
  <si>
    <t>Junta de Administradora de Acueducto La Venta</t>
  </si>
  <si>
    <t>Corregimiento Honda</t>
  </si>
  <si>
    <t>Junta Administradora Acueducto La Honda</t>
  </si>
  <si>
    <t>Vereda La Hacienda</t>
  </si>
  <si>
    <t>Junta de Administrado de Acueducto San Pascual-La Hacienda</t>
  </si>
  <si>
    <t>Vereda Malvazá</t>
  </si>
  <si>
    <t xml:space="preserve">Asociación de Usuarios del Acueducto Malvazá </t>
  </si>
  <si>
    <t>Junta Administradora Acueducto San Miguel</t>
  </si>
  <si>
    <t>Vereda Los Recuerdos</t>
  </si>
  <si>
    <t>Junta de Acción Comunal Vereda Los Recuerdos</t>
  </si>
  <si>
    <t>Vereda Los Peñoles</t>
  </si>
  <si>
    <t>Junta Administradora Acueducto Multiveredal Peñoles, Ceja, La Palma -Los Peñoles</t>
  </si>
  <si>
    <t>Junta Administradora Acueducto Multiveredal Peñoles, Ceja, La Palma -La Palma</t>
  </si>
  <si>
    <t>Vereda La Ceja</t>
  </si>
  <si>
    <t xml:space="preserve">Junta Administradora Acueducto Multiveredal Peñoles, Ceja, La Palma-La Ceja </t>
  </si>
  <si>
    <t>Vereda Provincial</t>
  </si>
  <si>
    <t>Junta Administradora Acueducto Vereda Provincial-Provincial</t>
  </si>
  <si>
    <t>Junta Administradora Acueducto Vereda Montañita</t>
  </si>
  <si>
    <t xml:space="preserve">Junta de Acción Comunal Vereda El Morro </t>
  </si>
  <si>
    <t>Vereda La Hondura</t>
  </si>
  <si>
    <t>Junta de Accion comunal Vereda Las Abejas-La Hondura</t>
  </si>
  <si>
    <t>Vereda Porvenir</t>
  </si>
  <si>
    <t>Junta  Acción Comunal Vereda Porvenir</t>
  </si>
  <si>
    <t>Junta de Accion Comunal El Socorro</t>
  </si>
  <si>
    <t>Vereda Montenegro</t>
  </si>
  <si>
    <t>Junta  Administradora Acueducto Montenegro</t>
  </si>
  <si>
    <t>Vereda Los Ensenillos</t>
  </si>
  <si>
    <t>Junta de Acción Comunal Vereda Los Ensenillos</t>
  </si>
  <si>
    <t>Vereda El Guamal</t>
  </si>
  <si>
    <t xml:space="preserve">Junta de Accion Comunal El Guamal </t>
  </si>
  <si>
    <t>Vereda Rodas</t>
  </si>
  <si>
    <t>Junta de Accion Comunal Rodas</t>
  </si>
  <si>
    <t>Vereda San Pascual</t>
  </si>
  <si>
    <t>Junta de Administrado de Acueducto San Pascual-San Pascual</t>
  </si>
  <si>
    <t>Vereda Curiti</t>
  </si>
  <si>
    <t xml:space="preserve">Asociación de Usuarios del Acueducto Curiti Guamal-Curiti </t>
  </si>
  <si>
    <t>Vereda Sobresabanas</t>
  </si>
  <si>
    <t>Junta  Administradora Acueducto Sobresabanas</t>
  </si>
  <si>
    <t>Junta de Accion Comunal La Florida</t>
  </si>
  <si>
    <t>Vereda El Peregrino</t>
  </si>
  <si>
    <t>Junta  Acción Comunal Vereda Peregrino</t>
  </si>
  <si>
    <t>Junta  Acción Comunal Vereda Barrio Nuevo</t>
  </si>
  <si>
    <t>Vereda Cristobal</t>
  </si>
  <si>
    <t>Junta  Administradora Acueducto Cristobal</t>
  </si>
  <si>
    <t>Vereda Las Abejas</t>
  </si>
  <si>
    <t>Junta de Accion comunal Vereda Las Abejas-Las Abejas</t>
  </si>
  <si>
    <t xml:space="preserve">Olaya </t>
  </si>
  <si>
    <t>Junta  de Accion Comunal La Playa</t>
  </si>
  <si>
    <t>Asociación de Usuarios y Suscriptores del Acueducto de Llanadas ACUALLAN-Llanadas</t>
  </si>
  <si>
    <t>Vereda Pencal</t>
  </si>
  <si>
    <t>Junta de Accion Comunal Pencal</t>
  </si>
  <si>
    <t>Vereda Quebrada Seca</t>
  </si>
  <si>
    <t>Unidad de Servicios Públicos Domiciliarios-Quebrada Seca</t>
  </si>
  <si>
    <t>Vereda Piñones</t>
  </si>
  <si>
    <t>ASOPIÑONES-Vereda Piñones</t>
  </si>
  <si>
    <t>Corregimiento Sucre</t>
  </si>
  <si>
    <t>Aguas Regionales EPM S.A. E.S.P-Sucre</t>
  </si>
  <si>
    <t>Vereda Guayabo</t>
  </si>
  <si>
    <t>Junta  de Accion Comunal Guayabo</t>
  </si>
  <si>
    <t>Vereda La Colchona</t>
  </si>
  <si>
    <t>Junta  de Accion Comunal La Colchona</t>
  </si>
  <si>
    <t>Vereda Las Lomas</t>
  </si>
  <si>
    <t>Vereda Los Naipes</t>
  </si>
  <si>
    <t>Vereda San Julian de Barbacoas</t>
  </si>
  <si>
    <t>Vereda La Loma Del Sauce</t>
  </si>
  <si>
    <t>Vereda El Agrio</t>
  </si>
  <si>
    <t>Vereda Barbacoas</t>
  </si>
  <si>
    <t>Corregimiento Los Llanos</t>
  </si>
  <si>
    <t xml:space="preserve">Vereda Las Faldas </t>
  </si>
  <si>
    <t>Vereda Las Faldas Del Café</t>
  </si>
  <si>
    <t>Vereda La Escuela</t>
  </si>
  <si>
    <t>Vereda El Filo</t>
  </si>
  <si>
    <t>Vereda La Antigua</t>
  </si>
  <si>
    <t>Vereda El Páramo</t>
  </si>
  <si>
    <t>Vereda Llano Del Pueblo</t>
  </si>
  <si>
    <t>Vereda Italia 90</t>
  </si>
  <si>
    <t>Vereda Pojonal</t>
  </si>
  <si>
    <t>Vereda Guayabal La Falda</t>
  </si>
  <si>
    <t>Vereda Popal</t>
  </si>
  <si>
    <t>Vereda La Guadua</t>
  </si>
  <si>
    <t>Vereda Santa Agueda</t>
  </si>
  <si>
    <t>Vereda Renegado Valle</t>
  </si>
  <si>
    <t>Vereda  Guayabal de Pená</t>
  </si>
  <si>
    <t>Corregimiento de Lomitas</t>
  </si>
  <si>
    <t>Vereda San Juan de Renegado</t>
  </si>
  <si>
    <t>Corregimiento La Vega del Inglés</t>
  </si>
  <si>
    <t>Vereda  La Nueva Llanada</t>
  </si>
  <si>
    <t>Vereda El Junco</t>
  </si>
  <si>
    <t>Asociación de Usuarios del Acueducto Rural de La Vereda El Junco</t>
  </si>
  <si>
    <t>Corregimiento El Oro</t>
  </si>
  <si>
    <t>Junta de Acción Comunal Corregimiento El Oro</t>
  </si>
  <si>
    <t>Vereda El Tesorero</t>
  </si>
  <si>
    <t>Junta Administradora del Acueducto-Tesorero</t>
  </si>
  <si>
    <t>Junta Administradora del Acueducto del Socorro</t>
  </si>
  <si>
    <t>Junta Administradora del Acueducto del Madero</t>
  </si>
  <si>
    <t>Vereda La Pedrona</t>
  </si>
  <si>
    <t>Junta Administradora Acueducto de La Pedrona</t>
  </si>
  <si>
    <t>Junta de Acción Comunal del Acueducto El Tambo</t>
  </si>
  <si>
    <t>Junta de Acción Comunal Vereda El Encanto</t>
  </si>
  <si>
    <t>Vereda Llano de los Encuentros</t>
  </si>
  <si>
    <t>Junta de Acción Comunal Llano de Los Encuentros</t>
  </si>
  <si>
    <t>Vereda San Cristobal Pená</t>
  </si>
  <si>
    <t>Junta de Acción Comunal Vereda San Cristobal Pená</t>
  </si>
  <si>
    <t>Vereda La Ermita</t>
  </si>
  <si>
    <t>Junta Administradora Acueducto La Ermita</t>
  </si>
  <si>
    <t>Vereda Niquia</t>
  </si>
  <si>
    <t>Junta de Acción Comunal Vereda Niquia</t>
  </si>
  <si>
    <t>Junta Administradora Acueducto La Ceja</t>
  </si>
  <si>
    <t>Junta Administradora Acueducto de Buenos Aires</t>
  </si>
  <si>
    <t>Vereda Tesorerito</t>
  </si>
  <si>
    <t>Junta de Acción Comunal Vereda Tesorerito</t>
  </si>
  <si>
    <t>Vereda Llano del Oro</t>
  </si>
  <si>
    <t>Junta de Acción Comunal Vereda Llano del Oro</t>
  </si>
  <si>
    <t>Junta de Acción Comunal Vereda La Aurora</t>
  </si>
  <si>
    <t>Vereda Los Tendidos</t>
  </si>
  <si>
    <t>Junta de Acción Comunal Vereda Los Tendidos</t>
  </si>
  <si>
    <t>Vereda Machado</t>
  </si>
  <si>
    <t>Junta de Acción Comunal Vereda Machado</t>
  </si>
  <si>
    <t>Vereda Macanal</t>
  </si>
  <si>
    <t>Junta Administradora Acueducto Vereda Macanal</t>
  </si>
  <si>
    <t>Vereda Membrillal</t>
  </si>
  <si>
    <t>Junta de Acción Copmunal Vereda Membrillal</t>
  </si>
  <si>
    <t>Vereda El Placer</t>
  </si>
  <si>
    <t>Junta de Acción Comunal Vereda El Placer</t>
  </si>
  <si>
    <t>Junta de Acción Comunal Vereda La Meseta</t>
  </si>
  <si>
    <t>Junta Administradora del Acueducto La Loma</t>
  </si>
  <si>
    <t>Vereda Filo de Los Pérez</t>
  </si>
  <si>
    <t>Junta de Acción Comunal Vereda El Filo de Los Perez</t>
  </si>
  <si>
    <t>Vereda El Clavel</t>
  </si>
  <si>
    <t>Junta de Acción Comunal del Acueducto-El Clavel</t>
  </si>
  <si>
    <t>Vereda Veliguarin</t>
  </si>
  <si>
    <t>Corporacion Veliguarin</t>
  </si>
  <si>
    <t>Vereda El Chocho Parte Baja</t>
  </si>
  <si>
    <t>Asociación de Usuarios del Acueducto Los Cedros-El Chocho Parte Baja</t>
  </si>
  <si>
    <t>Asociación de Usuarios del Acueducto Buenos Aires</t>
  </si>
  <si>
    <t>Vereda Alto Colorado</t>
  </si>
  <si>
    <t xml:space="preserve">Asociación de  Suscriptores o Usuarios del Acueducto de La Vereda Alto Colorado </t>
  </si>
  <si>
    <t>Vereda  El Calvario</t>
  </si>
  <si>
    <t xml:space="preserve">Asociación de  Suscriptores o Usuarios del Acueducto de La Vereda El Calvario </t>
  </si>
  <si>
    <t>Asociación de Usuarios del Acueducto  La Cienaga</t>
  </si>
  <si>
    <t>Junta de Accion Comunal Vereda Cabuyal</t>
  </si>
  <si>
    <t xml:space="preserve">Vereda Llano Arriba </t>
  </si>
  <si>
    <t>Acueducto Llano Arriba</t>
  </si>
  <si>
    <t>Vereda Sector San Vicente</t>
  </si>
  <si>
    <t xml:space="preserve">Asociación de Usuarios del Acueducto del Barrio San Vicente </t>
  </si>
  <si>
    <t>Vereda Espiritu Santo</t>
  </si>
  <si>
    <t>Asociación de  Suscriptores o Usuarios del Acueducto Poleal Espiritu Santo</t>
  </si>
  <si>
    <t>Vereda Matazano</t>
  </si>
  <si>
    <t xml:space="preserve">Asociación de  Suscriptores o Usuarios  del Acueducto de La Vereda Matazano </t>
  </si>
  <si>
    <t>Vereda Loma Hermosa</t>
  </si>
  <si>
    <t>Asociación de  Suscriptores o Usuarios del Acueducto de La Vereda Pesquinal- Loma Hermosa</t>
  </si>
  <si>
    <t>Vereda El Mestizo</t>
  </si>
  <si>
    <t xml:space="preserve">Asociación de  Suscriptores o Usuariosdel Acueducto de La Vereda El Mestizo </t>
  </si>
  <si>
    <t xml:space="preserve">Asociación de  Usuarios del  de La Vereda Montefrio </t>
  </si>
  <si>
    <t>Vereda El Pomar</t>
  </si>
  <si>
    <t xml:space="preserve">Asociación de  Usuarios del  Acueducto El Pomar </t>
  </si>
  <si>
    <t>Vereda Aguas Poleal</t>
  </si>
  <si>
    <t>Aguas de Poleal</t>
  </si>
  <si>
    <t>Vereda Llano de San Juan</t>
  </si>
  <si>
    <t>Corporacion  Llano de San Juan</t>
  </si>
  <si>
    <t>Vereda  Llano de Aguirre</t>
  </si>
  <si>
    <t>Asociación de  Usuarios del Acueducto de La Vereda Llano de Aguirre</t>
  </si>
  <si>
    <t>Vereda La Palma Parte Baja</t>
  </si>
  <si>
    <t>Asociación de  Usuarios del Acueducto de La Vereda La Palma Parte Baja</t>
  </si>
  <si>
    <t>Vereda La Palma Parte Alta</t>
  </si>
  <si>
    <t>Asociación de  Usuarios del Acueducto de La Vereda La Palma Parte Alta</t>
  </si>
  <si>
    <t>Vereda  Piedra Negra</t>
  </si>
  <si>
    <t>Asociación de  Usuarios del Acueducto Piedra Negra</t>
  </si>
  <si>
    <t>Vereda Qimbayo</t>
  </si>
  <si>
    <t>Asociación de Usuarios del Acueducto de la Vereda Alticos -Quimbayo</t>
  </si>
  <si>
    <t>Vereda Guayabos</t>
  </si>
  <si>
    <t>Acueducto San Francisco</t>
  </si>
  <si>
    <t>Asociación de Usuarios del Acueducto de la Vereda Tafetanes</t>
  </si>
  <si>
    <t>Vereda Mestizal</t>
  </si>
  <si>
    <t>Asociación de Usuarios del Acueducto de la Vereda Mestizal</t>
  </si>
  <si>
    <t xml:space="preserve">Vereda Estancias </t>
  </si>
  <si>
    <t>Asociación de Usuarios del Acueducto de la Vereda Estancias</t>
  </si>
  <si>
    <t>Vereda Cenegueta</t>
  </si>
  <si>
    <t>Asociación de Usuarios del Acueducto de la Vereda Cenegueta</t>
  </si>
  <si>
    <t>Vereda Pie de Cuesta</t>
  </si>
  <si>
    <t>Asociación de Usuarios del Acueducto de la Vereda  Pie de Cuesta</t>
  </si>
  <si>
    <t>Santafe de Antioquia</t>
  </si>
  <si>
    <t>Asociación de Usuarios Acueducto El Plan-Vereda El Plan</t>
  </si>
  <si>
    <t>Vereda El Rodeo</t>
  </si>
  <si>
    <t>Asociación de Usuarios Acueducto Rural Vereda El Rodeo</t>
  </si>
  <si>
    <t>Vereda Yerbabuenal</t>
  </si>
  <si>
    <t>Asociación de Suscriptores Acueducto Yerbabuenal Centro-Vereda Yerbabuenal</t>
  </si>
  <si>
    <t>Asociación de Usuarios del Acueducto de La Vereda El Filo</t>
  </si>
  <si>
    <t>Asociación de Usuarios Acueducto La Aldea-Vereda La Aldea</t>
  </si>
  <si>
    <t>Corregimiento  Socorro Sabanas</t>
  </si>
  <si>
    <t>Junta de Acción Comunal Sabanas-Corregimiento Sabanas</t>
  </si>
  <si>
    <t xml:space="preserve">VeredaKilometro Dos </t>
  </si>
  <si>
    <t>Junta de Acción Comunal Vereda Km 2</t>
  </si>
  <si>
    <t xml:space="preserve">Vereda Kilometro Dos </t>
  </si>
  <si>
    <t>Aguas Regionales EPM S.A. E.S.P-Vereda Km 2</t>
  </si>
  <si>
    <t>Aguas Regionales EPM S.A. E.S.P-Vereda El Tunal</t>
  </si>
  <si>
    <t>Corregimiento Tonusco Arriba</t>
  </si>
  <si>
    <t>Junta Administradora de Acueducto-Corregimiento Tonusco Arriba</t>
  </si>
  <si>
    <t>Corregimiento Tonusco La Aguada</t>
  </si>
  <si>
    <t>Junta Administradora de Acueducto-Corregimiento Tonusco La Aguada</t>
  </si>
  <si>
    <t>Vereda El Chorrillo</t>
  </si>
  <si>
    <t>Junta de Acción Comunal Vereda El Chorrillo</t>
  </si>
  <si>
    <t>Junta Administradora de Acueducto Vereda La Milagrosa</t>
  </si>
  <si>
    <t>Vereda Las Coloradas</t>
  </si>
  <si>
    <t>Junta de Acción Comunal Vereda Las Coloradas</t>
  </si>
  <si>
    <t>Junta de Acción Comunal Vereda Fátima</t>
  </si>
  <si>
    <t>Vereda El Carmen</t>
  </si>
  <si>
    <t>Junta de Acción Comunal Vereda El Carmen</t>
  </si>
  <si>
    <t>Vereda San Carlos</t>
  </si>
  <si>
    <t>Asociación de Usuarios Acueducto Chuscales Loma Larga-Vereda San Carlos</t>
  </si>
  <si>
    <t>Vereda El Churimbo</t>
  </si>
  <si>
    <t>Junta de Acción Comunal Churimbo-Vereda Churimbo</t>
  </si>
  <si>
    <t>Corregimiento Cativo</t>
  </si>
  <si>
    <t>Asociación de Usuarios del Acueducto del Corregimiento de Cativo.</t>
  </si>
  <si>
    <t>Asociación de Usuarios Acueducto Chuscales Loma Larga-Vereda Chaparral</t>
  </si>
  <si>
    <t>Vereda La Mariana</t>
  </si>
  <si>
    <t>Asociación de Usuarios Acueducto Chuscales Loma Larga-Vereda La Mariana</t>
  </si>
  <si>
    <t>Junta de Acción Comunal Vereda San Antonio</t>
  </si>
  <si>
    <t>Vereda Coloradas</t>
  </si>
  <si>
    <t>Asociación de Usuarios Acueducto Chuscales Loma Larga-Vereda Las Coloradas</t>
  </si>
  <si>
    <t>Corregimiento El Pescado</t>
  </si>
  <si>
    <t>Junta de Acción Comunal El Pescado-Corregimiento El Pescado</t>
  </si>
  <si>
    <t>Vereda la Mesa</t>
  </si>
  <si>
    <t>Acueducto Multiveredal  La Tolda Vereda La Mesa</t>
  </si>
  <si>
    <t>Vereda La Tolda</t>
  </si>
  <si>
    <t>Acueducto Multiveredal  La Tolda Vereda La Tolda</t>
  </si>
  <si>
    <t>Corregimiento Laureles</t>
  </si>
  <si>
    <t>Junta Administradora Acueducto Corregimiento Laureles</t>
  </si>
  <si>
    <t>Vereda Moraditas</t>
  </si>
  <si>
    <t xml:space="preserve">Asociación de Usuarios Acueducto Moraditas-Vereda Moraditas </t>
  </si>
  <si>
    <t>Vereda Moraditas Alta</t>
  </si>
  <si>
    <t>Asociación de Usuarios Acueducto Moraditas-Vereda Moraditas Alta</t>
  </si>
  <si>
    <t>Corregimiento Nurqui</t>
  </si>
  <si>
    <t>Asociación de Usuarios Acueducto Chuscales Loma Larga-Vereda Nurqui</t>
  </si>
  <si>
    <t>Asociación de Usuarios del Acueducto de La Vereda El "Madero"</t>
  </si>
  <si>
    <t>Vereda El Espinal</t>
  </si>
  <si>
    <t>Aguas Regionales EPM S.A. E.S.P-Vereda El Espinal</t>
  </si>
  <si>
    <t>Vereda La Noque</t>
  </si>
  <si>
    <t>Aguas Regionales EPM S.A. E.S.P-Vereda La Noque</t>
  </si>
  <si>
    <t>Aguas Regionales EPM S.A. E.S.P-Vereda El Paso</t>
  </si>
  <si>
    <t>Vereda Obregon</t>
  </si>
  <si>
    <t>Aguas Regionales EPM S.A. E.S.P-Vereda Obregon</t>
  </si>
  <si>
    <t>Vereda El Pedregal</t>
  </si>
  <si>
    <t>Junta de Acción Comunal El Pedregal-Vereda El Pedregal</t>
  </si>
  <si>
    <t xml:space="preserve">Sopetran </t>
  </si>
  <si>
    <t>Corregimiento Horizontes</t>
  </si>
  <si>
    <t>Asociación de Suscriptores o Usuarios del Acueducto Corregimiento de Horizontes Municipio de Sopetran Entidad Sin Animo de Lucro</t>
  </si>
  <si>
    <t xml:space="preserve">Acueducto Rural El Rayo </t>
  </si>
  <si>
    <t>Vereda Loma del Medio</t>
  </si>
  <si>
    <t>Asociación de Suscriptores o Usuarios del Acueducto Loma del Medio</t>
  </si>
  <si>
    <t>Corregimiento Nuevo Horizontes</t>
  </si>
  <si>
    <t>Asociación de Usuarios del Acueducto de Santa Barbara Corregimiento Nuevo Horizontes</t>
  </si>
  <si>
    <t>Vereda Pomar -Santa Rita</t>
  </si>
  <si>
    <t>Asociación de Suscriptores o Usuarios del Acueducto de Las Veredas Pomar-Santa Rita</t>
  </si>
  <si>
    <t>Vereda Palogrande</t>
  </si>
  <si>
    <t>Junta Administradora Acueducto Vereda Palo Grande</t>
  </si>
  <si>
    <t>Vereda Alta  La Miranda</t>
  </si>
  <si>
    <t xml:space="preserve">Junta Administradora Acueducto Veredal manantial de la ayuna vereda Alta La Miranda </t>
  </si>
  <si>
    <t>Vereda Cordoba</t>
  </si>
  <si>
    <t>Junta Administradora Acueducto Cordoba</t>
  </si>
  <si>
    <t>Corregimiento San Nicolás de Bary</t>
  </si>
  <si>
    <t xml:space="preserve">Junta Administradora de Acueducto Corregimiento San Nicolás de Bary </t>
  </si>
  <si>
    <t>Vereda Ciruelar</t>
  </si>
  <si>
    <t>Junta Administradora Acueducto Vereda El Ciruelar</t>
  </si>
  <si>
    <t>Vereda Montegrande</t>
  </si>
  <si>
    <t>Junta Administradora del Acueducto Guataqui Montegrande</t>
  </si>
  <si>
    <t>Vereda La Aguada Montegrande</t>
  </si>
  <si>
    <t>Asociación de Usuarios del Acueducto El Pedrero La Aguada Montegrande</t>
  </si>
  <si>
    <t xml:space="preserve">Junta Adminstradora Acueducto Vereda Morron </t>
  </si>
  <si>
    <t xml:space="preserve">Vereda Los Pomos Guayabal </t>
  </si>
  <si>
    <t xml:space="preserve">Acueducto Rural Pomos Guayabal </t>
  </si>
  <si>
    <t>Vereda La Puerta</t>
  </si>
  <si>
    <t>Junta Administradora Acueducto veredal la cangrejo S.A.E.S.P</t>
  </si>
  <si>
    <t xml:space="preserve">Vereda Juntas </t>
  </si>
  <si>
    <t xml:space="preserve">Junta Administradora Acueducto Vereda Juntas </t>
  </si>
  <si>
    <t xml:space="preserve">Vereda  palenque </t>
  </si>
  <si>
    <t xml:space="preserve">Asociación de Usuarios del Acueducto  ACUAPALENQUE Vereda Fuentes del Alto Grande </t>
  </si>
  <si>
    <t>Vereda Montires</t>
  </si>
  <si>
    <t xml:space="preserve">Junta Administradora Acueducto Vereda Montires </t>
  </si>
  <si>
    <t>Aguas Regionales E.P.M. S.A. E.S.P-Vereda El Rodeo Sabanazo -El Rodeo</t>
  </si>
  <si>
    <t>Vereda Guaymaral</t>
  </si>
  <si>
    <t xml:space="preserve">Acueducto La Vid S.A.E.S.P </t>
  </si>
  <si>
    <t>Vereda Juntas Fuente La Sucia</t>
  </si>
  <si>
    <t>Aguas de San Nicolas S.A. E.S.P.</t>
  </si>
  <si>
    <t xml:space="preserve">La Miranda </t>
  </si>
  <si>
    <t xml:space="preserve">Junta Administradora del Acueducto de La Vereda Aguas Claras- LLano de  Miranda </t>
  </si>
  <si>
    <t>Aguas Regionales E.P.M. S.A. E.S.P-Vereda Tafetnaes</t>
  </si>
  <si>
    <t>Vereda Llano de Montaña</t>
  </si>
  <si>
    <t>Aguas Regionales E.P.M. S.A. E.S.P-Vereda El Llano de Montaña</t>
  </si>
  <si>
    <t>Vereda Otrabanda</t>
  </si>
  <si>
    <t>Aguas Regionales E.P.M. S.A. E.S.P-Vereda La otra Banda</t>
  </si>
  <si>
    <t>Vereda Guaymarala</t>
  </si>
  <si>
    <t>Junta Administradora Acueducto Vereda Guaymarala</t>
  </si>
  <si>
    <t xml:space="preserve">Uramita </t>
  </si>
  <si>
    <t>Alto del Pital</t>
  </si>
  <si>
    <t>Junta de Acción Comunal Acueducto Alto del Pital</t>
  </si>
  <si>
    <t>Vereda Ambalema</t>
  </si>
  <si>
    <t>Junta de Acción Comunal Acueducto Ambalema</t>
  </si>
  <si>
    <t>Vereda El Oso</t>
  </si>
  <si>
    <t>Junta de Acción Comunal Acueducto El Oso</t>
  </si>
  <si>
    <t>Vereda El Llano</t>
  </si>
  <si>
    <t>Junta de Accion Comunal Vereda El Llano</t>
  </si>
  <si>
    <t>Junta de Accion Comunal Vereda El Madero</t>
  </si>
  <si>
    <t>Junta de Accion Comunal de La Vereda El Retiro</t>
  </si>
  <si>
    <t>Junta de Accion Comunal Acueducto de La Vereda La Cumbre</t>
  </si>
  <si>
    <t>Junta de Accion Comunal Acueducto Vereda Murrapal</t>
  </si>
  <si>
    <t>Vereda Iracal</t>
  </si>
  <si>
    <t>Junta de Accion Comunal Vereda Iracal</t>
  </si>
  <si>
    <t>Vereda Monos</t>
  </si>
  <si>
    <t>Junta de Accion Comunal Acueducto Vereda Monos</t>
  </si>
  <si>
    <t>Fuera de servicio</t>
  </si>
  <si>
    <t>Junta de Accion Comunal de La Palma</t>
  </si>
  <si>
    <t>Junta Administadora  Acueducto Vereda La Meseta</t>
  </si>
  <si>
    <t>Vereda Palon</t>
  </si>
  <si>
    <t>Junta Administadora  Acueducto Vereda El Palon</t>
  </si>
  <si>
    <t>Vereda Limon Cabuyal</t>
  </si>
  <si>
    <t>Junta Administadora  Acueducto Vereda Limon Cabuyal</t>
  </si>
  <si>
    <t>Vereda Encalichada</t>
  </si>
  <si>
    <t>Junta de Accion Comunal La Encalichada</t>
  </si>
  <si>
    <t>Junta de Accion Comunal El Pital</t>
  </si>
  <si>
    <t>Vereda Caunce</t>
  </si>
  <si>
    <t>Junta de Accion Comunal Vereda El Caunce</t>
  </si>
  <si>
    <r>
      <t xml:space="preserve">SUBREGION: </t>
    </r>
    <r>
      <rPr>
        <sz val="11"/>
        <rFont val="Arial"/>
        <family val="2"/>
      </rPr>
      <t>OCCIDENTE</t>
    </r>
  </si>
  <si>
    <t>Aguas  Regionales  EPM S.A  E.S.P.-Corregimiento El Reposo</t>
  </si>
  <si>
    <t>Acueducto Naranjales</t>
  </si>
  <si>
    <t>Acueducto  Vijagual</t>
  </si>
  <si>
    <t>Acueducto  San Pablo</t>
  </si>
  <si>
    <t>Optima de Uraba-Los Mandarinos</t>
  </si>
  <si>
    <t>Vereda San Martin</t>
  </si>
  <si>
    <t xml:space="preserve">Acueducto San Martin </t>
  </si>
  <si>
    <t>Acueducto San Jose  de Apartado</t>
  </si>
  <si>
    <t>Acueducto Churido Pueblo</t>
  </si>
  <si>
    <t>Acueducto Multisectorial Zungo Carretera -  Loma Verde</t>
  </si>
  <si>
    <t>Junta de Acción Comunal Corregimiento de Buenos Aires</t>
  </si>
  <si>
    <t xml:space="preserve">Junta de Acción Comunal Corregimiento El Carmelo </t>
  </si>
  <si>
    <t xml:space="preserve">Junta de Acción Comunal de Garrapatas  </t>
  </si>
  <si>
    <t>Junta de Acción Comunal de La Vereda Canime Campesino</t>
  </si>
  <si>
    <t>Junta de Acción Comunal de La Vereda Canime Indigena</t>
  </si>
  <si>
    <t>Junta de Acción Comunal Vereda El Yeso</t>
  </si>
  <si>
    <t>Junta de Acción Comunal Corregimiento de Trinidad</t>
  </si>
  <si>
    <t>Junta de Acción Comunal de San José del Carmelo</t>
  </si>
  <si>
    <t>Junta de Acción Comunal Corregimiento de La Candelaria</t>
  </si>
  <si>
    <t>Junta de Acción Comunal de La Vereda Pavitas</t>
  </si>
  <si>
    <t>Junta de Acción Comunal de Los Cajones</t>
  </si>
  <si>
    <t>Junta de Acción Comunal Corregimiento de Guadual Arriba</t>
  </si>
  <si>
    <t>Junta de Acción Comunal La Atoyosa</t>
  </si>
  <si>
    <t>Junta de Acción Comunal Pueblo Chino</t>
  </si>
  <si>
    <t>Junta de Acción Comunal de  Nueva Estrella</t>
  </si>
  <si>
    <t>Junta de Acción Comunal Corregimiento de Naranjitas</t>
  </si>
  <si>
    <t>Junta de Acción Comunal de La Vereda Bajo Grande</t>
  </si>
  <si>
    <t>Junta de Acción Comunal Siete Hermanas</t>
  </si>
  <si>
    <t>Junta de Acción Comunal de Platas Arriba-Sector La Esperanza</t>
  </si>
  <si>
    <t>Junta de Acción Comunal de Platas Arriba-Sector Dios Es Amor</t>
  </si>
  <si>
    <t>Junta de Acción Comunal de La Vereda El Coco Kilometro 10</t>
  </si>
  <si>
    <t xml:space="preserve">Junta de Acción Comunal de Las  Santa Fe de Las Platas </t>
  </si>
  <si>
    <t>Junta de Accion Comunal Vereda Aguas Vivas</t>
  </si>
  <si>
    <t>Junta de Accion Comunal El Carmelo</t>
  </si>
  <si>
    <t>Vereda Garrapatas</t>
  </si>
  <si>
    <t>Canime Campesino</t>
  </si>
  <si>
    <t>Canime Indígena</t>
  </si>
  <si>
    <t>Vereda Las Pavitas</t>
  </si>
  <si>
    <t>Vereda La Atoyosa</t>
  </si>
  <si>
    <t>Corregimiento Naranjitas</t>
  </si>
  <si>
    <t>Sector la Esperanza</t>
  </si>
  <si>
    <t>Sector Dios es Amor</t>
  </si>
  <si>
    <t>Vereda El Coco  Kilometro 10</t>
  </si>
  <si>
    <t xml:space="preserve">Vereda aguas Vivas </t>
  </si>
  <si>
    <t>Vereda Arenosa</t>
  </si>
  <si>
    <t>Vereda Canal Uno</t>
  </si>
  <si>
    <t>Junta Administradora de Acueducto Carepita Canal Uno</t>
  </si>
  <si>
    <t>Corregimiento Piedras Blancas</t>
  </si>
  <si>
    <t xml:space="preserve">Junta Administradora de Acueducto y Alcantarillado Corregimiento Piedras Blancas </t>
  </si>
  <si>
    <t>Junta Administradora de Acueducto y Alcantarillado 28 de Octubre</t>
  </si>
  <si>
    <t>Asociacion comunitaria pasion casa verde</t>
  </si>
  <si>
    <t>VeredaEl Encanto</t>
  </si>
  <si>
    <t>Comite Empresarial El Encanto</t>
  </si>
  <si>
    <t>Junta Administradora de Acueducto Carepita Promexcol-Carepita Promexcol</t>
  </si>
  <si>
    <t>Vereda Zarabanda</t>
  </si>
  <si>
    <t>Junta Administradora de Acueducto  Zarabanda</t>
  </si>
  <si>
    <t>Vereda Eucalipto</t>
  </si>
  <si>
    <t>Junta Administradora de Acueducto  Eucalipto</t>
  </si>
  <si>
    <t>Vereda Belencito</t>
  </si>
  <si>
    <t>Junta Acción Comunal Vereda Belencito</t>
  </si>
  <si>
    <t>Vereda Caracolí</t>
  </si>
  <si>
    <t>Junta Administradora del Acueducto de Caracolí</t>
  </si>
  <si>
    <t>Vereda11 de Noviembre</t>
  </si>
  <si>
    <t>Junta Administradora de Acueducto y Alcantarillado Barrio 11 de Noviembre</t>
  </si>
  <si>
    <t>Vereda25 de Agosto</t>
  </si>
  <si>
    <t>Junta Administradora del Acueducto 25 de Agosto</t>
  </si>
  <si>
    <t>Bombeo Nueva Esperanza</t>
  </si>
  <si>
    <t>Acueducto Multiveredal El Silencio (La Union 15)-El Silencio</t>
  </si>
  <si>
    <t>Junta de Accion Comunal Corregimiento Barranquillita</t>
  </si>
  <si>
    <t>Vereda El Dos Guapa</t>
  </si>
  <si>
    <t>Junta de Accion Comunal Vereda El Dos - El Dos Guapá</t>
  </si>
  <si>
    <t>Junta de Accion Comunal Vereda El Dos - Guapá La India</t>
  </si>
  <si>
    <t>Junta de Accion Comunal Vereda El Dos - Guapá León</t>
  </si>
  <si>
    <t>Junta de Accion Comunal Chontadural</t>
  </si>
  <si>
    <t>Junta de Accion Comunal Pavarandocito</t>
  </si>
  <si>
    <t>Junta de Accion Comunal Nuevo Mundo</t>
  </si>
  <si>
    <t>Junta de Accion Comunal Caucheras</t>
  </si>
  <si>
    <t xml:space="preserve">Vereda Piñales-Bedo </t>
  </si>
  <si>
    <t>Junta de Accion Comunal Piñales - Bedo</t>
  </si>
  <si>
    <t>Junta de Accion Comunal Bejuquillo</t>
  </si>
  <si>
    <t>Vereda Tierra  Dentro</t>
  </si>
  <si>
    <t>Junta de Accion Comunal Tierra dentro</t>
  </si>
  <si>
    <t>Junta de Accion Comunal Porroso</t>
  </si>
  <si>
    <t>Junta de Accion Comunal Primavera</t>
  </si>
  <si>
    <t>Junta de Accion Comunal Los Cedros</t>
  </si>
  <si>
    <t>Aguas Regionales E.P.M S.A E.S.P.-Belén de Bajirá</t>
  </si>
  <si>
    <t>Junta de Accion Comunal Los Cacaos</t>
  </si>
  <si>
    <t>Comunidad Jaikerazaby</t>
  </si>
  <si>
    <t>Junta de Accion Comunal Vereda Villa Arteaga</t>
  </si>
  <si>
    <t>Vereda  Casa Blanca</t>
  </si>
  <si>
    <t>Vereda Carlos Carretera</t>
  </si>
  <si>
    <t>Vereda Cativo</t>
  </si>
  <si>
    <t>Vereda Bocas de Iguana</t>
  </si>
  <si>
    <t>Vereda Bobal La Playa</t>
  </si>
  <si>
    <t>Acueducto Corregimiento Mulatos</t>
  </si>
  <si>
    <t>Acueducto Corregimiento Las Changas</t>
  </si>
  <si>
    <t>Junta de Acción Comunal Corregimiento Pueblo Nuevo-Corregimiento Pueblo Nuevo</t>
  </si>
  <si>
    <t>Junta de Acción Comunal Corregimiento Pueblo Nuevo-Loma de Piedra</t>
  </si>
  <si>
    <t>Acuototumo -El Totumo</t>
  </si>
  <si>
    <t>Acueducto Vereda Casa Blanca</t>
  </si>
  <si>
    <t>Acueducto La Ceibita</t>
  </si>
  <si>
    <t>Acueducto Carlos Carretera</t>
  </si>
  <si>
    <t>Acueducto Multiveredal Villa Sonia-Villa Nueva</t>
  </si>
  <si>
    <t>Junta de Acción Comunal  Vereda El Cativo</t>
  </si>
  <si>
    <t>Acueducto Multiveredal Villa Sonia</t>
  </si>
  <si>
    <t>Acueducto Corregimiento El Mellito-El Mellito #1</t>
  </si>
  <si>
    <t>Acueducto Corregimiento El Mellito-El Mellito #2</t>
  </si>
  <si>
    <t>Acueducto Corregimiento Mello Villavicencio</t>
  </si>
  <si>
    <t>Acueducto Multiveredal Zapata</t>
  </si>
  <si>
    <t>Acueducto Vereda Mellito Alto</t>
  </si>
  <si>
    <t>Acueducto Multiveredal Zapata-Bocas de Iguana</t>
  </si>
  <si>
    <t>Sistemas Publicos S.A E.S.P.-SISPUB S.A E.S.P- Rio Necoclí</t>
  </si>
  <si>
    <t>Sistemas Publicos S.A E.S.P.-SISPUB S.A E.S.P-El Hoyito</t>
  </si>
  <si>
    <t>Sistemas Publicos S.A E.S.P.-SISPUB S.A E.S.P-Bobal La Playa</t>
  </si>
  <si>
    <t>Sistemas Publicos S.A E.S.P.-SISPUB S.A E.S.P-San Sebastian</t>
  </si>
  <si>
    <t>Acueducto Corregimiento Caribia</t>
  </si>
  <si>
    <t>Acueducto La Comarca</t>
  </si>
  <si>
    <t>Junta Administradora Santa Catalina</t>
  </si>
  <si>
    <t>Corregimiento  Damaquiel</t>
  </si>
  <si>
    <t>Corregimiento  San Nicolas de los  Rios</t>
  </si>
  <si>
    <t>Corregimiento Uvero</t>
  </si>
  <si>
    <t>Corregimiento Siete Vueltas</t>
  </si>
  <si>
    <t>Junta Acción Comunal</t>
  </si>
  <si>
    <t>Junta Administradora Caracoli</t>
  </si>
  <si>
    <t>Junta Administradora El Caño Margen Izquierda</t>
  </si>
  <si>
    <t>Junta Administradora Arenas Monas</t>
  </si>
  <si>
    <t>Junta Administradora Zumbido Medio</t>
  </si>
  <si>
    <t xml:space="preserve">Asociación de Trabajadores por el Litoral-Camerún </t>
  </si>
  <si>
    <t>Junta Administradora de Acueducto y Alcantarillado el Tres</t>
  </si>
  <si>
    <t>Asociación de Trabajadores por el Litoral-Aguas Claras</t>
  </si>
  <si>
    <t xml:space="preserve">Asociación de Trabajadores por el Litoral-La Martina </t>
  </si>
  <si>
    <t>Junta de Acccion Comunal San Vicente</t>
  </si>
  <si>
    <t>Junta de Accion Comunal San Jose de Mulatos</t>
  </si>
  <si>
    <t>Junta de Accion Comunal Nueva Antioquia</t>
  </si>
  <si>
    <t xml:space="preserve">Asociación de Trabajadores por el Litoral-Cope </t>
  </si>
  <si>
    <t xml:space="preserve">Asociación de Trabajadores por el Litoral-Piedrecitas </t>
  </si>
  <si>
    <t>Optima de Urabá S.A E.S.P-Rio Grande</t>
  </si>
  <si>
    <t>Optima de Urabá S.A E.S.P-Currulao</t>
  </si>
  <si>
    <t>Optima de Urabá S.A E.S.P-Nueva Colonia</t>
  </si>
  <si>
    <t>Asociación de Usuarios del Acueducto Corregimiento El Dos E.S.P Asoacuedos E.S.P</t>
  </si>
  <si>
    <t>Junta de accion comunal Alto Mulatos</t>
  </si>
  <si>
    <r>
      <t xml:space="preserve">SUBREGION: </t>
    </r>
    <r>
      <rPr>
        <sz val="11"/>
        <rFont val="Arial"/>
        <family val="2"/>
      </rPr>
      <t>URABA</t>
    </r>
  </si>
  <si>
    <t>Corregimiento de Labores</t>
  </si>
  <si>
    <t>Asociacion de Usuarios de Los Servicios Publicos de Labores (ASUL)</t>
  </si>
  <si>
    <t>Junta de Acción Comunal - Comite Empresarial  del Acueducto Vereda La Miel</t>
  </si>
  <si>
    <t>Vereda El Yuyal</t>
  </si>
  <si>
    <t>Asociacion de Usuarios de Acueducto El Yuyal</t>
  </si>
  <si>
    <t>Vereda La Amoladora</t>
  </si>
  <si>
    <t>Asociacion de Usuarios del Acueducto La Amoladora (ASUAMOL)</t>
  </si>
  <si>
    <t>Junta de Acción Comunal - Comite Empresarial  del  Acueducto La Candelaria</t>
  </si>
  <si>
    <t>Vereda Playas</t>
  </si>
  <si>
    <t>Asociacion de Usuarios del Acueducto Multiveredal Playas La Montaña, Zancudito, Potrerito (AUPLAM)-Las Playas</t>
  </si>
  <si>
    <t>Vereda Zancudito</t>
  </si>
  <si>
    <t>Asociacion de Usuarios del Acueducto Multiveredal Playas La Montaña, Zancudito, Potrerito (AUPLAM)-Zancudito</t>
  </si>
  <si>
    <t>Vereda Zafra</t>
  </si>
  <si>
    <t>Asociación de Usuarios del Acueducto Multiveredal Zafra Zancudito (ASUAZA)</t>
  </si>
  <si>
    <t>Asociacion de Usuarios del Acueducto El Hoyo (ASUDAH)</t>
  </si>
  <si>
    <t>Junta de Acción Comunal Vereda Travesías</t>
  </si>
  <si>
    <t>Vereda El Gurri</t>
  </si>
  <si>
    <t>Junta de Acción Comunal Vereda El Gurrí</t>
  </si>
  <si>
    <t>Vereda El Polvillo</t>
  </si>
  <si>
    <t>Junta de Acción Comunal Vereda El Polvillo</t>
  </si>
  <si>
    <t>Vereda La Rodriguez</t>
  </si>
  <si>
    <t>Junta de Acción Comunal La Rodríguez</t>
  </si>
  <si>
    <t>Vereda Alto de Chiri</t>
  </si>
  <si>
    <t>Junta de Acción Comunal Vereda Alto de Chiri</t>
  </si>
  <si>
    <t>Junta de Acción Comunal Pueblo Nuevo</t>
  </si>
  <si>
    <t>Vereda Chorrillos</t>
  </si>
  <si>
    <t>Junta de Acción Comunal Vereda Chorrillos</t>
  </si>
  <si>
    <t>Junta de Acción Comunal Vereda La Calera</t>
  </si>
  <si>
    <t>Vereda El Hoyo</t>
  </si>
  <si>
    <t>Junta de Acción Comunal Gurimán El Hoyo</t>
  </si>
  <si>
    <t>Vereda El Roblal</t>
  </si>
  <si>
    <t>Junta de Acción Comunal Vereda El Roblal</t>
  </si>
  <si>
    <t>Corregimiento Las Auras</t>
  </si>
  <si>
    <t>Junta Administradora de Acueducto Corregimiento Las Auras</t>
  </si>
  <si>
    <t>Vereda Moravia</t>
  </si>
  <si>
    <t>Junta de Acción comunal Vereda Moravia La Palomita</t>
  </si>
  <si>
    <t>Vereda Chorros Blancos Nº 1</t>
  </si>
  <si>
    <t xml:space="preserve">Vereda La Travesía </t>
  </si>
  <si>
    <t>Vereda Plan De Las Rosas</t>
  </si>
  <si>
    <t>Vereda La Colmena</t>
  </si>
  <si>
    <t>Vereda La Chiquita -Manzanillo</t>
  </si>
  <si>
    <t>Vereda  San Jose La Gloria-El Reposo</t>
  </si>
  <si>
    <t>Vereda El Piñal</t>
  </si>
  <si>
    <t>Vereda Los Ranchos</t>
  </si>
  <si>
    <t>Vereda Los Mangos</t>
  </si>
  <si>
    <t>Junta de Acción Comunal La Frisolera</t>
  </si>
  <si>
    <r>
      <t xml:space="preserve">SUBREGION: </t>
    </r>
    <r>
      <rPr>
        <sz val="11"/>
        <rFont val="Arial"/>
        <family val="2"/>
      </rPr>
      <t>NORTE</t>
    </r>
  </si>
  <si>
    <t>Vereda  La Camelia</t>
  </si>
  <si>
    <t>Secretaria de Medio Ambiente-La Camelia</t>
  </si>
  <si>
    <t>Vereda  La Maria</t>
  </si>
  <si>
    <t>Secretaria de Medio Ambiente-La Maria</t>
  </si>
  <si>
    <t>Vereda Claritas</t>
  </si>
  <si>
    <t>Secretaria de Medio Ambiente-Claritas</t>
  </si>
  <si>
    <t>Secretaria de Medio Ambiente -La Herradura</t>
  </si>
  <si>
    <t>Vereda La Granja La Vega El rio</t>
  </si>
  <si>
    <t>Secretaria de Medio Ambiente - La Granja La Vega El Rio</t>
  </si>
  <si>
    <t>Vereda Troneras</t>
  </si>
  <si>
    <t>Junta de Acción Comunal Vereda El Salto -Troneras</t>
  </si>
  <si>
    <t>Empresas Públicas de Medellín E.S.P-Las Brisas</t>
  </si>
  <si>
    <t>Junta de Acción Comunal San Andres</t>
  </si>
  <si>
    <t>Corregimiento Bellavista</t>
  </si>
  <si>
    <t>Junta de Acción Comunal Corregimiento Bellavista</t>
  </si>
  <si>
    <t>Vereda  La Montera</t>
  </si>
  <si>
    <t>Junta de Acción Comunal La Montera</t>
  </si>
  <si>
    <t xml:space="preserve">Vereda  La Frisolera </t>
  </si>
  <si>
    <t>Vereda  Animas Piedrahita</t>
  </si>
  <si>
    <t>Junta de Acción Comunal Animas Piedrahita</t>
  </si>
  <si>
    <t>Vereda El Progreso</t>
  </si>
  <si>
    <t>Acumultiveredal La Veta-El Progreso</t>
  </si>
  <si>
    <t>Vereda  El Filo</t>
  </si>
  <si>
    <t>Acumultiveredal La Veta-El Filo</t>
  </si>
  <si>
    <t>Acumultiveredal La Veta-Las Brisas</t>
  </si>
  <si>
    <t>Vereda Pio XII</t>
  </si>
  <si>
    <t>Acumultiveredal La Veta-Pio XII</t>
  </si>
  <si>
    <t>Acumultiveredal La Veta-Porvenir</t>
  </si>
  <si>
    <t>Acumultiveredal La Veta-El Tesoro</t>
  </si>
  <si>
    <t>Vereda Peñol</t>
  </si>
  <si>
    <t>Acueducto Multiveredal Manantiales-Peñol</t>
  </si>
  <si>
    <t>Vereda Riochico</t>
  </si>
  <si>
    <t>Acueducto Multiveredal Manantiales-Riochico</t>
  </si>
  <si>
    <t>Vereda Riogrande</t>
  </si>
  <si>
    <t>Acueducto Multiveredal Manantiales-Riogrande</t>
  </si>
  <si>
    <t>Vereda  Yerbabuena</t>
  </si>
  <si>
    <t>Acueducto Multiveredal Manantiales-Yerbabuena</t>
  </si>
  <si>
    <t>Asociacion de Usuarios Propietarios del Acueducto Vereda El Zancudo</t>
  </si>
  <si>
    <t>San Juan De Urabá</t>
  </si>
  <si>
    <t>Asociación de Usuarios Acueducto El  Salto (ASOACUA)- El Salto</t>
  </si>
  <si>
    <t>Vereda La Arenera</t>
  </si>
  <si>
    <t>Asociación de Usuarios Acueducto El  Salto (ASOACUA) -La Arenera</t>
  </si>
  <si>
    <t>Vereda Vega Botero</t>
  </si>
  <si>
    <t>Junta de Acción Comunal Vereda Vega Botero</t>
  </si>
  <si>
    <t xml:space="preserve">Vereda Lorica </t>
  </si>
  <si>
    <t xml:space="preserve">Junta de Acción Comunal Vereda Lorica </t>
  </si>
  <si>
    <t>Corregimiento La Estrella</t>
  </si>
  <si>
    <t>Asociación de Usuarios del Acueducto Corregimiento La Estrella E.S.P.</t>
  </si>
  <si>
    <t>Vereda San Fernandito</t>
  </si>
  <si>
    <t>Asociación de Usuarios del Acueducto Veredal San Fernandito E.S.P.</t>
  </si>
  <si>
    <t>Junta de Acción Comunal Vereda El Brasil</t>
  </si>
  <si>
    <t>Vereda La Bonita</t>
  </si>
  <si>
    <t>Junta de Acción Comunal Vereda La Bonita</t>
  </si>
  <si>
    <t>Vereda La Acequia</t>
  </si>
  <si>
    <t>Junta de Acción Comunal Vereda La Acequia</t>
  </si>
  <si>
    <t>Asociación de Usuarios Acueducto El Cerro</t>
  </si>
  <si>
    <t>Asociación de Usuarios Acueducto El Indio</t>
  </si>
  <si>
    <t>Asociación de Usuarios Acueducto El Guayabo</t>
  </si>
  <si>
    <t>Asociación de Usuarios Acueducto La Primavera</t>
  </si>
  <si>
    <t xml:space="preserve">Vereda La Hondura </t>
  </si>
  <si>
    <t xml:space="preserve">Junta de Acción Comunal Vereda La Hondura </t>
  </si>
  <si>
    <t xml:space="preserve">Vereda San Matias </t>
  </si>
  <si>
    <t xml:space="preserve">Junta de Acción Comunal Vereda San Matias </t>
  </si>
  <si>
    <t xml:space="preserve">Junta de Acción Comunal Vereda Cañaveral </t>
  </si>
  <si>
    <t xml:space="preserve">Vereda La Contrata </t>
  </si>
  <si>
    <t xml:space="preserve">Asociacion de Usuarios Vereda La Contrata </t>
  </si>
  <si>
    <t>Vereda El Tablon</t>
  </si>
  <si>
    <t>Asociación de Usuarios Acueducto El Tablon</t>
  </si>
  <si>
    <t xml:space="preserve">Vereda Quebradona </t>
  </si>
  <si>
    <t xml:space="preserve">Asociación de Usuarios Acueducto Aguas Unidas - Quebradona </t>
  </si>
  <si>
    <t>Vereda Quebradoncita</t>
  </si>
  <si>
    <t>Junta de Acción Comunal Vereda Aguas Unidas Quebradoncita</t>
  </si>
  <si>
    <t>Vereda La Bayadera</t>
  </si>
  <si>
    <t>Asociación de Usuarios Acueducto La Bayadera</t>
  </si>
  <si>
    <t>Vereda La Divisa</t>
  </si>
  <si>
    <t>Junta Administradora La Divisa</t>
  </si>
  <si>
    <t>Vereda Guadalupe IV</t>
  </si>
  <si>
    <t>Empresas Publicas de Medellin E.S.P.Los Cedros-Guadalupe IV</t>
  </si>
  <si>
    <t>Empresa de Servicios Publicos de Guadalupe S.A.S. E.S.P.-Montañita</t>
  </si>
  <si>
    <t>Vereda Candelaria</t>
  </si>
  <si>
    <t>Asociación de Usuarios del Acueducto Veredal La Candelaria</t>
  </si>
  <si>
    <t>Vereda Guanteros</t>
  </si>
  <si>
    <t>Junta Administradora Acueducto Guanteros</t>
  </si>
  <si>
    <t>Vereda El Machete</t>
  </si>
  <si>
    <t>ASOMAGUBA-El Machete</t>
  </si>
  <si>
    <t>Vereda Malabrigo</t>
  </si>
  <si>
    <t>Junta Administradora del Acueducto Malabrigo</t>
  </si>
  <si>
    <t>Vereda San Basilio Abajo</t>
  </si>
  <si>
    <t>Asociacion de Usuarios del Acueducto San Basilio Bajo</t>
  </si>
  <si>
    <t>Vereda Bramadora</t>
  </si>
  <si>
    <t>Junta Administradora El Perico Guadalupe IV-Bramadora</t>
  </si>
  <si>
    <t>Vereda Plan de Perez</t>
  </si>
  <si>
    <t>Junta Administradora de Acueducto Vereda Plan de Perez</t>
  </si>
  <si>
    <t>Vereda San Basilio Medio</t>
  </si>
  <si>
    <t>Junta Administradora del Acueducto San Basilio Medio</t>
  </si>
  <si>
    <t>Vereda Puente Acacias</t>
  </si>
  <si>
    <t>Asociacion de Usuarios del Acueducto Puente Acacias</t>
  </si>
  <si>
    <t>Junta Administradora Acueducto El Morro</t>
  </si>
  <si>
    <t>Asociacion de Usuarios del Acueducto Veredal "Gotas de Agua Pura"-El Guadual</t>
  </si>
  <si>
    <t>Corregimiento de la Granja</t>
  </si>
  <si>
    <t>Junta Administradora Acueducto Corregimiento de la Granja</t>
  </si>
  <si>
    <t>Junta Administradora Acueducto Multiveredal Paloblanco - Buena Vista</t>
  </si>
  <si>
    <t>Vereda La Hundida</t>
  </si>
  <si>
    <t>Junta Administradora Acueducto Multiveredal Paloblanco - La Hundida</t>
  </si>
  <si>
    <t>Vereda Guacharaquero</t>
  </si>
  <si>
    <t>Junta Administradora Acueducto Guacharaquero - La Honda Predio Carlos Taborda</t>
  </si>
  <si>
    <t>Junta Administradora Acueducto Guacharaquero-Arenales</t>
  </si>
  <si>
    <t>Junta de Acción Comunal  Santa Rita - La Hermosa</t>
  </si>
  <si>
    <t>Junta de Acción Comunal  Santa Rita-Arenales</t>
  </si>
  <si>
    <t>Corregimiento El Aro</t>
  </si>
  <si>
    <t>Junta de Acción Comunal  Corregimiento El Aro</t>
  </si>
  <si>
    <t>Junta de Acción Comunal  Santa Rita-Pueblo Nuevo</t>
  </si>
  <si>
    <t>Junta de Acción Comunal Santa Lucia</t>
  </si>
  <si>
    <t>Junta de Acción Comunal  Santa Ana</t>
  </si>
  <si>
    <t>Vereda Pascuita</t>
  </si>
  <si>
    <t>Junta de Acción Comunal Pascuita- Pascuita</t>
  </si>
  <si>
    <t>Junta de Acción Comunal Pascuita-  Palmichal</t>
  </si>
  <si>
    <t>Vereda Las Agüitas</t>
  </si>
  <si>
    <t>Junta de Acción Comunal Pascuita- Las Agüitas</t>
  </si>
  <si>
    <t>Vereda Candelaria Alta</t>
  </si>
  <si>
    <t>Junta Administradora Acueducto de La Candelaria Alta</t>
  </si>
  <si>
    <t>Vereda Brisas</t>
  </si>
  <si>
    <t>Junta Administradora de Acueducto Vereda Brisas</t>
  </si>
  <si>
    <t>Vereda El Cedral</t>
  </si>
  <si>
    <t>Junta Administradora de Acueducto El Cedral</t>
  </si>
  <si>
    <t>Vereda El Tejar</t>
  </si>
  <si>
    <t>Junta Administradora de Acueducto Vereda El Tejar</t>
  </si>
  <si>
    <t>Junta de Administradora de Acueducto La Miranda</t>
  </si>
  <si>
    <t>Vereda Candelaria Baja</t>
  </si>
  <si>
    <t>Junta Administradora de Acueducto Candelaria Baja</t>
  </si>
  <si>
    <t>Junta Administradora Acueducto Multiveredal Chontaduro-Chontaduro</t>
  </si>
  <si>
    <t>Vereda Bajo Ingles</t>
  </si>
  <si>
    <t>Junta Administradora de Acueducto Vereda Bajo Ingles</t>
  </si>
  <si>
    <t>Vereda Las Aguilas</t>
  </si>
  <si>
    <t>Junta Administradora de Acueducto La Georgia-Las Aguilas</t>
  </si>
  <si>
    <t>Vereda El Quibral</t>
  </si>
  <si>
    <t>Junta Administradora de Acueducto La Georgia-El Quibral</t>
  </si>
  <si>
    <t>Junta Administradora de Acueducto La Georgia-El Calvario</t>
  </si>
  <si>
    <t>Vereda Camelia Alta</t>
  </si>
  <si>
    <t xml:space="preserve">Junta de Acción Comunal La Estrella-Camelia Alta </t>
  </si>
  <si>
    <t xml:space="preserve">Junta de Acción Comunal El Tinto La Florida-La Florida </t>
  </si>
  <si>
    <t>Vereda El Tinto La Florida</t>
  </si>
  <si>
    <t>Junta de Acción Comunal El Porvenir-El Tinto La Florida</t>
  </si>
  <si>
    <t>Vereda Paloblanco</t>
  </si>
  <si>
    <t>Junta Administradora Acueducto Multiveredal Paloblanco - Paloblanco</t>
  </si>
  <si>
    <t>Junta Administradora Acueducto  La Honda</t>
  </si>
  <si>
    <t xml:space="preserve">Vereda San Isidro </t>
  </si>
  <si>
    <t>Junta Administradora Acueducto San Isidro</t>
  </si>
  <si>
    <t>Vereda Las Arañas</t>
  </si>
  <si>
    <t>Junta de Acción Comunal Las Arañas</t>
  </si>
  <si>
    <t>Junta Administradora de Acueducto Vereda Las Cuatro</t>
  </si>
  <si>
    <t>Vereda Pio X</t>
  </si>
  <si>
    <t>Junta Administradora Acueducto Vereda Pio X</t>
  </si>
  <si>
    <t>Sector Requintadero</t>
  </si>
  <si>
    <t>Junta Administradora Acueducto de Requintadero</t>
  </si>
  <si>
    <t>Junta Administradora Acueducto Multiveredal Chontaduro - Murrapal</t>
  </si>
  <si>
    <t>Vereda Cenizas</t>
  </si>
  <si>
    <t>Junta Administradora Acueducto Multiveredal Chontaduro - Cenizas</t>
  </si>
  <si>
    <t>Vereda Loma Grande</t>
  </si>
  <si>
    <t>Junta de Acción Comunal Vereda Loma Grande</t>
  </si>
  <si>
    <t>Vereda Alto Seco</t>
  </si>
  <si>
    <t>Junta de Acción Comunal Vereda Alto Seco</t>
  </si>
  <si>
    <t>Junta de Acción Comunal Vereda El Morro</t>
  </si>
  <si>
    <t>Vereda Media Loma</t>
  </si>
  <si>
    <t>Junta de Acción Comunal Vereda Media Loma</t>
  </si>
  <si>
    <t>Junta de Acción Comunal Vereda Santa Gertrudis</t>
  </si>
  <si>
    <t>Junta de Acción Comunal Vereda San Miguel</t>
  </si>
  <si>
    <t>Junta de Acción Comunal Vereda Travesias</t>
  </si>
  <si>
    <t>Junta de Acción Comunal Vereda Cienaga</t>
  </si>
  <si>
    <t>Junta de Acción Comunal Vereda Cruces</t>
  </si>
  <si>
    <t>Vereda Cordillera</t>
  </si>
  <si>
    <t>Vereda Loma del Indio</t>
  </si>
  <si>
    <t>Junta de Acción Comunal Vereda Loma del Indio</t>
  </si>
  <si>
    <t>Junta de Acción Comunal Vereda Montebello</t>
  </si>
  <si>
    <t>Junta de Acción Comunal Vereda La Chorrera</t>
  </si>
  <si>
    <t>Vereda El Bujio</t>
  </si>
  <si>
    <t>Junta de Acción Comunal Vereda El Bujio</t>
  </si>
  <si>
    <t xml:space="preserve"> Vereda El Mico</t>
  </si>
  <si>
    <t>Junta de Acción Comunal Vereda Tabor-El Mico</t>
  </si>
  <si>
    <t xml:space="preserve"> Vereda Cañadusalez</t>
  </si>
  <si>
    <t>Junta de Acción Comunal Vereda Cañaduzales</t>
  </si>
  <si>
    <t>Vereda Vereda Lejia</t>
  </si>
  <si>
    <t>Junta de Acción Comunal Vereda La Lejia</t>
  </si>
  <si>
    <t xml:space="preserve"> Vereda Potrerito</t>
  </si>
  <si>
    <t>Junta de Acción Comunal Potrerito</t>
  </si>
  <si>
    <t>Vereda El Caribe</t>
  </si>
  <si>
    <t>Asociación de Usuarios Manantiales La Arabia</t>
  </si>
  <si>
    <t>Vereda Camburé</t>
  </si>
  <si>
    <t>Junta de Acción Comunal Camburé</t>
  </si>
  <si>
    <t>San José de La Montaña</t>
  </si>
  <si>
    <t xml:space="preserve"> Vereda La Pulgarina</t>
  </si>
  <si>
    <t>Asociacion de Usuarios Acueducto de la Vereda La Pulgarina (ASOPUL)</t>
  </si>
  <si>
    <t xml:space="preserve"> Vereda Alto De Medina</t>
  </si>
  <si>
    <t>Asociacion de Usuarios del Acueducto Alto de Medina</t>
  </si>
  <si>
    <t xml:space="preserve"> Vereda Pantanillo</t>
  </si>
  <si>
    <t>Asociacion de Usuarios del Acueducto de las Veredas Espiritu Santo, Pantanillo (ASUAVEP)</t>
  </si>
  <si>
    <t xml:space="preserve"> Vereda Montefrio</t>
  </si>
  <si>
    <t>Asociacion de Usuarios del Acueducto Multiveredal Montefrio-Montefrio</t>
  </si>
  <si>
    <t xml:space="preserve"> Vereda San Francisco</t>
  </si>
  <si>
    <t>Junta Administradora del Acueducto San Francisco-ACUASFRAN</t>
  </si>
  <si>
    <t xml:space="preserve"> Vereda Monterredondo</t>
  </si>
  <si>
    <t>Acueducto de Monterredondo-Monterredondo</t>
  </si>
  <si>
    <t xml:space="preserve"> Vereda La Maria</t>
  </si>
  <si>
    <t>Asociacion de Usuarios del Acueducto San Juan La Maria (ASOJUMARIA)-La Maria</t>
  </si>
  <si>
    <t xml:space="preserve"> Vereda La Cuchilla</t>
  </si>
  <si>
    <t>Asociacion de Usuarios Junta Administradora Acueducto La Cuchilla San Pedro</t>
  </si>
  <si>
    <t xml:space="preserve"> Vereda  Ovejas</t>
  </si>
  <si>
    <t>Asociación de Usuarios del Acueducto de Ovejas (AACO)</t>
  </si>
  <si>
    <t xml:space="preserve"> Vereda La Empalizada</t>
  </si>
  <si>
    <t>Acueducto La Empalizada</t>
  </si>
  <si>
    <t xml:space="preserve"> Vereda La Lana</t>
  </si>
  <si>
    <t>Asociación de Usuarios del Acueducto La Lana</t>
  </si>
  <si>
    <t xml:space="preserve"> Vereda La Palma</t>
  </si>
  <si>
    <t>Asociación de Usuarios del Acueducto La Palma</t>
  </si>
  <si>
    <t xml:space="preserve"> Vereda La Clarita </t>
  </si>
  <si>
    <t>Asociacion de Usuarios del Acueducto de la Vereda Buenos Aires</t>
  </si>
  <si>
    <t xml:space="preserve"> Vereda San Juan</t>
  </si>
  <si>
    <t>Asociacion de Usuarios del Acueducto San Juan La Maria (ASOJUMARIA)-San Juan</t>
  </si>
  <si>
    <t xml:space="preserve"> Vereda Cerezales</t>
  </si>
  <si>
    <t>Asociacion de Usuarios del Acueducto Multiveredal Montefrio-Cerezales</t>
  </si>
  <si>
    <t>Vereda Santa Bárbara 2</t>
  </si>
  <si>
    <t>Acueducto Santa Bárbara 2</t>
  </si>
  <si>
    <t>Vereda San Jose la Ahumada</t>
  </si>
  <si>
    <t>Asociacion de Usuarios Acueducto ACUESANA -San Jose la Ahumada</t>
  </si>
  <si>
    <t>Corregimiento  San Pablo</t>
  </si>
  <si>
    <t>Asociación de Usuarios del Acueducto y Alcantarillado de San Pablo</t>
  </si>
  <si>
    <t xml:space="preserve">Vereda Santa Ana </t>
  </si>
  <si>
    <t xml:space="preserve">Asociación de Usuarios del Acueducto Multiveredal AMORSSAN- Santa Ana </t>
  </si>
  <si>
    <t>Corregimiento  San Isidro</t>
  </si>
  <si>
    <t xml:space="preserve">Asociación de Usuarios del Acueducto San Isidro </t>
  </si>
  <si>
    <t>Corregimiento Aragón</t>
  </si>
  <si>
    <t xml:space="preserve">Junta Administradora Acueducto Aragon </t>
  </si>
  <si>
    <t xml:space="preserve">Vereda Pontezuela </t>
  </si>
  <si>
    <t>Asociacion de Usuarios Acuadueducto Multiveredal Pontezuela</t>
  </si>
  <si>
    <t>Vereda Malambo</t>
  </si>
  <si>
    <t xml:space="preserve">Asociación de Usuarios Acueducto y Alcantarillado Malambo ASAYAMA </t>
  </si>
  <si>
    <t xml:space="preserve">Junta Administradora Acueducto La Lomita </t>
  </si>
  <si>
    <t>Corregimiento  Hoyorrico</t>
  </si>
  <si>
    <t>Asociación de Usuarios Acueducto Multiveredal La Cejita, San Francisco y Hoyorrico - Hoyorrico</t>
  </si>
  <si>
    <t>Asociación de Usuarios Acueducto Multiveredal La Cejita, San Francisco y Hoyorrico - San Francisco</t>
  </si>
  <si>
    <t xml:space="preserve">Aociacion de Usurios Acueducto El Chaquiro </t>
  </si>
  <si>
    <t xml:space="preserve">Vereda La Piedra </t>
  </si>
  <si>
    <t xml:space="preserve">Asociacion de Usurios Acueducto La Piedra </t>
  </si>
  <si>
    <t>Vereda Minavieja</t>
  </si>
  <si>
    <t>Asociacion de Usuarios Acueducto El Titan</t>
  </si>
  <si>
    <t>Vereda Ahitoncito</t>
  </si>
  <si>
    <t xml:space="preserve">Junta Administradora Acueducto Ahitoncito </t>
  </si>
  <si>
    <t xml:space="preserve">Asociación Acueducto Remanso de Paz de La Vereda El Vergel </t>
  </si>
  <si>
    <t>Vereda Orobajo</t>
  </si>
  <si>
    <t>Asociación de Usuarios del Acueducto Multiveredal AMORSSAN-Orobajo Santa Ines</t>
  </si>
  <si>
    <t xml:space="preserve">Vereda Los Salados  </t>
  </si>
  <si>
    <t xml:space="preserve">Asociación de Usuarios del Acueducto Multiveredal AMORSSAN-Los Salados  </t>
  </si>
  <si>
    <t>Asociación de Usuarios del Acueducto Multiveredal AMORSSAN-La Muñoz</t>
  </si>
  <si>
    <t>Corregimiento Riogrande</t>
  </si>
  <si>
    <t>Asociación de Socios Acueducto y Alcantarillado Corregimiento de Riogrande-ASAACOR</t>
  </si>
  <si>
    <t>Vereda Orobajo -  Riogrande</t>
  </si>
  <si>
    <t>Asociación de Usuarios del Acueducto Multiveredal AMORSSAN-Riogrande</t>
  </si>
  <si>
    <t xml:space="preserve">Junta Administradora Acueducto La Clara </t>
  </si>
  <si>
    <t>Vereda El Caney</t>
  </si>
  <si>
    <t>Asociación de Usuarios del Acueducto El Caney</t>
  </si>
  <si>
    <t>Asociación de Usuarios Acueducto Allachí-El Llano</t>
  </si>
  <si>
    <t>Vereda Chilimaco</t>
  </si>
  <si>
    <t>Asociación de Usuarios Acueducto Allachí-Chilimaco</t>
  </si>
  <si>
    <t>Vereda Salamina</t>
  </si>
  <si>
    <t>Asociación de Usuarios del Acueducto La Pava Salamina -Salamina</t>
  </si>
  <si>
    <t>Vereda La Pava</t>
  </si>
  <si>
    <t>Asociación de Usuarios del Acueducto La Pava Salamina -La Pava</t>
  </si>
  <si>
    <t>Junta Administradora Acueducto Fronteras-Montefrio</t>
  </si>
  <si>
    <t>Junta Administradora Acueducto Fronteras-Barrancas</t>
  </si>
  <si>
    <t xml:space="preserve">Vereda Buenavista </t>
  </si>
  <si>
    <t>Unidad de Servicios Publicos Domiciliarios E.S.P. del Municipio de Toledo -Vereda Buenavista</t>
  </si>
  <si>
    <t>Vereda Miraflores</t>
  </si>
  <si>
    <t>Junta de Acción Comunal de Miraflores</t>
  </si>
  <si>
    <t xml:space="preserve">Junta de Acción Comunal Vereda Barrancas </t>
  </si>
  <si>
    <t>Vereda Brugo</t>
  </si>
  <si>
    <t>Juntade Acuedcuto Vereda de Brugo</t>
  </si>
  <si>
    <t xml:space="preserve">Corregimiento del Valle </t>
  </si>
  <si>
    <t>Unidad de Servicios Publicos Domiciliarios E.S.P. del Municipio de Toledo-Corregimiento del Valle de Toledo</t>
  </si>
  <si>
    <t>Vereda El Cantaro</t>
  </si>
  <si>
    <t>Junta de Acción Comunal Vereda El Cantaro</t>
  </si>
  <si>
    <t>Vereda Biogui</t>
  </si>
  <si>
    <t>Junta de Acuedcuto Vereda Biogui</t>
  </si>
  <si>
    <t>Helechales</t>
  </si>
  <si>
    <t xml:space="preserve">Junta de Acción Comunal Vereda Helechales </t>
  </si>
  <si>
    <t>Unidad de Servicios Publicos Domiciliarios E.S.P. del Municipio de Toledo -Vereda Guayabal</t>
  </si>
  <si>
    <t xml:space="preserve">Vereda Florida </t>
  </si>
  <si>
    <t xml:space="preserve">Junta de Acueducto  Vereda Florida </t>
  </si>
  <si>
    <t>Vereda Taque</t>
  </si>
  <si>
    <t>Junta de Acuedcuto Vereda Taque</t>
  </si>
  <si>
    <t>La Linda</t>
  </si>
  <si>
    <t>Unidad de Servicios Publicos Domiciliarios E.S.P. del Municipio de Toledo -Verda La Linda</t>
  </si>
  <si>
    <t>Vereda El Quince</t>
  </si>
  <si>
    <t>Junta de Acción Comunal El Quince</t>
  </si>
  <si>
    <t>Vereda El Nevado</t>
  </si>
  <si>
    <t>Junta de Acción Comunal El Nevado</t>
  </si>
  <si>
    <t>Vereda La Habana</t>
  </si>
  <si>
    <t>Junta de Acción Comunal Caracoli-La Habana</t>
  </si>
  <si>
    <t>Vereda Palomas</t>
  </si>
  <si>
    <t>Junta de Acción Comunal Palomas</t>
  </si>
  <si>
    <t>Vereda Puerto Raudal</t>
  </si>
  <si>
    <t>Junta de Acción Comunal Puerto Raudal</t>
  </si>
  <si>
    <t>Corregimiento Puerto Valdivia</t>
  </si>
  <si>
    <t>Junta de Acción Comunal Puerto Valdivia</t>
  </si>
  <si>
    <t>Corregimiento Raudal</t>
  </si>
  <si>
    <t>Junta de Acción Comunal Raudal</t>
  </si>
  <si>
    <t>Vereda Zorras</t>
  </si>
  <si>
    <t>Junta de Acción Comunal Buenos Aires</t>
  </si>
  <si>
    <t>Corregimiento Llanos de Cuiva</t>
  </si>
  <si>
    <t>ASPROLLAC-Corregimiento Llanos de Cuiva</t>
  </si>
  <si>
    <t>Vereda Jose Maria Cordoba</t>
  </si>
  <si>
    <t>Junta Administradora del Acueducto Jose Maria Cordoba</t>
  </si>
  <si>
    <t>Vereda Mina Vieja</t>
  </si>
  <si>
    <t>Junta del Acción Comunal Mina Vieja</t>
  </si>
  <si>
    <t>Corregimiento Cedeño</t>
  </si>
  <si>
    <t>Asociación del Usuraios Acueducto Cedeño Asouace</t>
  </si>
  <si>
    <t>Corregimiento Ochali</t>
  </si>
  <si>
    <t>Junta Administardora del Acueducto Ochali</t>
  </si>
  <si>
    <t>Corregimiento El Cedro</t>
  </si>
  <si>
    <t>Junta Administardora del Acueducto El Cedro</t>
  </si>
  <si>
    <t>Vereda  La Estrella</t>
  </si>
  <si>
    <t xml:space="preserve">Junta Admnistradora del Acueduto Mallarino - La Estrella </t>
  </si>
  <si>
    <t>Corregimiento El Llano de Yarumal</t>
  </si>
  <si>
    <t>Junta Administardora del Acueducto El Llano de Yarumal</t>
  </si>
  <si>
    <t>Corregimiento la Loma</t>
  </si>
  <si>
    <t>Junta Administradora Acueducto La Loma</t>
  </si>
  <si>
    <t>Corregimiento El Pueblito</t>
  </si>
  <si>
    <t>Junta Administradora del Acueducto El Pueblito</t>
  </si>
  <si>
    <t>Vereda  Chorros Blancos Abajo</t>
  </si>
  <si>
    <t>Junta Administradora del Acueducto Chorros Blancos Abajo</t>
  </si>
  <si>
    <t>Apartadó</t>
  </si>
  <si>
    <t>Mutatá</t>
  </si>
  <si>
    <t>Chigorodó</t>
  </si>
  <si>
    <t>Necoclí</t>
  </si>
  <si>
    <t>Entrerríos</t>
  </si>
  <si>
    <t>Abriaquí</t>
  </si>
  <si>
    <t>Anzá</t>
  </si>
  <si>
    <t>Ebéjico</t>
  </si>
  <si>
    <t>Amagá</t>
  </si>
  <si>
    <t>Angelópolis</t>
  </si>
  <si>
    <t>Támesis</t>
  </si>
  <si>
    <t>Nechí</t>
  </si>
  <si>
    <t>Puerto Berrío</t>
  </si>
  <si>
    <t>Yondó</t>
  </si>
  <si>
    <t>Anorí</t>
  </si>
  <si>
    <t>Vegachí</t>
  </si>
  <si>
    <t>Yalí</t>
  </si>
  <si>
    <t>Yolombó</t>
  </si>
  <si>
    <t>Corregimiento Santa Elena</t>
  </si>
  <si>
    <t>Corporación de Acueducto Mazo</t>
  </si>
  <si>
    <t>Corporación de Acueducto Las Flores</t>
  </si>
  <si>
    <t>Corregimiento Altavista</t>
  </si>
  <si>
    <t>Junta Administradora Acueducto  Manzanillo</t>
  </si>
  <si>
    <t>Junta Administradora Acueducto Aguas Frías</t>
  </si>
  <si>
    <t>Corporación de Acueducto Altavista-Buga</t>
  </si>
  <si>
    <t>Corporación de Acueducto Altavista-Escolástica</t>
  </si>
  <si>
    <t>Corporación de Acueducto Agua Pura</t>
  </si>
  <si>
    <t>Corregimiento San Antonio de Prado</t>
  </si>
  <si>
    <t>Corporación de Acueducto San José</t>
  </si>
  <si>
    <t>Junta Administradora de Acueducto  La Sorbetana</t>
  </si>
  <si>
    <t>Corporación de Acueducto Montañita</t>
  </si>
  <si>
    <t>Junta Administradora Acueducto El Manantial</t>
  </si>
  <si>
    <t xml:space="preserve">Junta Administradora de Servicios Acueducto y Alcantarillado El Vergel </t>
  </si>
  <si>
    <t>Junta Administradora Acueducto El Hato</t>
  </si>
  <si>
    <t>Junta Administradora Acueducto La Iguaná</t>
  </si>
  <si>
    <t>Corporación de Acueducto Arcoiris</t>
  </si>
  <si>
    <t>Corporación de Acueducto La Acuarela</t>
  </si>
  <si>
    <t xml:space="preserve">Empresas Públicas de Medellín ESP San Antonio de Prado </t>
  </si>
  <si>
    <t>Empresas Públicas de Medellín ESP San Cristóbal</t>
  </si>
  <si>
    <t>Empresas Públicas de Medellín ESP Aguas Frias</t>
  </si>
  <si>
    <t>Empresas Públicas de Medellín ESP Palmitas</t>
  </si>
  <si>
    <t>Medellín Suburbano</t>
  </si>
  <si>
    <t>Corporación de Asociados del Acueducto Isaac Gaviria</t>
  </si>
  <si>
    <t>Palmitas</t>
  </si>
  <si>
    <t>Corporación de acueducto Multiveredal Palmitas-La China</t>
  </si>
  <si>
    <t>Corregimiento El Hatillo</t>
  </si>
  <si>
    <t>Asociacion de Acueducto y /o Alcantarillado El Hatillo</t>
  </si>
  <si>
    <t>Acueducto Veredal Buga Cuenca Prehispanica</t>
  </si>
  <si>
    <t>Asociación de Usuarios del Acueducto Multiveredal Aguas Cristalinas (AUAMAC)-La Tolda</t>
  </si>
  <si>
    <t>Vereda San Eugenio-San Eugenio</t>
  </si>
  <si>
    <t>Asociación de Usuarios del Acueducto y/o Alcantarillado del Paraiso Corregimiento del Hatillo</t>
  </si>
  <si>
    <t>Comité Pro Acueductos Mocorongo</t>
  </si>
  <si>
    <t>Acueducto Veredal Buga La Estación</t>
  </si>
  <si>
    <t>Vereda Platanito Parte Baja</t>
  </si>
  <si>
    <t>Asociación de Usuarios de La Vereda Platanito-Platanito Parte Baja</t>
  </si>
  <si>
    <t>Asociación de Usuarios del Acueducto de Buenos Aires</t>
  </si>
  <si>
    <t>Vereda La Ese</t>
  </si>
  <si>
    <t>Asociación de Usuarios del Acueducto La Delgadita</t>
  </si>
  <si>
    <t>Acueducto Parcelación Estación Popalito</t>
  </si>
  <si>
    <t>Asociacion de Usuarios Acueducto Veredal Monteloro</t>
  </si>
  <si>
    <t>Vereda Matasano-Sector La Escuela</t>
  </si>
  <si>
    <t>Comité de Acueducto Vereda Matasano –Sector La Escuela</t>
  </si>
  <si>
    <t>Vereda Matasano Parte Alta</t>
  </si>
  <si>
    <t>Asociación de Usuarios Acueducto Veredal Matasano Parte Alta</t>
  </si>
  <si>
    <t>Vereda  El Viento</t>
  </si>
  <si>
    <t>Acueducto Multiveredal El Viento y El Hoyo  Parte Alta</t>
  </si>
  <si>
    <t xml:space="preserve">Vereda La Lomita </t>
  </si>
  <si>
    <t>Asociación Acueducto Lomitas- Primavera de Barbosa</t>
  </si>
  <si>
    <t>Acueducto Vereda Graciano</t>
  </si>
  <si>
    <t>Asociación de Usuarios del Acueducto y/o Alcantarillado de La Vereda Popalito (ASUAP)-Popalito</t>
  </si>
  <si>
    <t>VeredaTamborcito</t>
  </si>
  <si>
    <t>Asociación de Usuarios del Acueducto Yarumito-Tamborcito</t>
  </si>
  <si>
    <t>Corporación de Acueducto Vereda Aguas Claras Arriba</t>
  </si>
  <si>
    <t>Asociación de Usuarios del Acueducto Multiveredal La Quiebra, Dos Quebradas, Volantín y Tamborcito Barbosa “La Gota de Agua”-La Quiebra</t>
  </si>
  <si>
    <t>Asociación de Usurios del Acueducto El Venado de Las Veredas Chorrohondo y La Meseta</t>
  </si>
  <si>
    <t>Asociación  Acueducto Vereda El Guayabo de Barbosa</t>
  </si>
  <si>
    <t>Vereda La Cuesta</t>
  </si>
  <si>
    <t>Asociación de Usuarios del Acueducto El Peñasco (AUAP)-La Cuesta</t>
  </si>
  <si>
    <t>Vereda Chapa Parte Baja</t>
  </si>
  <si>
    <t>Acueducto de la Vereda El Cortado</t>
  </si>
  <si>
    <t>Acueducto Veredal La Chorrera</t>
  </si>
  <si>
    <t>La Asociación de Usuarios Acueducto Lajas-La Herradura Vereda Las Lajas</t>
  </si>
  <si>
    <t>La Asociación de Usuarios Acueducto Lajas-La Herradura Vereda La Herradura</t>
  </si>
  <si>
    <t>Vereda Pachohondo</t>
  </si>
  <si>
    <t>Comité Pro Acueductos Pachohondo</t>
  </si>
  <si>
    <t>Urbanización Villa Roca</t>
  </si>
  <si>
    <t>Acueducto Urbanización Villa Roca</t>
  </si>
  <si>
    <t>Vereda Cuartas-El Despiste</t>
  </si>
  <si>
    <t>Asociación de Usuarios Acueducto Vereda Cuartas Sector El despiste</t>
  </si>
  <si>
    <t>Vereda Potrerito-Zona Rural</t>
  </si>
  <si>
    <t>Junta de Accion Comunal Vereda Potrerito - Bello Zona Rural.</t>
  </si>
  <si>
    <t>Vereda Tierra Adentro Parte Alta</t>
  </si>
  <si>
    <t>Asociacion de Usuarios de Acueducto y Alcantarillado Vereda Tierradentro Parte Alta</t>
  </si>
  <si>
    <t>Vereda El Cabuyal, parte de Salinas</t>
  </si>
  <si>
    <t>Vereda Peñolcito Parte Alta,  sector de  Autopista Medellín-Bogotá</t>
  </si>
  <si>
    <t>Vereda Zarzal Curazao y parte de la vereda zarzal la Luz</t>
  </si>
  <si>
    <t>La Veta el Pinar y sector Pitaya Cocorollo en el Noral</t>
  </si>
  <si>
    <t xml:space="preserve">Vereda Peñolcito parte baja y un sector de Montañita </t>
  </si>
  <si>
    <t>Vereda Zarzal la Luz, parte de Zarzal Curazao y Patre del Noral</t>
  </si>
  <si>
    <t>Paraje Montañuela y parte de la autopista Medellín-Bogotá</t>
  </si>
  <si>
    <t>Alto de La Virgen</t>
  </si>
  <si>
    <t>Vereda Quebrada Arriba y sector de la autopista Medellín-Bogotá</t>
  </si>
  <si>
    <t>Veredas quebrada Arriba, Sabaneta, El Salado</t>
  </si>
  <si>
    <t>Veredas quebrada Arriba, Sabaneta, El Salado, Alvarado, Peñolcito, Montañita,  Canoas, y Ancón 1</t>
  </si>
  <si>
    <t>Vereda Montañita parte baja, Canoas y Barrio Maria.</t>
  </si>
  <si>
    <t>Salinas, El  Llano, El Convento, Loma de los Garcia y de los Duque.</t>
  </si>
  <si>
    <t>La Veta parte baja</t>
  </si>
  <si>
    <t>La Veta Centro</t>
  </si>
  <si>
    <t>Vereda el Cabuyal sector las Margaritas</t>
  </si>
  <si>
    <t>Vereda Granizal parte baja</t>
  </si>
  <si>
    <t>Vereda Los Encenillos</t>
  </si>
  <si>
    <t>Junta Administradora Acueducto El Sesenta</t>
  </si>
  <si>
    <t>VeredaLa Chuscala</t>
  </si>
  <si>
    <t>Corrala Parte Baja</t>
  </si>
  <si>
    <t>Comité de Acueducto J.A.C. La Corrala y Corrala Parte Baja</t>
  </si>
  <si>
    <t>VeredaLa Corrala</t>
  </si>
  <si>
    <t>Vereda La Quiebra-San Francisco</t>
  </si>
  <si>
    <t>Vereda La Quiebra-Moraima</t>
  </si>
  <si>
    <t>Vereda La Quiebra-Las Juntas</t>
  </si>
  <si>
    <t>Vereda Maní del Cardal</t>
  </si>
  <si>
    <t>Vereda  Salinas-El 30</t>
  </si>
  <si>
    <t>Junta de Acción Comunal Vereda Salinas-El 30</t>
  </si>
  <si>
    <t>Vereda Salinas-Malpaso</t>
  </si>
  <si>
    <t>Asociación de Usuarios de Acueducto Alcantarillado y Otros Servicios Públicos de la Vereda El Cano E.S.P.</t>
  </si>
  <si>
    <t>Vereda San Diego-San Diego</t>
  </si>
  <si>
    <t>Vereda Holanda Parte Baja-Portachuelo</t>
  </si>
  <si>
    <t>Vereda Holanda Parte Baja-La Holanda</t>
  </si>
  <si>
    <t>El Barro-Sector Piedralisa</t>
  </si>
  <si>
    <t>Vereda El Tabano</t>
  </si>
  <si>
    <t>Vereda El  Barro-Los Muñoz</t>
  </si>
  <si>
    <t>Asociación de Usuarios de Acueducto Vereda El Barro Sector El Salto-Los Muñoz</t>
  </si>
  <si>
    <t>Vereda  Potrerito</t>
  </si>
  <si>
    <t>Sistema de Abasto Vereda El cano</t>
  </si>
  <si>
    <t>Vereda  El Barro-El Tigre</t>
  </si>
  <si>
    <t>Vereda  Jamundi-Sector Escuela</t>
  </si>
  <si>
    <t>Vereda  San Esteban-San Esteban</t>
  </si>
  <si>
    <t>Vereda  Jamundi-Sector Los Rieles</t>
  </si>
  <si>
    <t>Vereda Juan Cojo-Los Martinez</t>
  </si>
  <si>
    <t>Vereda El Roble-Pantano Frio</t>
  </si>
  <si>
    <t>Vereda Lomatica -La Mata</t>
  </si>
  <si>
    <t xml:space="preserve">Asociación del Acueducto Multiveredal LOMATICA-Vereda La Mata </t>
  </si>
  <si>
    <t>Vereda El Roble-La Toma</t>
  </si>
  <si>
    <t>La Esperanza - Palmas</t>
  </si>
  <si>
    <t>Acuatel</t>
  </si>
  <si>
    <t>Bosques de la Esperanza</t>
  </si>
  <si>
    <t>Las Brujas</t>
  </si>
  <si>
    <t>Catedral Arenales</t>
  </si>
  <si>
    <t>Chinguí - El Escobero</t>
  </si>
  <si>
    <t>Chinguí N°2</t>
  </si>
  <si>
    <t xml:space="preserve">El Salado </t>
  </si>
  <si>
    <t>El Socorro</t>
  </si>
  <si>
    <t>San Rafael, La Mina y El Capiro, Las Antillas</t>
  </si>
  <si>
    <t>Asomiel Rodas</t>
  </si>
  <si>
    <t>Las Palmas</t>
  </si>
  <si>
    <t>Morgan</t>
  </si>
  <si>
    <t>Urbanización Palmas Paraiso</t>
  </si>
  <si>
    <t>Asopantanillo</t>
  </si>
  <si>
    <t>El Salado, Chinguí y el Escobero</t>
  </si>
  <si>
    <t>Cristal Peñazul</t>
  </si>
  <si>
    <t>Vereda Perico</t>
  </si>
  <si>
    <t>San Pedro</t>
  </si>
  <si>
    <t>El Chocho</t>
  </si>
  <si>
    <t>Uribe Angel</t>
  </si>
  <si>
    <t>Corporación de Usuarios de Acueducto y Alcantarillado de La Vereda Pan de Azúcar del Municipio de Sabaneta</t>
  </si>
  <si>
    <t>Vereda La Tablaza</t>
  </si>
  <si>
    <t>Empresa de Servicios Publicos Domiciliarios La Estrella S.A E.S.P - Planta Miraflores-La Tablaza</t>
  </si>
  <si>
    <t>Vereda  La Tablaza</t>
  </si>
  <si>
    <t>Empresa de Servicios Publicos Domiciliarios La Estrella S.A E.S.P - Planta La Culebra-La Tablaza</t>
  </si>
  <si>
    <t>Vereda  Montañita</t>
  </si>
  <si>
    <t>Empresa de Servicios Publicos Domiciliarios La Estrella S.A E.S.P - Planta La Muerte-Montañita</t>
  </si>
  <si>
    <t>Vereda  Pueblo Viejo</t>
  </si>
  <si>
    <t>Vereda Sagrada Familia</t>
  </si>
  <si>
    <t>Vereda Tierra Amarilla Parte Alta</t>
  </si>
  <si>
    <t>Asociación Comunitaria de Beneficiarios del Acueducto Vereda Tierra Amarilla Parte Alta</t>
  </si>
  <si>
    <t>Acueducto Comunitario La Corazona</t>
  </si>
  <si>
    <t>Vereda Los Gomez</t>
  </si>
  <si>
    <t>Vereda El Porvenir sector 3 o parte alta</t>
  </si>
  <si>
    <t>Vereda Los Olivares (Avaco)</t>
  </si>
  <si>
    <t>Vereda Los Olivares (Cuma)</t>
  </si>
  <si>
    <t>Verda Los Gomez (Barrio Nuevo)</t>
  </si>
  <si>
    <t>Verda El Ajizal (Los Florianos)</t>
  </si>
  <si>
    <t>Asociacion de usuarios del acueducto del Pedregal</t>
  </si>
  <si>
    <t>Junta de Accion comunal-Junta Administradora La Esperanza del Porvenir</t>
  </si>
  <si>
    <t>Acueducto veredal Aguas claras Los olivares</t>
  </si>
  <si>
    <t>Junta Administradora de Acueducto veredal comunidad unidad por el mejoramiento del agua Cuma</t>
  </si>
  <si>
    <t>Junta Administradora acueducto vereda El Ajizal sector Los Florianos</t>
  </si>
  <si>
    <t>Comité acueducto-Junta accion comunal Los Gomez</t>
  </si>
  <si>
    <t>Junta de acion comunal-Junta administradora de acueducto veredal fuente de vida sector Los yepes</t>
  </si>
  <si>
    <t>Asociacion Comunitaria del Acueducto Vereda El Cabuyal</t>
  </si>
  <si>
    <t>Asociacion de Usuarios del Acueducto Vereda Peñolcito parte alta y media</t>
  </si>
  <si>
    <t>Asociacion Acueducto Curazao (ASOACUR)</t>
  </si>
  <si>
    <t>Productora Marginal de Servicios Publicos Domiciliarios Acueducto Vereda La Veta El Pinar</t>
  </si>
  <si>
    <t>Acueducto Peñolcito parte baja</t>
  </si>
  <si>
    <t>Corporacion Acueducto Vereda Zarzal La Luz  Aveza</t>
  </si>
  <si>
    <t>Acueducto Pedro Cadavid y EL Salto</t>
  </si>
  <si>
    <t>Acueducto Montañuela</t>
  </si>
  <si>
    <t>Asociacion Administradora del Acueducto Maria Santificadora</t>
  </si>
  <si>
    <t>Acueducto La Cuchilla</t>
  </si>
  <si>
    <t>Asociacion de Usuarios de Acueducto multiveredal Jose Antonio Correa</t>
  </si>
  <si>
    <t>Corporacion Acueducto Multiveredal La Chuscala</t>
  </si>
  <si>
    <t>Acueducto Marginal barrio Maria - Canoas</t>
  </si>
  <si>
    <t>Corporacion multiveredal Salinas, El Convento, El Llano y demas</t>
  </si>
  <si>
    <t>Asociacion de Usuarios del Acueducto La Tolda</t>
  </si>
  <si>
    <t>Acueducto La Veta Centro (AVEC)</t>
  </si>
  <si>
    <t>Junta de Accion Comunal Las Margaritas</t>
  </si>
  <si>
    <t>Junta de Accion Comunal Granizal parte baja</t>
  </si>
  <si>
    <t>Corporación acueducto San Pedro</t>
  </si>
  <si>
    <t>Vereda El Llano-Corregimiento Santa Elena</t>
  </si>
  <si>
    <t>Vereda El Mazo-Corregimiento Santa Elena</t>
  </si>
  <si>
    <t>Vereda Piedragorda-Corregimiento Santa Elena</t>
  </si>
  <si>
    <t>Verda Media Luna-Corregimiento Santa Elena</t>
  </si>
  <si>
    <t>Verda Piedras blancas-Corregimiento Santa Elena</t>
  </si>
  <si>
    <t>Manantial de Ana Diaz</t>
  </si>
  <si>
    <t>Manantial Ana Diaz-Corregimiento Altavista</t>
  </si>
  <si>
    <t>Vereda San Jose de Manzanillo-Corregimiento Altavista</t>
  </si>
  <si>
    <t>Vereda El Salado-Corregimiento San Antonio de Prado</t>
  </si>
  <si>
    <t>Vereda San Jose-Corregimiento San Antonio de Prado</t>
  </si>
  <si>
    <t>Vereda La Florida-Corregimiento San Antonio de Prado</t>
  </si>
  <si>
    <t>Corregimiento San Cristobal</t>
  </si>
  <si>
    <t>Verda El Llano-Corregimiento San Cristobal</t>
  </si>
  <si>
    <t>Vereda La Palma-Corregimiento San Cristobal</t>
  </si>
  <si>
    <t>Vereda Boqueron-Corregimiento San Cristobal</t>
  </si>
  <si>
    <t>Verda El Yolombo-Corregimiento San Cristobal</t>
  </si>
  <si>
    <t>Vereda El Manzanillo-Corregimiento Altavista</t>
  </si>
  <si>
    <t>Vereda El Vergel-Corregimiento de San Antonio de Prado</t>
  </si>
  <si>
    <t>Corregimiento Palmitas</t>
  </si>
  <si>
    <t>Sopetrán</t>
  </si>
  <si>
    <t>ñ</t>
  </si>
  <si>
    <t>0.0 - 5 %: 
Sin Riesgo</t>
  </si>
  <si>
    <t>5.1  - 14 %:  Riesgo Bajo</t>
  </si>
  <si>
    <t>14.1  -  35 % Riesgo Medio</t>
  </si>
  <si>
    <t>35.1 - 80 %  Alto</t>
  </si>
  <si>
    <t>80.1 -  100 %:  Inviable Sanitariamente</t>
  </si>
  <si>
    <t>Total  Muestras</t>
  </si>
  <si>
    <r>
      <t xml:space="preserve">SUBREGION: </t>
    </r>
    <r>
      <rPr>
        <sz val="11"/>
        <rFont val="Arial"/>
        <family val="2"/>
      </rPr>
      <t>BAJO CAUCA</t>
    </r>
  </si>
  <si>
    <t xml:space="preserve">Total Muetras </t>
  </si>
  <si>
    <t>Total de Muestras con Riesgo</t>
  </si>
  <si>
    <t>Verda Limón afuera</t>
  </si>
  <si>
    <t>Junta de Acueducto Limón afuera</t>
  </si>
  <si>
    <t>Corregimiento Puerto Venus</t>
  </si>
  <si>
    <t>Asociacion de Usuarios del Acueducto Corregimiento Puerto Venus</t>
  </si>
  <si>
    <t>Vereda La Balsora</t>
  </si>
  <si>
    <t>Junta Administradora Acueducto Balsora</t>
  </si>
  <si>
    <t>Vereda Mangas</t>
  </si>
  <si>
    <t>Junta Administradora Acueducto de Las Mangas</t>
  </si>
  <si>
    <t>Vereda Puente Linda</t>
  </si>
  <si>
    <t>Junta Administradora Acueducto de Puente Linda</t>
  </si>
  <si>
    <t>Vereda El Jazmin</t>
  </si>
  <si>
    <t>Junta Administradora Acueducto El Jazmin</t>
  </si>
  <si>
    <t>Junta Administradora Acueducto El Llano</t>
  </si>
  <si>
    <t>Junta Administradora Acueducto La Hermosa</t>
  </si>
  <si>
    <t>Vereda Morro Azul</t>
  </si>
  <si>
    <t>Junta Administradora Acueducto Morro Azul</t>
  </si>
  <si>
    <t>Junta Administradora Acueducto Pedregal- Quebrada Negra</t>
  </si>
  <si>
    <t>Vereda Santa Rosa</t>
  </si>
  <si>
    <t>Junta Administradora Acueducto Santa Rosa</t>
  </si>
  <si>
    <t>Vereda  Guamal</t>
  </si>
  <si>
    <t>Junta Administradora del Acueducto Guamal</t>
  </si>
  <si>
    <t xml:space="preserve">Vereda Yarumal </t>
  </si>
  <si>
    <t>Santa Ana ojo de agua</t>
  </si>
  <si>
    <t>Junta de Acción Comunal La Cascada-Comité de Aguas y Acueducto</t>
  </si>
  <si>
    <t>Junta de Acción Comunal  Vereda  Pajonal</t>
  </si>
  <si>
    <t>Junta Administradora de Acueducto El Bosque(En el  2018 no se realizan visitas a acueductos rurales toda vez que no hay técnico de base en este municipio y se priorizo la zona urbana)</t>
  </si>
  <si>
    <t>Junta de Accion Comunal Corregimiento la Susana(En el  2018 no se realizan visitas a acueductos rurales ni toma de muestras)</t>
  </si>
  <si>
    <t>Asociación de Usuarios del Acueducto y/o Alcantarillado VEDSAGUEL Vereda San Miguel(En el  2018 no se realizan visitas a acueductos rurales ni toma de muestras)</t>
  </si>
  <si>
    <t>Parcelacion El Yarumo-Vereda San Miguel(En el  2018 no se realizan visitas a acueductos rurales ni toma de muestras)</t>
  </si>
  <si>
    <t>Asociacion de Usuarios del Acueducto Veredal  El Capiro(En el  2018 no se realizan visitas a acueductos rurales ni toma de muestras)</t>
  </si>
  <si>
    <t>Asociacion de Usuarios Acueducto San Rafael - Los Saltos(En el  2018 no se realizan visitas a acueductos rurales ni toma de muestras)</t>
  </si>
  <si>
    <t>Asociacion de Usuarios del Acueducto Piedras El Salvio (En el  2018 no se realizan visitas a acueductos rurales ni toma de muestras)</t>
  </si>
  <si>
    <t>Asociación Usuarios del Acueducto y Alcantarillado de La Vereda San Nicolas  Planta N 1(En el  2018 no se realizan visitas a acueductos rurales ni toma de muestras)</t>
  </si>
  <si>
    <t>Asociación Usuarios del Acueducto y Alcantarillado de La Vereda San Nicolas  Planta N 2(En el  2018 no se realizan visitas a acueductos rurales ni toma de muestras)</t>
  </si>
  <si>
    <t>Asociación Usuarios del Acueducto y Alcantarillado de La Vereda San Nicolas  Planta N 3(En el  2018 no se realizan visitas a acueductos rurales ni toma de muestras)</t>
  </si>
  <si>
    <t>Asociación de Usuarios del Acueducto y Alcantarillado Cestillal La Palma - Corregimiento San Jose Cestillal(En el  2018 no se realizan visitas a acueductos rurales ni toma de muestras)</t>
  </si>
  <si>
    <t>Asociación de Usuarios del Acueducto y Alcantarillado Cestillal La Palma - Corregimiento San Jose La Palma(En el  2018 no se realizan visitas a acueductos rurales ni toma de muestras)</t>
  </si>
  <si>
    <t>Asociación de Usuarios del Acueduto y Alcantarillado Veramiel (En el  2018 no se realizan visitas a acueductos rurales ni toma de muestras)</t>
  </si>
  <si>
    <t>Junta de Accion Comunal Vereda El Higueron -Los Planes(En el  2018 no se realizan visitas a acueductos rurales ni toma de muestras)</t>
  </si>
  <si>
    <t>Asociacion Acueducto Colmenas (En el  2018 no se realizan visitas a acueductos rurales ni toma de muestras)</t>
  </si>
  <si>
    <t>Parcelacion La Esmeralda(En el  2018 no se realizan visitas a acueductos rurales ni toma de muestras)</t>
  </si>
  <si>
    <t>Asociación de Usuarios del Acueducto La Permfumería de La Vereda El Tambo(En el  2018 no se realizan visitas a acueductos rurales ni toma de muestras)</t>
  </si>
  <si>
    <t>Asociacion de Usuarios del Acueducto Multiveredal Sector La Palma -El Romeral(En el  2018 no se realizan visitas a acueductos rurales ni toma de muestras)</t>
  </si>
  <si>
    <t>Asociacion de Usuarios del Acueducto Vereda San Gerardo(En el  2018 no se realizan visitas a acueductos rurales ni toma de muestras)</t>
  </si>
  <si>
    <t>Asociación de Usuarios Acueducto La Loma(En el  2018 no se realizan visitas a acueductos rurales ni toma de muestras)</t>
  </si>
  <si>
    <t>PROGRAMA VIGILANCIA DE LA CALIDAD DEL AGUA PARA CONSUMO HUMANO Y USO RECREATIVO</t>
  </si>
  <si>
    <t>PROGRAMA VIGILANCIA DE LA CALIDAD DEL AGUA DE CONSUMO HUMANO Y USO RECREATIVO</t>
  </si>
  <si>
    <t>Resume / Nivel de Riesgo</t>
  </si>
  <si>
    <t>N° Muestras con Riesgo</t>
  </si>
  <si>
    <t>Resumen / Nivel de Riesgo</t>
  </si>
  <si>
    <t>Junta Administradora De Acueductos La Mina</t>
  </si>
  <si>
    <t>Junat de Acción Comunal Vereda La Primavera</t>
  </si>
  <si>
    <t>Junta de Administradora de Acuedcucto Chorros Blancos Nº 1</t>
  </si>
  <si>
    <t>Junta Administradora de Acueducto Llanadas</t>
  </si>
  <si>
    <t>Junta de Acción Comunal La Travesía</t>
  </si>
  <si>
    <t>Junta Administradora de Acueducto La Colmena</t>
  </si>
  <si>
    <t>Junta Administradora de Acueductos Plan de Las Rosas</t>
  </si>
  <si>
    <t>Junta Administradora de Acueducto Cañaveral</t>
  </si>
  <si>
    <t>Junta Administradora de Acueducto La Chiquita</t>
  </si>
  <si>
    <t>Junta Administradora de Acueducto El Reposo San José La Gloria</t>
  </si>
  <si>
    <t>Junta De Acción Comunal El Piñal</t>
  </si>
  <si>
    <t>Junta de Acción Comunal Los Ranchos</t>
  </si>
  <si>
    <t>Junta Administradora de Acueducto Los Mangos</t>
  </si>
  <si>
    <t>Resumen/ Nivel de Riesgo</t>
  </si>
  <si>
    <t>Junta de Acción Comunal  Las Lomas</t>
  </si>
  <si>
    <t>Junta de Acción Comunal Los Naipes</t>
  </si>
  <si>
    <t>Junta de Acción Comunal San Julian de Barbacoas</t>
  </si>
  <si>
    <t>Junta de Acción Comunal-La Loma del Sauce</t>
  </si>
  <si>
    <t>Junta de Acción Comunal El Agrio</t>
  </si>
  <si>
    <t>Junta de Acción Comunal Barbacoas</t>
  </si>
  <si>
    <t>Junta de Acción Comunal CTO Los Llanos</t>
  </si>
  <si>
    <t>Junta de Acción Comunal Las Faldas</t>
  </si>
  <si>
    <t>Junta de Acción Comunal San José</t>
  </si>
  <si>
    <t>Junta de Acción Comunal Las Faldas del Café</t>
  </si>
  <si>
    <t>Junta de Acción Comunal San Pablo-La Escuela</t>
  </si>
  <si>
    <t>Junta de Acción Comunal San Pablo-El Filo</t>
  </si>
  <si>
    <t>Junta de Acción Comunal La Antigua</t>
  </si>
  <si>
    <t>Junta de Acción Comunal Romeral</t>
  </si>
  <si>
    <t>Junta de Acción Comunal El Parámo</t>
  </si>
  <si>
    <t>Junta de Acción Comunal Llano del Pueblo</t>
  </si>
  <si>
    <t>Junta de Acción Comunal Italia 90</t>
  </si>
  <si>
    <t>Junta de Acción Comunal San Julián</t>
  </si>
  <si>
    <t>Junta Administradora de Acueducto Jerigua-Escuela</t>
  </si>
  <si>
    <t>Junta Administradora de Acueducto Jerigua-Pojonal</t>
  </si>
  <si>
    <t>Junta de Acción Comunal Guayabal La Falda</t>
  </si>
  <si>
    <t>Junta de Acción Comunal Popal</t>
  </si>
  <si>
    <t>Junta de Acción Comunal La Guadua</t>
  </si>
  <si>
    <t>Junta de Acción Comunal Santa Agueda</t>
  </si>
  <si>
    <t>Junta de Acción Comunal Bellavista</t>
  </si>
  <si>
    <t>Junta de Acción Comunal Renegado Valle</t>
  </si>
  <si>
    <t>Junta de Acción Comunal Guayabal de Pena</t>
  </si>
  <si>
    <t>Junta de Acción Comunal CTO Lomitas</t>
  </si>
  <si>
    <t>Junta Administradora Acueducto La Vega del Inglés</t>
  </si>
  <si>
    <t>Junta de Acción Comunal Toldas</t>
  </si>
  <si>
    <t>Junta de Acción Comunal La Nueva Llanada</t>
  </si>
  <si>
    <t>Junta de Acción Comunal San Juan de Renegado</t>
  </si>
  <si>
    <t>Junta Administradora del Acueducto  Vereda  Cascaron</t>
  </si>
  <si>
    <t>Junta de Acción Comunal Vereda El Pital</t>
  </si>
  <si>
    <t>Junta de Acción Comunal Vereda Sardinas</t>
  </si>
  <si>
    <t>Junta de Acción  Comunal Quebradona</t>
  </si>
  <si>
    <t xml:space="preserve">Junta de Acción Comunal Vereda Santa Isabe </t>
  </si>
  <si>
    <t>Junta de Acción Comunal Vereda Canalones</t>
  </si>
  <si>
    <t>Junta de Acción Comunal Acueducto Vereda El Bagre</t>
  </si>
  <si>
    <t>Junta Administradora del Acueducto Vereda  El 62</t>
  </si>
  <si>
    <t>Junta de Acción Comunal Vereda Canutillo</t>
  </si>
  <si>
    <t>Acueducto La Cuchilla-Vereda Corrales</t>
  </si>
  <si>
    <t>Junta de Acción Comunal Acueducto Asoflan-Corregimiento la Floresta</t>
  </si>
  <si>
    <t>Junta de Acción Comunal Acueducto El Ingenio</t>
  </si>
  <si>
    <t>Acueducto Alto de Dolores</t>
  </si>
  <si>
    <t>Junta Administradora de Acueducto Guardasol</t>
  </si>
  <si>
    <t>N° de Muestras</t>
  </si>
  <si>
    <t xml:space="preserve"> N° de Muestras</t>
  </si>
  <si>
    <t xml:space="preserve">No está funconando </t>
  </si>
  <si>
    <t>Barrio Cristo Rey</t>
  </si>
  <si>
    <t>Asociación Comunitaria del Acueducto del Barrio Cristo Rey</t>
  </si>
  <si>
    <t>Vereda Quebrada del Medio</t>
  </si>
  <si>
    <t>Junta de Acción Comunal Vereda Quebrada del Medio</t>
  </si>
  <si>
    <t>Vereda El Respaldo</t>
  </si>
  <si>
    <t>Junta de Acción Comunal Vereda El Respaldo</t>
  </si>
  <si>
    <t>Acueducto Multiveredal Acuerrico</t>
  </si>
  <si>
    <t>Vereda la cabaña</t>
  </si>
  <si>
    <t>Vereda El Alto Del Roble</t>
  </si>
  <si>
    <t>Asociación Usuarios Acueducto Multiveredal La Cristalina-El Alto Del Roble</t>
  </si>
  <si>
    <t>Vereda San Luís</t>
  </si>
  <si>
    <t>Asociación Usuarios Acueducto Multiveredal La Cristalina-San Luís</t>
  </si>
  <si>
    <t>Asociación Usuarios Acueducto Multiveredal La Cristalina-Caracolal</t>
  </si>
  <si>
    <t>Vereda El Café</t>
  </si>
  <si>
    <t>Asociación Usuarios Acueducto Multiveredal La Cristalina-El Café</t>
  </si>
  <si>
    <t>Asociación usuarios Acueducto Multiveredal La Cristalina-Bellavista</t>
  </si>
  <si>
    <t>Asociación Usuarios Acueducto Multiveredal La Cristalina-La Aldea</t>
  </si>
  <si>
    <t>Asociación Usuarios Acueducto Multiveredal La Cristalina-Llano Grande</t>
  </si>
  <si>
    <t>Asociación Usuarios Acueducto Multiveredal La Cristalina-Santa Barbara</t>
  </si>
  <si>
    <t>Vereda La Aguadita</t>
  </si>
  <si>
    <t>Asociación Usuarios Acueducto Multiveredal La Cristalina-La Aguadita</t>
  </si>
  <si>
    <t>Asociación usuarios Acueducto Multiveredal La Cristalina-La Loma</t>
  </si>
  <si>
    <t xml:space="preserve">Vereda Uvital </t>
  </si>
  <si>
    <t>Asociación de Usuarios Acueducto Multiveredal La Berrionda Cestillal-Uvital</t>
  </si>
  <si>
    <t>Junta Administradora Acueducto Corregimiento de Cestillal-cestillal</t>
  </si>
  <si>
    <t>Corremiento Camparrusia</t>
  </si>
  <si>
    <t>Junta de Acción Comunal Corremiento Camparrusia</t>
  </si>
  <si>
    <t xml:space="preserve">Vereda La Florida </t>
  </si>
  <si>
    <t>Junta de Accion Comunal  vereda La Florida</t>
  </si>
  <si>
    <t>Vereda El Encierro</t>
  </si>
  <si>
    <t>Junta de Accion Comunal vereda  El Encierro</t>
  </si>
  <si>
    <t>Vereda Rioverde</t>
  </si>
  <si>
    <t>Junta de Accion Comunal Acueducto Multiveredal San Andrés Murindó-Rioverde</t>
  </si>
  <si>
    <t>sierrita parte baja</t>
  </si>
  <si>
    <t>Junta de Accion  Comunal</t>
  </si>
  <si>
    <t>Vereda el balso p.A.</t>
  </si>
  <si>
    <t>Junta de Accion comunal</t>
  </si>
  <si>
    <t>Acueducto El Crucero</t>
  </si>
  <si>
    <t>Vereda Naranjal Poblanco</t>
  </si>
  <si>
    <t>Asociacion de Usuarios del Acueducto Vereda Naranjal Poblanco planta san mateo el volcan</t>
  </si>
  <si>
    <t>Asociacion de Usuarios del Acueducto Vereda Naranjal Poblanco planta sierra morena</t>
  </si>
  <si>
    <t>Vereda Tacamocho</t>
  </si>
  <si>
    <t>Empresa de Servicios Publicos de Tarso S.A E.S.P. Vereda Tacamocho</t>
  </si>
  <si>
    <t>Vereda El Morro Cauca Viejo</t>
  </si>
  <si>
    <t>Operadores de Servicios S.A E.S.P -El Morro Cauca Viejo</t>
  </si>
  <si>
    <t>Empresa de Servicios Públicos de Tarso S.A E.S.P.-La Arboleda</t>
  </si>
  <si>
    <t>Empresa de Servicios Públicos de Tarso S.A E.S.P.-La Linda</t>
  </si>
  <si>
    <t>Vereda  Parnaso</t>
  </si>
  <si>
    <t>Empresa de Servicios Públicos de Tarso S.A E.S.P.-Parnaso</t>
  </si>
  <si>
    <t>Vereda El Palmar</t>
  </si>
  <si>
    <t>Asociacion Usuarios Acueducto El Palmar</t>
  </si>
  <si>
    <t>Asociacion de Usuarios Acueducto Veredal "El Guayabo"</t>
  </si>
  <si>
    <t>Vereda La Paz</t>
  </si>
  <si>
    <t>Asociacion Usuarios de Servicios Públicos Verda La Paz</t>
  </si>
  <si>
    <t>Localidad Brisas de San Juan</t>
  </si>
  <si>
    <t xml:space="preserve">Asociación de Usuarios del Acueducto Multiveredal </t>
  </si>
  <si>
    <t>Vereda Valle Humbria</t>
  </si>
  <si>
    <t>Asociación de Usuarios del Acueducto Multiveredal del Municipio de Andes - Vereda Valle Humbria</t>
  </si>
  <si>
    <t xml:space="preserve">Asociación de Usuarios del Acueducto Multiveredal del Municipio de Andes - Vereda California </t>
  </si>
  <si>
    <t>ACOMADEPLO- URBANIZACION SAN CAYETANO-PUERTO LOPEZ</t>
  </si>
  <si>
    <t xml:space="preserve">Acueducto vereda la mariela </t>
  </si>
  <si>
    <t xml:space="preserve">Acueducto vereda San Luis </t>
  </si>
  <si>
    <t>Junta de Accion Comunal la Esperanza</t>
  </si>
  <si>
    <t>Vereda La Pó</t>
  </si>
  <si>
    <t>Acueducto Tagual La Pó</t>
  </si>
  <si>
    <t>Sector Las Violetas</t>
  </si>
  <si>
    <t>Junta de Accción Comunal Vereda El Tapón</t>
  </si>
  <si>
    <t>Junta Accion Comunal Vereda El Choco Los Mangos</t>
  </si>
  <si>
    <t>Junta Acción Comunal Vereda El Choico La Aurora</t>
  </si>
  <si>
    <t>Junta Accion Comunal Vereda Morritos</t>
  </si>
  <si>
    <t>Acueducto multiveredal   San Juan La peña</t>
  </si>
  <si>
    <t>Junta Accion Comunal Choco Campo Alegre</t>
  </si>
  <si>
    <t>Vereda Luis Arenas</t>
  </si>
  <si>
    <t>Asociación de Usuarios de Acueducto El Chuscal - Luis Arenas.</t>
  </si>
  <si>
    <t>Vereda el Silencio La Cuchilla</t>
  </si>
  <si>
    <t>Junta de Accion Comunal Vereda El Silencio La Cuchilla</t>
  </si>
  <si>
    <t>vereda la compañía (8005)</t>
  </si>
  <si>
    <t>Acueducto Alto de La Compañía-La Compañía</t>
  </si>
  <si>
    <t>vereda el porvenir (4001)</t>
  </si>
  <si>
    <t>Acueducto Multiveredal Piedragorda, La Cabaña, Peñolcito, Guamal, Potrerito-Porvenir</t>
  </si>
  <si>
    <t>vereda la primavera (4006)</t>
  </si>
  <si>
    <t>Acueducto Multiveredal Piedragorda, La Cabaña, Peñolcito, Guamal, Potrerito-Primavera</t>
  </si>
  <si>
    <t>Asociación de Usuarios Acueducto Multiveredal La Miel y Los Rodas ASOMIELRODAS - Rodas</t>
  </si>
  <si>
    <t>Loma El Escobero</t>
  </si>
  <si>
    <t>Vereda Los Yepes</t>
  </si>
  <si>
    <t>Acueducto Comunitario vereda Los Gómez Sector Los Yepes</t>
  </si>
  <si>
    <t>Corporación de Acueducto Altavista-altavista</t>
  </si>
  <si>
    <t>Vereda Campanito Central</t>
  </si>
  <si>
    <t>Junta de Accion Comunal Campanito Central</t>
  </si>
  <si>
    <t>Junta Administradora de Acueducto y Alcantarillado Barrio Pueblo Nuevo (192suscr)</t>
  </si>
  <si>
    <t>Brigada 17 KM 1 Via al Mara</t>
  </si>
  <si>
    <t>Brigada 17 Acuedcuto Edospina</t>
  </si>
  <si>
    <t>Brigada 17 Acueducto  Eduardoño</t>
  </si>
  <si>
    <t>Vereda Pio X-Vuelta de la Campana y Las Chambas</t>
  </si>
  <si>
    <t>Junta Administradora Acueducto Vereda Pio X-Vuelta de la Campana y Las Chambas</t>
  </si>
  <si>
    <t>Para los municipios de Envigado, Itagui, y Sabaneta se hizo el registro de la  informacion del primer semestre del 2019, ya que la informacion del segundo semestre no fue remitida.</t>
  </si>
  <si>
    <t>El municipio la Estrella no  registra informacion, debido a que no se contaba con un laboratotio contratado, po lo cual se deja registrada la informacion del año 2018</t>
  </si>
  <si>
    <t xml:space="preserve">Vereda El Chochal </t>
  </si>
  <si>
    <t xml:space="preserve">Asociación de Usuarios del Acueducto Multiveredal Playon-Chochal Vereda El  Chochal </t>
  </si>
  <si>
    <t xml:space="preserve">Vereda Los Pinos </t>
  </si>
  <si>
    <t xml:space="preserve">Asociación de Usuarios del Acueducto Multiveredal Pinos-Cortada Vereda Los Pinos </t>
  </si>
  <si>
    <t xml:space="preserve">El municipio de Toledo no cuenta con informacion del IRCA para el año 2019, por lo cual se dejó la informacion  registrada del año 2018 </t>
  </si>
  <si>
    <t xml:space="preserve">El municipio de Salgar no cuentan con informacion del IRCA para el año 2019, por lo cual se dejó la informacion  registrada del año 2018 </t>
  </si>
  <si>
    <t>Asociacion de usuarios del acueducto multiveredal el Tambo, vereda La Pava</t>
  </si>
  <si>
    <t>Vereda Tocaima</t>
  </si>
  <si>
    <t>Asociacion de Ususarios del Acueducto Multiveredal  El Tambo Vereda Tocaima</t>
  </si>
  <si>
    <t>Vereda Piedras Abajo</t>
  </si>
  <si>
    <t>Asociacion de Ususarios del Acueducto Multiveredal  El Tambo Vereda Piedras Abajo.</t>
  </si>
  <si>
    <t>Vereda Rivera La Linda</t>
  </si>
  <si>
    <t>Sector Las Brisas-El quemado</t>
  </si>
  <si>
    <t>Sector Las Brisas-la linda</t>
  </si>
  <si>
    <t>Asociacion de Usuarios del Acueducto Multiveredal La Piedra La Peña y Los Naranjos-Los Naranjos</t>
  </si>
  <si>
    <t>Asociacion de Usuarios del Acueducto Multiveredal La Piedra La Peña y Los Naranjos-La Peña</t>
  </si>
  <si>
    <t>Vereda Cabeceras de Llano Grande - Planta II</t>
  </si>
  <si>
    <t>AA Cabeceras Llano Grande Planta II</t>
  </si>
  <si>
    <t>Vereda Cabeceras de Llano Grande - Planta III</t>
  </si>
  <si>
    <t>AA Cabeceras Llano Grande Planta III</t>
  </si>
  <si>
    <t>Vereda Santa Teresa 2</t>
  </si>
  <si>
    <t>CC Acueducto Santa Teresa 2</t>
  </si>
  <si>
    <t xml:space="preserve">El municipio de Campamento solo cuenta con el dato del  IRCA 2019 para un sistema, por lo cual en el presente documento se realiza el comentario en casa sistema faltante por esta informacion </t>
  </si>
  <si>
    <t xml:space="preserve">Los municipios de Ebéjico y Peque  no cuentan con informacion del IRCA para el año 2019, por lo cual se dejó la informacion  registrada del año 2018 </t>
  </si>
  <si>
    <t xml:space="preserve">El municipio de Caracolí no cuenta con informacion del IRCA para el año 2019, por lo cual se dejó la informacion y comentarios respectivos  registrados del año 2018 </t>
  </si>
  <si>
    <t>CONSOLIDADO REGIONAL ACUEDUCTOS RURALES POR NIVEL DE RIESGO  2019</t>
  </si>
  <si>
    <t xml:space="preserve"> TOTAL ANTIOQUIA 2019</t>
  </si>
  <si>
    <t>ANTIOQUIA - SUBREGION VALLE DE ABURRA - 2019</t>
  </si>
  <si>
    <t>ANTIOQUIA - SUBREGION URABA - 2019</t>
  </si>
  <si>
    <t>ANTIOQUIA - SUBREGION  NORTE- 2019</t>
  </si>
  <si>
    <t>ANTIOQUIA - SUBREGION OCCIDENTE - 2019</t>
  </si>
  <si>
    <t>ANTIOQUIA - SUBREGION SUROESTE- 2019</t>
  </si>
  <si>
    <t>ANTIOQUIA -  SUBREGION  BAJO CAUCA 2019</t>
  </si>
  <si>
    <t>ANTIOQUIA -  SUBREGION  MAGDALENA MEDIO 2019</t>
  </si>
  <si>
    <t>ANTIOQUIA - SUBREGION NORDESTE - 2019</t>
  </si>
  <si>
    <t>ANTIOQUIA - SUBREGION ORIENTE - 2019</t>
  </si>
  <si>
    <t xml:space="preserve"> TOTAL POR MUESTRAS POR NIVEL DE RIESGO -  ANTIOQUIA 2019</t>
  </si>
  <si>
    <t>INFORME MENSUAL DEL INDICE DE RIESGO DE CALIDAD DEL AGUA  ACUEDUCTOS RURALES 2019</t>
  </si>
  <si>
    <t>CONSOLIDADO ACUEDUCTOS RURALES 2019</t>
  </si>
  <si>
    <r>
      <t xml:space="preserve">NOTA: </t>
    </r>
    <r>
      <rPr>
        <sz val="12"/>
        <rFont val="Arial"/>
        <family val="2"/>
      </rPr>
      <t xml:space="preserve">Los municipios de Barbosa y Bello no cuentan con informacion del IRCA para el año  2019, por lo cual se dejó la informacion  registrada del año 2018 </t>
    </r>
  </si>
  <si>
    <r>
      <t xml:space="preserve">NOTA: </t>
    </r>
    <r>
      <rPr>
        <sz val="12"/>
        <rFont val="Arial"/>
        <family val="2"/>
      </rPr>
      <t>Para los municipios de Arboletes, Carepa, y San Juan de Urabá se hizo el registro de la  informacion del primer semestre del 2019, ya que la informacion del segundo semestre no fue remitida.</t>
    </r>
  </si>
  <si>
    <r>
      <t xml:space="preserve">NOTA : </t>
    </r>
    <r>
      <rPr>
        <sz val="12"/>
        <rFont val="Arial"/>
        <family val="2"/>
      </rPr>
      <t>Para los municipios, Gomez plata, Guadalupe y San Pedro de los Milagros  se hizo el  registro de la  informacion del primer semestre del año 2019, debido a que la informacion del segundo semestre no fue remitida.</t>
    </r>
  </si>
  <si>
    <r>
      <rPr>
        <b/>
        <sz val="12"/>
        <rFont val="Arial"/>
        <family val="2"/>
      </rPr>
      <t xml:space="preserve">NOTA : </t>
    </r>
    <r>
      <rPr>
        <sz val="12"/>
        <rFont val="Arial"/>
        <family val="2"/>
      </rPr>
      <t>Para los municipios, Abriaquí,   Olaya, Anzá, Buriticá, Caicedo, Heliconia,  Sabanalarga y Sopetrán se hizo el  registro de la  informacion del primer semestre del año 2019, debido a que la informacion del segundo semestre no fue remitida.</t>
    </r>
  </si>
  <si>
    <r>
      <t xml:space="preserve">NOTA:  </t>
    </r>
    <r>
      <rPr>
        <sz val="12"/>
        <rFont val="Arial"/>
        <family val="2"/>
      </rPr>
      <t>Para los municipios, Amagá, Andes, Angépolis, Caramanta,Jardín y Urrao se hizo el  registro de la  informacion del primer semestre del año 2019, debido a que la informacion del segundo semestre no fue remitida</t>
    </r>
    <r>
      <rPr>
        <b/>
        <sz val="12"/>
        <rFont val="Arial"/>
        <family val="2"/>
      </rPr>
      <t>.</t>
    </r>
  </si>
  <si>
    <r>
      <rPr>
        <b/>
        <sz val="12"/>
        <rFont val="Arial"/>
        <family val="2"/>
      </rPr>
      <t xml:space="preserve">NOTA: </t>
    </r>
    <r>
      <rPr>
        <sz val="12"/>
        <rFont val="Arial"/>
        <family val="2"/>
      </rPr>
      <t xml:space="preserve"> Para los municipios, Cáceres,Nechí, Tarazá y Zaragoza no cuentan con la información del IRCA para el año 2019, para lo cual se dejó registrada la información del año 2018</t>
    </r>
  </si>
  <si>
    <t>Sin Informacion</t>
  </si>
  <si>
    <r>
      <rPr>
        <b/>
        <sz val="12"/>
        <rFont val="Arial"/>
        <family val="2"/>
      </rPr>
      <t xml:space="preserve">NOTA : </t>
    </r>
    <r>
      <rPr>
        <sz val="12"/>
        <rFont val="Arial"/>
        <family val="2"/>
      </rPr>
      <t>Para los municipios Puerto Nare y Yondó se hizo el  registro de la  informacion del primer semestre del año 2019, debido a que la informacion del segundo semestre no fue remitida.</t>
    </r>
  </si>
  <si>
    <r>
      <rPr>
        <b/>
        <sz val="12"/>
        <rFont val="Arial"/>
        <family val="2"/>
      </rPr>
      <t xml:space="preserve">NOTA:  </t>
    </r>
    <r>
      <rPr>
        <sz val="12"/>
        <rFont val="Arial"/>
        <family val="2"/>
      </rPr>
      <t>Para el municipio de Segovia  se hizo el  registro de la  informacion del primer semestre del año 2019, debido a que la informacion del segundo semestre no fue remitida.</t>
    </r>
  </si>
  <si>
    <r>
      <rPr>
        <b/>
        <sz val="12"/>
        <rFont val="Arial"/>
        <family val="2"/>
      </rPr>
      <t xml:space="preserve">NOTA: </t>
    </r>
    <r>
      <rPr>
        <sz val="12"/>
        <rFont val="Arial"/>
        <family val="2"/>
      </rPr>
      <t xml:space="preserve"> Para los municipios de Guatapé, la Ceja, Marinilla y San Luis,  se hizo el  registro de la  informacion del primer semestre del año 2019, debido a que la informacion del segundo semestre no fue remitida.</t>
    </r>
  </si>
  <si>
    <t>NUMERO DE VIVIENDAS RURALES CON ACUEDUCTO - ANUARIO ESTADISTICO  ANTIOQUIA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</si>
</sst>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2]\ * #,##0.00_ ;_ [$€-2]\ * \-#,##0.00_ ;_ [$€-2]\ * &quot;-&quot;??_ "/>
  </numFmts>
  <fonts count="54">
    <font>
      <sz val="10"/>
      <name val="Arial"/>
    </font>
    <font>
      <sz val="10"/>
      <name val="Arial"/>
      <family val="2"/>
    </font>
    <font>
      <sz val="8"/>
      <name val="Arial"/>
      <family val="2"/>
    </font>
    <font>
      <sz val="10"/>
      <name val="Arial"/>
      <family val="2"/>
    </font>
    <font>
      <b/>
      <sz val="10"/>
      <name val="Arial"/>
      <family val="2"/>
    </font>
    <font>
      <sz val="10"/>
      <name val="Verdana"/>
      <family val="2"/>
    </font>
    <font>
      <b/>
      <sz val="12"/>
      <name val="Verdana"/>
      <family val="2"/>
    </font>
    <font>
      <sz val="11"/>
      <name val="Verdana"/>
      <family val="2"/>
    </font>
    <font>
      <b/>
      <sz val="12"/>
      <name val="Arial"/>
      <family val="2"/>
    </font>
    <font>
      <sz val="12"/>
      <name val="Verdana"/>
      <family val="2"/>
    </font>
    <font>
      <sz val="12"/>
      <name val="Arial"/>
      <family val="2"/>
    </font>
    <font>
      <b/>
      <sz val="10"/>
      <name val="Verdana"/>
      <family val="2"/>
    </font>
    <font>
      <b/>
      <sz val="11"/>
      <name val="Verdana"/>
      <family val="2"/>
    </font>
    <font>
      <sz val="11"/>
      <name val="Arial"/>
      <family val="2"/>
    </font>
    <font>
      <b/>
      <sz val="14"/>
      <name val="Arial"/>
      <family val="2"/>
    </font>
    <font>
      <sz val="14"/>
      <name val="Arial"/>
      <family val="2"/>
    </font>
    <font>
      <b/>
      <sz val="11"/>
      <name val="Arial"/>
      <family val="2"/>
    </font>
    <font>
      <sz val="10"/>
      <name val="Arial"/>
      <family val="2"/>
    </font>
    <font>
      <b/>
      <sz val="11"/>
      <color indexed="8"/>
      <name val="Verdana"/>
      <family val="2"/>
    </font>
    <font>
      <sz val="9"/>
      <name val="Arial"/>
      <family val="2"/>
    </font>
    <font>
      <b/>
      <sz val="18"/>
      <name val="Arial"/>
      <family val="2"/>
    </font>
    <font>
      <b/>
      <sz val="11"/>
      <color indexed="8"/>
      <name val="Arial"/>
      <family val="2"/>
    </font>
    <font>
      <b/>
      <sz val="11"/>
      <color indexed="9"/>
      <name val="Arial"/>
      <family val="2"/>
    </font>
    <font>
      <sz val="11"/>
      <color indexed="9"/>
      <name val="Arial"/>
      <family val="2"/>
    </font>
    <font>
      <sz val="10"/>
      <name val="Arial"/>
      <family val="2"/>
    </font>
    <font>
      <sz val="11"/>
      <color indexed="8"/>
      <name val="Arial"/>
      <family val="2"/>
    </font>
    <font>
      <sz val="11"/>
      <color theme="1"/>
      <name val="Calibri"/>
      <family val="2"/>
      <scheme val="minor"/>
    </font>
    <font>
      <sz val="11"/>
      <color theme="0"/>
      <name val="Calibri"/>
      <family val="2"/>
      <scheme val="minor"/>
    </font>
    <font>
      <sz val="11"/>
      <color theme="1"/>
      <name val="Arial"/>
      <family val="2"/>
    </font>
    <font>
      <sz val="11"/>
      <color theme="1"/>
      <name val="Verdana"/>
      <family val="2"/>
    </font>
    <font>
      <b/>
      <sz val="11"/>
      <color theme="0"/>
      <name val="Arial"/>
      <family val="2"/>
    </font>
    <font>
      <sz val="10"/>
      <name val="Arial"/>
      <family val="2"/>
    </font>
    <font>
      <sz val="11"/>
      <color theme="0"/>
      <name val="Arial"/>
      <family val="2"/>
    </font>
    <font>
      <sz val="11"/>
      <color rgb="FF000000"/>
      <name val="Arial"/>
      <family val="2"/>
    </font>
    <font>
      <b/>
      <sz val="12"/>
      <name val="Arial"/>
      <family val="2"/>
    </font>
    <font>
      <sz val="9"/>
      <color indexed="81"/>
      <name val="Tahoma"/>
      <family val="2"/>
    </font>
    <font>
      <b/>
      <sz val="9"/>
      <color indexed="81"/>
      <name val="Tahoma"/>
      <family val="2"/>
    </font>
    <font>
      <sz val="14"/>
      <name val="Verdana"/>
      <family val="2"/>
    </font>
    <font>
      <b/>
      <sz val="18"/>
      <name val="Arial Narrow"/>
      <family val="2"/>
    </font>
    <font>
      <b/>
      <sz val="12"/>
      <name val="Arial Narrow"/>
      <family val="2"/>
    </font>
    <font>
      <b/>
      <sz val="11"/>
      <name val="Arial Narrow"/>
      <family val="2"/>
    </font>
    <font>
      <sz val="12"/>
      <name val="Arial Narrow"/>
      <family val="2"/>
    </font>
    <font>
      <b/>
      <sz val="16"/>
      <name val="Arial Narrow"/>
      <family val="2"/>
    </font>
    <font>
      <b/>
      <sz val="15"/>
      <name val="Arial Narrow"/>
      <family val="2"/>
    </font>
    <font>
      <b/>
      <sz val="10"/>
      <color indexed="81"/>
      <name val="Tahoma"/>
      <family val="2"/>
    </font>
    <font>
      <sz val="10"/>
      <color indexed="81"/>
      <name val="Tahoma"/>
      <family val="2"/>
    </font>
    <font>
      <b/>
      <sz val="10"/>
      <color indexed="81"/>
      <name val="Arial"/>
      <family val="2"/>
    </font>
    <font>
      <sz val="10"/>
      <color indexed="81"/>
      <name val="Arial"/>
      <family val="2"/>
    </font>
    <font>
      <sz val="16"/>
      <name val="Arial"/>
      <family val="2"/>
    </font>
    <font>
      <sz val="11"/>
      <color indexed="81"/>
      <name val="Arial"/>
      <family val="2"/>
    </font>
    <font>
      <sz val="12"/>
      <color indexed="81"/>
      <name val="Tahoma"/>
      <family val="2"/>
    </font>
    <font>
      <sz val="12"/>
      <color indexed="81"/>
      <name val="Arial"/>
      <family val="2"/>
    </font>
    <font>
      <sz val="10"/>
      <color indexed="81"/>
      <name val="Arial}"/>
    </font>
    <font>
      <sz val="10"/>
      <name val="Arial"/>
      <family val="2"/>
    </font>
  </fonts>
  <fills count="34">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4"/>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50"/>
        <bgColor indexed="64"/>
      </patternFill>
    </fill>
    <fill>
      <patternFill patternType="solid">
        <fgColor theme="5" tint="0.39997558519241921"/>
        <bgColor indexed="65"/>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FF"/>
        <bgColor rgb="FF000000"/>
      </patternFill>
    </fill>
    <fill>
      <patternFill patternType="solid">
        <fgColor rgb="FF92D050"/>
        <bgColor indexed="64"/>
      </patternFill>
    </fill>
    <fill>
      <patternFill patternType="solid">
        <fgColor rgb="FFFF0000"/>
        <bgColor indexed="26"/>
      </patternFill>
    </fill>
    <fill>
      <patternFill patternType="solid">
        <fgColor theme="0" tint="-0.249977111117893"/>
        <bgColor indexed="26"/>
      </patternFill>
    </fill>
    <fill>
      <patternFill patternType="solid">
        <fgColor theme="6" tint="-0.249977111117893"/>
        <bgColor indexed="64"/>
      </patternFill>
    </fill>
    <fill>
      <patternFill patternType="solid">
        <fgColor theme="6" tint="-0.249977111117893"/>
        <bgColor indexed="26"/>
      </patternFill>
    </fill>
    <fill>
      <patternFill patternType="solid">
        <fgColor rgb="FF92D050"/>
        <bgColor indexed="26"/>
      </patternFill>
    </fill>
    <fill>
      <patternFill patternType="solid">
        <fgColor rgb="FFFFFF00"/>
        <bgColor indexed="26"/>
      </patternFill>
    </fill>
    <fill>
      <patternFill patternType="solid">
        <fgColor theme="9" tint="-0.249977111117893"/>
        <bgColor indexed="26"/>
      </patternFill>
    </fill>
    <fill>
      <patternFill patternType="solid">
        <fgColor theme="3" tint="0.59999389629810485"/>
        <bgColor indexed="26"/>
      </patternFill>
    </fill>
    <fill>
      <patternFill patternType="solid">
        <fgColor rgb="FFFFFFFF"/>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bgColor indexed="64"/>
      </patternFill>
    </fill>
    <fill>
      <patternFill patternType="solid">
        <fgColor theme="4"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style="thin">
        <color indexed="23"/>
      </top>
      <bottom style="thin">
        <color indexed="23"/>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bottom style="thin">
        <color indexed="23"/>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3"/>
      </left>
      <right/>
      <top style="thin">
        <color indexed="23"/>
      </top>
      <bottom style="thin">
        <color indexed="64"/>
      </bottom>
      <diagonal/>
    </border>
    <border>
      <left style="thin">
        <color indexed="23"/>
      </left>
      <right style="thin">
        <color indexed="23"/>
      </right>
      <top style="thin">
        <color indexed="23"/>
      </top>
      <bottom/>
      <diagonal/>
    </border>
    <border>
      <left style="thin">
        <color indexed="64"/>
      </left>
      <right/>
      <top/>
      <bottom/>
      <diagonal/>
    </border>
  </borders>
  <cellStyleXfs count="48">
    <xf numFmtId="0" fontId="0" fillId="0" borderId="0"/>
    <xf numFmtId="0" fontId="27" fillId="9" borderId="0" applyNumberFormat="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17"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10" borderId="20" applyNumberFormat="0" applyFont="0" applyAlignment="0" applyProtection="0"/>
    <xf numFmtId="43" fontId="53" fillId="0" borderId="0" applyFont="0" applyFill="0" applyBorder="0" applyAlignment="0" applyProtection="0"/>
  </cellStyleXfs>
  <cellXfs count="596">
    <xf numFmtId="0" fontId="0" fillId="0" borderId="0" xfId="0"/>
    <xf numFmtId="0" fontId="0" fillId="0" borderId="0" xfId="0" applyBorder="1" applyAlignment="1">
      <alignment wrapText="1"/>
    </xf>
    <xf numFmtId="0" fontId="0" fillId="0" borderId="0" xfId="0" applyBorder="1" applyAlignment="1">
      <alignment horizontal="left" wrapText="1"/>
    </xf>
    <xf numFmtId="0" fontId="6" fillId="0" borderId="0" xfId="0" applyFont="1" applyBorder="1" applyAlignment="1">
      <alignment vertical="center" wrapText="1"/>
    </xf>
    <xf numFmtId="0" fontId="0" fillId="0" borderId="0" xfId="0" applyBorder="1"/>
    <xf numFmtId="0" fontId="9" fillId="0" borderId="0" xfId="0" applyFont="1" applyBorder="1"/>
    <xf numFmtId="0" fontId="9" fillId="0" borderId="0" xfId="0" applyFont="1" applyBorder="1" applyAlignment="1">
      <alignment vertical="top"/>
    </xf>
    <xf numFmtId="0" fontId="9" fillId="0" borderId="0" xfId="0" applyFont="1"/>
    <xf numFmtId="0" fontId="9" fillId="0" borderId="0" xfId="0" applyFont="1" applyBorder="1" applyAlignment="1">
      <alignment horizontal="left"/>
    </xf>
    <xf numFmtId="0" fontId="9" fillId="0" borderId="0" xfId="0" applyFont="1" applyAlignment="1">
      <alignment horizontal="left"/>
    </xf>
    <xf numFmtId="0" fontId="10" fillId="0" borderId="0" xfId="0" applyFont="1"/>
    <xf numFmtId="0" fontId="8" fillId="0" borderId="0" xfId="0" applyFont="1" applyBorder="1" applyAlignment="1">
      <alignment horizontal="center" vertical="center" wrapText="1"/>
    </xf>
    <xf numFmtId="0" fontId="0" fillId="0" borderId="0" xfId="0" applyAlignment="1">
      <alignment wrapText="1"/>
    </xf>
    <xf numFmtId="0" fontId="3" fillId="0" borderId="0" xfId="0" applyFont="1"/>
    <xf numFmtId="0" fontId="3" fillId="0" borderId="0" xfId="0" applyFont="1" applyAlignment="1">
      <alignment horizontal="left"/>
    </xf>
    <xf numFmtId="0" fontId="3" fillId="0" borderId="0" xfId="0" applyFont="1" applyBorder="1" applyAlignment="1">
      <alignment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Fill="1"/>
    <xf numFmtId="0" fontId="3" fillId="0" borderId="0" xfId="0" applyFont="1" applyAlignment="1">
      <alignment wrapText="1"/>
    </xf>
    <xf numFmtId="2" fontId="3" fillId="2" borderId="0" xfId="0" applyNumberFormat="1" applyFont="1" applyFill="1" applyBorder="1" applyAlignment="1">
      <alignment horizontal="center" vertical="top"/>
    </xf>
    <xf numFmtId="0" fontId="3" fillId="0" borderId="2" xfId="0" applyFont="1" applyBorder="1" applyAlignment="1">
      <alignment horizontal="left" wrapText="1"/>
    </xf>
    <xf numFmtId="0" fontId="3" fillId="0" borderId="2" xfId="0" applyFont="1" applyBorder="1"/>
    <xf numFmtId="0" fontId="4" fillId="0" borderId="0" xfId="0" applyFont="1"/>
    <xf numFmtId="0" fontId="0" fillId="0" borderId="0" xfId="0" applyFill="1" applyBorder="1"/>
    <xf numFmtId="0" fontId="4" fillId="0" borderId="0" xfId="0" applyFont="1" applyBorder="1"/>
    <xf numFmtId="0" fontId="4" fillId="0" borderId="0" xfId="0" applyFont="1" applyFill="1" applyBorder="1"/>
    <xf numFmtId="0" fontId="0" fillId="11" borderId="0" xfId="0" applyFill="1" applyBorder="1"/>
    <xf numFmtId="0" fontId="0" fillId="11" borderId="0" xfId="0" applyFill="1"/>
    <xf numFmtId="0" fontId="8" fillId="0" borderId="3" xfId="0" applyFont="1" applyFill="1" applyBorder="1" applyAlignment="1">
      <alignment horizontal="center" vertical="center"/>
    </xf>
    <xf numFmtId="0" fontId="3" fillId="12" borderId="0" xfId="0" applyFont="1" applyFill="1" applyBorder="1" applyAlignment="1">
      <alignment horizontal="left" wrapText="1"/>
    </xf>
    <xf numFmtId="0" fontId="3" fillId="12" borderId="0" xfId="0" applyFont="1" applyFill="1"/>
    <xf numFmtId="0" fontId="0" fillId="0" borderId="0" xfId="0" applyProtection="1">
      <protection locked="0"/>
    </xf>
    <xf numFmtId="0" fontId="0" fillId="0" borderId="0" xfId="0" applyFill="1"/>
    <xf numFmtId="0" fontId="3" fillId="0" borderId="0" xfId="0" applyFont="1" applyFill="1" applyAlignment="1">
      <alignment horizontal="center" vertical="center" wrapText="1"/>
    </xf>
    <xf numFmtId="0" fontId="0" fillId="0" borderId="0" xfId="0" applyFill="1" applyAlignment="1">
      <alignment horizontal="center" vertical="center" wrapText="1"/>
    </xf>
    <xf numFmtId="165" fontId="5" fillId="2" borderId="4" xfId="0" applyNumberFormat="1" applyFont="1" applyFill="1" applyBorder="1" applyAlignment="1" applyProtection="1">
      <alignment horizontal="center" vertical="top"/>
      <protection locked="0"/>
    </xf>
    <xf numFmtId="0" fontId="0" fillId="0" borderId="0" xfId="0" applyAlignment="1"/>
    <xf numFmtId="0" fontId="0" fillId="0" borderId="5" xfId="0" applyBorder="1" applyAlignment="1"/>
    <xf numFmtId="0" fontId="7" fillId="0" borderId="6" xfId="0" applyFont="1" applyBorder="1" applyAlignment="1">
      <alignment vertical="top"/>
    </xf>
    <xf numFmtId="0" fontId="7" fillId="0" borderId="7" xfId="0" applyFont="1" applyBorder="1" applyAlignment="1">
      <alignment vertical="top"/>
    </xf>
    <xf numFmtId="0" fontId="0" fillId="0" borderId="5" xfId="0" applyBorder="1" applyProtection="1">
      <protection locked="0"/>
    </xf>
    <xf numFmtId="0" fontId="12" fillId="0" borderId="0" xfId="0" applyFont="1" applyFill="1" applyBorder="1" applyAlignment="1" applyProtection="1">
      <alignment vertical="center"/>
      <protection locked="0"/>
    </xf>
    <xf numFmtId="0" fontId="18" fillId="11" borderId="0" xfId="0" applyFont="1" applyFill="1" applyBorder="1" applyAlignment="1" applyProtection="1">
      <alignment vertical="center"/>
      <protection locked="0"/>
    </xf>
    <xf numFmtId="0" fontId="11" fillId="11" borderId="0" xfId="0" applyFont="1" applyFill="1" applyBorder="1" applyAlignment="1" applyProtection="1">
      <alignment vertical="center" wrapText="1"/>
      <protection locked="0"/>
    </xf>
    <xf numFmtId="0" fontId="8"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165" fontId="10" fillId="2" borderId="3" xfId="0" applyNumberFormat="1" applyFont="1" applyFill="1" applyBorder="1" applyAlignment="1">
      <alignment horizontal="center" vertical="center"/>
    </xf>
    <xf numFmtId="165" fontId="10" fillId="2" borderId="3" xfId="0" applyNumberFormat="1" applyFont="1" applyFill="1" applyBorder="1" applyAlignment="1" applyProtection="1">
      <alignment horizontal="center" vertical="center"/>
      <protection locked="0"/>
    </xf>
    <xf numFmtId="165" fontId="10" fillId="0" borderId="3" xfId="0" applyNumberFormat="1"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7" fillId="0" borderId="0" xfId="0" applyFont="1" applyFill="1" applyBorder="1" applyAlignment="1">
      <alignment horizontal="center" vertical="center" wrapText="1"/>
    </xf>
    <xf numFmtId="165" fontId="10" fillId="13" borderId="3" xfId="0" applyNumberFormat="1" applyFont="1" applyFill="1" applyBorder="1" applyAlignment="1">
      <alignment horizontal="center" vertical="center"/>
    </xf>
    <xf numFmtId="165" fontId="9" fillId="13" borderId="3" xfId="0" applyNumberFormat="1" applyFont="1" applyFill="1" applyBorder="1" applyAlignment="1">
      <alignment horizontal="center" vertical="top"/>
    </xf>
    <xf numFmtId="165"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horizontal="left" wrapText="1"/>
    </xf>
    <xf numFmtId="0" fontId="10" fillId="0" borderId="3" xfId="0" applyFont="1" applyFill="1" applyBorder="1" applyAlignment="1">
      <alignment horizontal="justify" vertical="top" wrapText="1"/>
    </xf>
    <xf numFmtId="0" fontId="4" fillId="0" borderId="3" xfId="0" applyFont="1" applyFill="1" applyBorder="1" applyAlignment="1">
      <alignment horizontal="center" vertical="center" wrapText="1"/>
    </xf>
    <xf numFmtId="0" fontId="15" fillId="0" borderId="0" xfId="0" applyFont="1"/>
    <xf numFmtId="0" fontId="14" fillId="0" borderId="0" xfId="0" applyFont="1"/>
    <xf numFmtId="0" fontId="4" fillId="0" borderId="0" xfId="0" applyFont="1" applyFill="1"/>
    <xf numFmtId="0" fontId="10" fillId="0" borderId="0" xfId="0" applyFont="1" applyFill="1"/>
    <xf numFmtId="0" fontId="8" fillId="0" borderId="0" xfId="0" applyFont="1" applyFill="1"/>
    <xf numFmtId="0" fontId="20" fillId="0" borderId="0" xfId="0" applyFont="1" applyFill="1" applyBorder="1" applyAlignment="1">
      <alignment vertical="center" wrapText="1"/>
    </xf>
    <xf numFmtId="0" fontId="14" fillId="0" borderId="0" xfId="0" applyFont="1" applyFill="1" applyBorder="1" applyAlignment="1">
      <alignment vertical="center" wrapText="1"/>
    </xf>
    <xf numFmtId="0" fontId="8" fillId="14" borderId="3" xfId="0" applyFont="1" applyFill="1" applyBorder="1" applyAlignment="1">
      <alignment horizontal="center" vertical="center" wrapText="1"/>
    </xf>
    <xf numFmtId="0" fontId="8" fillId="14" borderId="3" xfId="0" applyFont="1" applyFill="1" applyBorder="1" applyAlignment="1">
      <alignment horizontal="center" vertical="center" textRotation="90" wrapText="1"/>
    </xf>
    <xf numFmtId="165" fontId="8" fillId="14" borderId="3" xfId="0" applyNumberFormat="1" applyFont="1" applyFill="1" applyBorder="1" applyAlignment="1">
      <alignment horizontal="center" vertical="center" wrapText="1"/>
    </xf>
    <xf numFmtId="0" fontId="8" fillId="14" borderId="3" xfId="0" applyFont="1" applyFill="1" applyBorder="1" applyAlignment="1">
      <alignment vertical="center" wrapText="1"/>
    </xf>
    <xf numFmtId="0" fontId="10" fillId="11" borderId="3" xfId="0" applyFont="1" applyFill="1" applyBorder="1" applyAlignment="1">
      <alignment horizontal="center" vertical="center" wrapText="1"/>
    </xf>
    <xf numFmtId="0" fontId="8" fillId="14" borderId="3" xfId="0" applyFont="1" applyFill="1" applyBorder="1" applyAlignment="1">
      <alignment vertical="center"/>
    </xf>
    <xf numFmtId="0" fontId="8" fillId="14" borderId="3" xfId="0" applyFont="1" applyFill="1" applyBorder="1" applyAlignment="1">
      <alignment horizontal="center" vertical="center"/>
    </xf>
    <xf numFmtId="165" fontId="8" fillId="14" borderId="3" xfId="0" applyNumberFormat="1" applyFont="1" applyFill="1" applyBorder="1" applyAlignment="1">
      <alignment horizontal="center" vertical="center"/>
    </xf>
    <xf numFmtId="0" fontId="10" fillId="0" borderId="3" xfId="0" applyFont="1" applyFill="1" applyBorder="1" applyAlignment="1">
      <alignment horizontal="left" vertical="center"/>
    </xf>
    <xf numFmtId="165" fontId="13" fillId="2" borderId="3" xfId="0" applyNumberFormat="1" applyFont="1" applyFill="1" applyBorder="1" applyAlignment="1" applyProtection="1">
      <alignment horizontal="center" vertical="center"/>
      <protection locked="0"/>
    </xf>
    <xf numFmtId="165" fontId="13" fillId="2" borderId="3" xfId="0" applyNumberFormat="1" applyFont="1" applyFill="1" applyBorder="1" applyAlignment="1">
      <alignment horizontal="center" vertical="center"/>
    </xf>
    <xf numFmtId="165" fontId="13" fillId="2" borderId="3" xfId="17" applyNumberFormat="1" applyFont="1" applyFill="1" applyBorder="1" applyAlignment="1">
      <alignment horizontal="center" vertical="center"/>
    </xf>
    <xf numFmtId="0" fontId="13" fillId="11" borderId="3" xfId="17" applyFont="1" applyFill="1" applyBorder="1" applyAlignment="1">
      <alignment horizontal="left" vertical="center" wrapText="1"/>
    </xf>
    <xf numFmtId="0" fontId="3" fillId="0" borderId="3" xfId="0" applyFont="1" applyBorder="1"/>
    <xf numFmtId="165" fontId="13" fillId="2" borderId="12" xfId="0" applyNumberFormat="1" applyFont="1" applyFill="1" applyBorder="1" applyAlignment="1">
      <alignment horizontal="center" vertical="center"/>
    </xf>
    <xf numFmtId="165" fontId="13" fillId="0" borderId="0" xfId="0" applyNumberFormat="1" applyFont="1" applyFill="1" applyBorder="1" applyAlignment="1">
      <alignment horizontal="center" vertical="center"/>
    </xf>
    <xf numFmtId="165" fontId="13" fillId="2" borderId="0" xfId="0" applyNumberFormat="1" applyFont="1" applyFill="1" applyBorder="1" applyAlignment="1">
      <alignment horizontal="center" vertical="center"/>
    </xf>
    <xf numFmtId="0" fontId="10" fillId="0" borderId="3" xfId="0" applyFont="1" applyBorder="1" applyAlignment="1">
      <alignment horizontal="center"/>
    </xf>
    <xf numFmtId="0" fontId="13" fillId="11" borderId="3" xfId="17"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xf numFmtId="165" fontId="10" fillId="0" borderId="0" xfId="17" applyNumberFormat="1" applyFont="1" applyFill="1" applyBorder="1" applyAlignment="1">
      <alignment horizontal="center" vertical="center"/>
    </xf>
    <xf numFmtId="165" fontId="9" fillId="0"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0" fontId="3" fillId="2" borderId="3" xfId="0" applyFont="1" applyFill="1" applyBorder="1" applyAlignment="1" applyProtection="1">
      <alignment horizontal="left" vertical="top"/>
      <protection locked="0"/>
    </xf>
    <xf numFmtId="0" fontId="3" fillId="19" borderId="3"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top"/>
      <protection locked="0"/>
    </xf>
    <xf numFmtId="0" fontId="28" fillId="0" borderId="3" xfId="34" applyFont="1" applyFill="1" applyBorder="1" applyAlignment="1">
      <alignment horizontal="left" vertical="center" wrapText="1"/>
    </xf>
    <xf numFmtId="0" fontId="28" fillId="0" borderId="3" xfId="34" applyFont="1" applyFill="1" applyBorder="1" applyAlignment="1">
      <alignment horizontal="left" vertical="center"/>
    </xf>
    <xf numFmtId="0" fontId="15" fillId="0" borderId="0"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5" fillId="0" borderId="5" xfId="0" applyFont="1" applyFill="1" applyBorder="1" applyAlignment="1">
      <alignment vertical="center" wrapText="1"/>
    </xf>
    <xf numFmtId="0" fontId="14" fillId="0" borderId="5" xfId="0" applyFont="1" applyFill="1" applyBorder="1" applyAlignment="1">
      <alignment vertical="center" wrapText="1"/>
    </xf>
    <xf numFmtId="0" fontId="3" fillId="0" borderId="0" xfId="0" applyFont="1" applyBorder="1" applyAlignment="1">
      <alignment horizontal="left"/>
    </xf>
    <xf numFmtId="0" fontId="3" fillId="0" borderId="0" xfId="0" applyFont="1" applyBorder="1"/>
    <xf numFmtId="0" fontId="18" fillId="11" borderId="0" xfId="0" applyFont="1" applyFill="1" applyBorder="1" applyAlignment="1" applyProtection="1">
      <alignment horizontal="center" vertical="center"/>
      <protection locked="0"/>
    </xf>
    <xf numFmtId="0" fontId="9"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28" fillId="11" borderId="3" xfId="34" applyFont="1" applyFill="1" applyBorder="1" applyAlignment="1">
      <alignment horizontal="left" vertical="center" wrapText="1"/>
    </xf>
    <xf numFmtId="0" fontId="28" fillId="0" borderId="3" xfId="34" applyFont="1" applyFill="1" applyBorder="1" applyAlignment="1" applyProtection="1">
      <alignment horizontal="left" vertical="center" wrapText="1"/>
    </xf>
    <xf numFmtId="0" fontId="13" fillId="0" borderId="3" xfId="0" applyFont="1" applyFill="1" applyBorder="1" applyAlignment="1">
      <alignment horizontal="center" vertical="center" wrapText="1"/>
    </xf>
    <xf numFmtId="165" fontId="13" fillId="0"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165" fontId="13" fillId="0" borderId="3" xfId="17" applyNumberFormat="1" applyFont="1" applyFill="1" applyBorder="1" applyAlignment="1">
      <alignment horizontal="center" vertical="center"/>
    </xf>
    <xf numFmtId="0" fontId="13" fillId="0" borderId="3" xfId="17" applyFont="1" applyFill="1" applyBorder="1" applyAlignment="1">
      <alignment horizontal="center" vertical="center" wrapText="1"/>
    </xf>
    <xf numFmtId="0" fontId="13" fillId="0" borderId="0" xfId="0" applyFont="1"/>
    <xf numFmtId="0" fontId="16" fillId="2" borderId="9" xfId="0" applyFont="1" applyFill="1" applyBorder="1" applyAlignment="1">
      <alignment vertical="center"/>
    </xf>
    <xf numFmtId="0" fontId="13" fillId="2" borderId="3" xfId="0" applyFont="1" applyFill="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0" xfId="0" applyFont="1" applyAlignment="1">
      <alignment wrapText="1"/>
    </xf>
    <xf numFmtId="0" fontId="16" fillId="2" borderId="2" xfId="0" applyFont="1" applyFill="1" applyBorder="1" applyAlignment="1">
      <alignment vertical="center"/>
    </xf>
    <xf numFmtId="0" fontId="16" fillId="2" borderId="8" xfId="0" applyFont="1" applyFill="1" applyBorder="1" applyAlignment="1">
      <alignment vertical="center"/>
    </xf>
    <xf numFmtId="165" fontId="13" fillId="2" borderId="3" xfId="0" applyNumberFormat="1" applyFont="1" applyFill="1" applyBorder="1" applyAlignment="1" applyProtection="1">
      <alignment horizontal="center" vertical="top"/>
      <protection locked="0"/>
    </xf>
    <xf numFmtId="0" fontId="13" fillId="0" borderId="3" xfId="0" applyFont="1" applyFill="1" applyBorder="1" applyAlignment="1">
      <alignment horizontal="left" vertical="center" wrapText="1"/>
    </xf>
    <xf numFmtId="0" fontId="21" fillId="11" borderId="0" xfId="0" applyFont="1" applyFill="1" applyBorder="1" applyAlignment="1" applyProtection="1">
      <alignment horizontal="center" vertical="center"/>
      <protection locked="0"/>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16" fillId="0" borderId="14" xfId="0" applyFont="1" applyFill="1" applyBorder="1" applyAlignment="1">
      <alignment vertical="center" wrapText="1"/>
    </xf>
    <xf numFmtId="0" fontId="16" fillId="0" borderId="15" xfId="0" applyFont="1" applyFill="1" applyBorder="1" applyAlignment="1">
      <alignment vertical="center" wrapText="1"/>
    </xf>
    <xf numFmtId="0" fontId="16" fillId="0" borderId="0" xfId="0" applyFont="1" applyBorder="1" applyAlignment="1">
      <alignment vertical="center" wrapText="1"/>
    </xf>
    <xf numFmtId="0" fontId="13" fillId="0" borderId="5" xfId="0" applyFont="1" applyFill="1" applyBorder="1" applyAlignment="1">
      <alignment vertical="center" wrapText="1"/>
    </xf>
    <xf numFmtId="0" fontId="16" fillId="0" borderId="5" xfId="0" applyFont="1" applyFill="1" applyBorder="1" applyAlignment="1">
      <alignment vertical="center" wrapText="1"/>
    </xf>
    <xf numFmtId="0" fontId="16" fillId="11" borderId="0" xfId="0" applyFont="1" applyFill="1" applyBorder="1" applyAlignment="1" applyProtection="1">
      <alignment vertical="center" wrapText="1"/>
      <protection locked="0"/>
    </xf>
    <xf numFmtId="0" fontId="16" fillId="0" borderId="0" xfId="0" applyFont="1" applyBorder="1" applyAlignment="1">
      <alignment horizontal="center" vertical="center" wrapText="1"/>
    </xf>
    <xf numFmtId="0" fontId="13" fillId="0" borderId="3" xfId="0" applyFont="1" applyBorder="1" applyAlignment="1" applyProtection="1">
      <alignment horizontal="center" vertical="center"/>
      <protection locked="0"/>
    </xf>
    <xf numFmtId="165" fontId="13" fillId="2" borderId="3" xfId="0" applyNumberFormat="1" applyFont="1" applyFill="1" applyBorder="1" applyAlignment="1" applyProtection="1">
      <alignment horizontal="center" vertical="center"/>
    </xf>
    <xf numFmtId="165" fontId="13"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13" fillId="2"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65" fontId="13" fillId="3" borderId="3" xfId="0" applyNumberFormat="1" applyFont="1" applyFill="1" applyBorder="1" applyAlignment="1" applyProtection="1">
      <alignment horizontal="center" vertical="center"/>
    </xf>
    <xf numFmtId="165" fontId="28" fillId="3" borderId="3" xfId="0" applyNumberFormat="1" applyFont="1" applyFill="1" applyBorder="1" applyAlignment="1" applyProtection="1">
      <alignment horizontal="center" vertical="center"/>
    </xf>
    <xf numFmtId="165" fontId="13" fillId="3" borderId="3" xfId="0" applyNumberFormat="1" applyFont="1" applyFill="1" applyBorder="1" applyAlignment="1">
      <alignment horizontal="center" vertical="center"/>
    </xf>
    <xf numFmtId="0" fontId="13" fillId="0" borderId="3" xfId="0" applyNumberFormat="1"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13" fillId="2" borderId="3" xfId="0" applyFont="1" applyFill="1" applyBorder="1" applyAlignment="1" applyProtection="1">
      <alignment horizontal="centerContinuous" vertical="center"/>
      <protection locked="0"/>
    </xf>
    <xf numFmtId="0" fontId="13" fillId="0" borderId="0" xfId="0" applyFont="1" applyBorder="1" applyAlignment="1">
      <alignment wrapText="1"/>
    </xf>
    <xf numFmtId="0" fontId="13" fillId="0" borderId="3" xfId="0" applyFont="1" applyFill="1" applyBorder="1" applyAlignment="1" applyProtection="1">
      <alignment horizontal="centerContinuous" vertical="center"/>
      <protection locked="0"/>
    </xf>
    <xf numFmtId="165" fontId="13" fillId="18" borderId="3" xfId="0" applyNumberFormat="1" applyFont="1" applyFill="1" applyBorder="1" applyAlignment="1" applyProtection="1">
      <alignment horizontal="center" vertical="center"/>
      <protection locked="0"/>
    </xf>
    <xf numFmtId="165" fontId="13" fillId="18" borderId="3" xfId="0" applyNumberFormat="1" applyFont="1" applyFill="1" applyBorder="1" applyAlignment="1" applyProtection="1">
      <alignment horizontal="center" vertical="center"/>
    </xf>
    <xf numFmtId="165" fontId="13" fillId="22" borderId="3" xfId="0" applyNumberFormat="1" applyFont="1" applyFill="1" applyBorder="1" applyAlignment="1" applyProtection="1">
      <alignment horizontal="center" vertical="center"/>
    </xf>
    <xf numFmtId="165" fontId="13" fillId="13" borderId="3" xfId="0" applyNumberFormat="1" applyFont="1" applyFill="1" applyBorder="1" applyAlignment="1" applyProtection="1">
      <alignment horizontal="center" vertical="center"/>
    </xf>
    <xf numFmtId="0" fontId="13" fillId="11" borderId="3"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3" fillId="0" borderId="7" xfId="0" applyFont="1" applyBorder="1" applyAlignment="1">
      <alignmen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5" xfId="0" applyFont="1" applyBorder="1" applyAlignment="1">
      <alignment vertical="center"/>
    </xf>
    <xf numFmtId="0" fontId="13" fillId="0" borderId="0" xfId="0" applyFont="1" applyAlignment="1" applyProtection="1">
      <alignment vertical="center"/>
      <protection locked="0"/>
    </xf>
    <xf numFmtId="0" fontId="13" fillId="0" borderId="5" xfId="0" applyFont="1" applyBorder="1" applyAlignment="1" applyProtection="1">
      <alignment vertical="center"/>
      <protection locked="0"/>
    </xf>
    <xf numFmtId="0" fontId="13" fillId="0" borderId="3" xfId="0" applyFont="1" applyBorder="1" applyAlignment="1">
      <alignment vertical="center" wrapText="1"/>
    </xf>
    <xf numFmtId="0" fontId="13" fillId="0" borderId="3" xfId="0" applyFont="1" applyBorder="1" applyAlignment="1" applyProtection="1">
      <alignment vertical="center"/>
      <protection locked="0"/>
    </xf>
    <xf numFmtId="0" fontId="13" fillId="0" borderId="3" xfId="0" applyFont="1" applyBorder="1" applyAlignment="1">
      <alignment horizontal="left" vertical="center" wrapText="1"/>
    </xf>
    <xf numFmtId="0" fontId="28" fillId="0" borderId="3" xfId="0" applyFont="1" applyFill="1" applyBorder="1" applyAlignment="1" applyProtection="1">
      <alignment horizontal="center" vertical="center"/>
      <protection locked="0"/>
    </xf>
    <xf numFmtId="0" fontId="13" fillId="0" borderId="3" xfId="0" applyFont="1" applyFill="1" applyBorder="1" applyAlignment="1">
      <alignment vertical="center" wrapText="1"/>
    </xf>
    <xf numFmtId="1" fontId="13" fillId="11" borderId="3" xfId="0" applyNumberFormat="1" applyFont="1" applyFill="1" applyBorder="1" applyAlignment="1">
      <alignment horizontal="center" vertical="center"/>
    </xf>
    <xf numFmtId="1" fontId="13" fillId="0" borderId="3" xfId="0" applyNumberFormat="1" applyFont="1" applyFill="1" applyBorder="1" applyAlignment="1">
      <alignment horizontal="center" vertical="center"/>
    </xf>
    <xf numFmtId="0" fontId="13" fillId="0" borderId="0" xfId="0" applyFont="1" applyBorder="1" applyAlignment="1">
      <alignment horizontal="lef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21" fillId="11" borderId="0" xfId="0" applyFont="1" applyFill="1" applyBorder="1" applyAlignment="1" applyProtection="1">
      <alignment vertical="center" wrapText="1"/>
      <protection locked="0"/>
    </xf>
    <xf numFmtId="0" fontId="16" fillId="2" borderId="9" xfId="0" applyFont="1" applyFill="1" applyBorder="1" applyAlignment="1">
      <alignment vertical="center" wrapText="1"/>
    </xf>
    <xf numFmtId="0" fontId="13" fillId="0" borderId="18" xfId="0" applyFont="1" applyBorder="1" applyAlignment="1">
      <alignment horizontal="center" vertical="center"/>
    </xf>
    <xf numFmtId="0" fontId="13" fillId="2" borderId="19"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8" xfId="0" applyFont="1" applyBorder="1" applyAlignment="1">
      <alignment horizontal="left" vertical="center" wrapText="1"/>
    </xf>
    <xf numFmtId="0" fontId="13" fillId="0" borderId="8" xfId="0" applyFont="1" applyBorder="1" applyAlignment="1">
      <alignment horizontal="center" vertical="center" wrapText="1"/>
    </xf>
    <xf numFmtId="165" fontId="13" fillId="2" borderId="3" xfId="0" applyNumberFormat="1" applyFont="1" applyFill="1" applyBorder="1" applyAlignment="1" applyProtection="1">
      <alignment horizontal="center" vertical="top"/>
    </xf>
    <xf numFmtId="165" fontId="13" fillId="3" borderId="3" xfId="0" applyNumberFormat="1" applyFont="1" applyFill="1" applyBorder="1" applyAlignment="1" applyProtection="1">
      <alignment horizontal="center" vertical="top"/>
    </xf>
    <xf numFmtId="165" fontId="28" fillId="3" borderId="3" xfId="0" applyNumberFormat="1" applyFont="1" applyFill="1" applyBorder="1" applyAlignment="1" applyProtection="1">
      <alignment horizontal="center" vertical="top"/>
    </xf>
    <xf numFmtId="0" fontId="13" fillId="11" borderId="3" xfId="17" applyFont="1" applyFill="1" applyBorder="1" applyAlignment="1" applyProtection="1">
      <alignment horizontal="center" vertical="center" wrapText="1"/>
    </xf>
    <xf numFmtId="0" fontId="13" fillId="0" borderId="3" xfId="17" applyFont="1" applyFill="1" applyBorder="1" applyAlignment="1">
      <alignment horizontal="left" vertical="center" wrapText="1"/>
    </xf>
    <xf numFmtId="165" fontId="13" fillId="20" borderId="3" xfId="0" applyNumberFormat="1" applyFont="1" applyFill="1" applyBorder="1" applyAlignment="1" applyProtection="1">
      <alignment horizontal="center" vertical="center"/>
    </xf>
    <xf numFmtId="165" fontId="13" fillId="2" borderId="0" xfId="17" applyNumberFormat="1" applyFont="1" applyFill="1" applyBorder="1" applyAlignment="1">
      <alignment horizontal="center" vertical="center"/>
    </xf>
    <xf numFmtId="165" fontId="13"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165" fontId="13" fillId="2" borderId="0" xfId="0" applyNumberFormat="1" applyFont="1" applyFill="1" applyBorder="1" applyAlignment="1" applyProtection="1">
      <alignment horizontal="center" vertical="center"/>
    </xf>
    <xf numFmtId="165" fontId="13" fillId="3" borderId="0" xfId="0" applyNumberFormat="1" applyFont="1" applyFill="1" applyBorder="1" applyAlignment="1" applyProtection="1">
      <alignment horizontal="center" vertical="center"/>
    </xf>
    <xf numFmtId="165" fontId="28" fillId="3" borderId="0" xfId="0" applyNumberFormat="1" applyFont="1" applyFill="1" applyBorder="1" applyAlignment="1" applyProtection="1">
      <alignment horizontal="center" vertical="center"/>
    </xf>
    <xf numFmtId="165" fontId="13" fillId="2" borderId="3" xfId="17" applyNumberFormat="1" applyFont="1" applyFill="1" applyBorder="1" applyAlignment="1" applyProtection="1">
      <alignment horizontal="center" vertical="center" wrapText="1"/>
      <protection locked="0"/>
    </xf>
    <xf numFmtId="0" fontId="10" fillId="0" borderId="3" xfId="0" applyFont="1" applyBorder="1" applyAlignment="1">
      <alignment wrapText="1"/>
    </xf>
    <xf numFmtId="0" fontId="10" fillId="0" borderId="3" xfId="0" applyFont="1" applyBorder="1"/>
    <xf numFmtId="0" fontId="13" fillId="2" borderId="3" xfId="17" applyFont="1" applyFill="1" applyBorder="1" applyAlignment="1" applyProtection="1">
      <alignment horizontal="center" vertical="center"/>
      <protection locked="0"/>
    </xf>
    <xf numFmtId="165" fontId="13" fillId="2" borderId="3" xfId="17" applyNumberFormat="1" applyFont="1" applyFill="1" applyBorder="1" applyAlignment="1" applyProtection="1">
      <alignment horizontal="center" vertical="center"/>
      <protection locked="0"/>
    </xf>
    <xf numFmtId="165" fontId="25" fillId="3" borderId="3" xfId="0" applyNumberFormat="1" applyFont="1" applyFill="1" applyBorder="1" applyAlignment="1" applyProtection="1">
      <alignment horizontal="center" vertical="center"/>
    </xf>
    <xf numFmtId="0" fontId="13" fillId="0" borderId="0" xfId="0" applyFont="1" applyAlignment="1">
      <alignment horizontal="left"/>
    </xf>
    <xf numFmtId="165" fontId="28" fillId="0" borderId="3" xfId="0" applyNumberFormat="1" applyFont="1" applyFill="1" applyBorder="1" applyAlignment="1" applyProtection="1">
      <alignment horizontal="center" vertical="center"/>
    </xf>
    <xf numFmtId="165" fontId="13" fillId="0" borderId="3" xfId="0" applyNumberFormat="1" applyFont="1" applyFill="1" applyBorder="1" applyAlignment="1" applyProtection="1">
      <alignment horizontal="center" vertical="center"/>
    </xf>
    <xf numFmtId="165" fontId="13" fillId="16" borderId="3" xfId="0" applyNumberFormat="1" applyFont="1" applyFill="1" applyBorder="1" applyAlignment="1" applyProtection="1">
      <alignment horizontal="center" vertical="center"/>
    </xf>
    <xf numFmtId="165" fontId="7" fillId="2" borderId="4" xfId="0" applyNumberFormat="1" applyFont="1" applyFill="1" applyBorder="1" applyAlignment="1" applyProtection="1">
      <alignment horizontal="center" vertical="top"/>
      <protection locked="0"/>
    </xf>
    <xf numFmtId="0" fontId="13" fillId="0" borderId="3" xfId="17"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3" fontId="13" fillId="2" borderId="3" xfId="0" applyNumberFormat="1" applyFont="1" applyFill="1" applyBorder="1" applyAlignment="1" applyProtection="1">
      <alignment horizontal="center" vertical="center"/>
      <protection locked="0"/>
    </xf>
    <xf numFmtId="3" fontId="13" fillId="0" borderId="3" xfId="17" applyNumberFormat="1" applyFont="1" applyFill="1" applyBorder="1" applyAlignment="1" applyProtection="1">
      <alignment horizontal="center" vertical="center"/>
      <protection locked="0"/>
    </xf>
    <xf numFmtId="0" fontId="13" fillId="0" borderId="3" xfId="0" applyFont="1" applyBorder="1" applyAlignment="1">
      <alignment wrapText="1"/>
    </xf>
    <xf numFmtId="0" fontId="13" fillId="0" borderId="3" xfId="0" applyFont="1" applyBorder="1"/>
    <xf numFmtId="0" fontId="13" fillId="0" borderId="3" xfId="0" applyFont="1" applyBorder="1" applyAlignment="1">
      <alignment horizontal="center" wrapText="1"/>
    </xf>
    <xf numFmtId="0" fontId="13" fillId="0" borderId="3" xfId="0" applyFont="1" applyBorder="1" applyAlignment="1">
      <alignment horizontal="center"/>
    </xf>
    <xf numFmtId="0" fontId="13" fillId="0" borderId="3" xfId="0" applyFont="1" applyBorder="1" applyAlignment="1">
      <alignment horizontal="left" wrapText="1"/>
    </xf>
    <xf numFmtId="165" fontId="13" fillId="0" borderId="3" xfId="0" applyNumberFormat="1" applyFont="1" applyFill="1" applyBorder="1" applyAlignment="1">
      <alignment horizontal="center" vertical="center" wrapText="1"/>
    </xf>
    <xf numFmtId="0" fontId="13" fillId="0" borderId="0" xfId="0" applyFont="1" applyBorder="1" applyAlignment="1">
      <alignment horizontal="left" wrapText="1"/>
    </xf>
    <xf numFmtId="165" fontId="13" fillId="22" borderId="3" xfId="0" applyNumberFormat="1" applyFont="1" applyFill="1" applyBorder="1" applyAlignment="1">
      <alignment horizontal="center" vertical="center"/>
    </xf>
    <xf numFmtId="3" fontId="13" fillId="2" borderId="3" xfId="17" applyNumberFormat="1" applyFont="1" applyFill="1" applyBorder="1" applyAlignment="1" applyProtection="1">
      <alignment horizontal="center" vertical="center"/>
      <protection locked="0"/>
    </xf>
    <xf numFmtId="3" fontId="13" fillId="0" borderId="3"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3" xfId="17" applyNumberFormat="1" applyFont="1" applyFill="1" applyBorder="1" applyAlignment="1" applyProtection="1">
      <alignment horizontal="center" vertical="center"/>
      <protection locked="0"/>
    </xf>
    <xf numFmtId="0" fontId="10" fillId="0" borderId="3" xfId="0" applyFont="1" applyBorder="1" applyAlignment="1">
      <alignment horizontal="center" vertical="top"/>
    </xf>
    <xf numFmtId="0" fontId="25" fillId="2" borderId="3" xfId="0" applyNumberFormat="1" applyFont="1" applyFill="1" applyBorder="1" applyAlignment="1" applyProtection="1">
      <alignment horizontal="center" vertical="center"/>
      <protection locked="0"/>
    </xf>
    <xf numFmtId="0" fontId="25" fillId="0" borderId="3" xfId="0" applyNumberFormat="1" applyFont="1" applyFill="1" applyBorder="1" applyAlignment="1" applyProtection="1">
      <alignment horizontal="center" vertical="center"/>
      <protection locked="0"/>
    </xf>
    <xf numFmtId="165" fontId="13" fillId="2" borderId="8" xfId="0" applyNumberFormat="1" applyFont="1" applyFill="1" applyBorder="1" applyAlignment="1" applyProtection="1">
      <alignment horizontal="center" vertical="center"/>
    </xf>
    <xf numFmtId="0" fontId="13" fillId="2" borderId="3"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2" borderId="21" xfId="0" applyFont="1" applyFill="1" applyBorder="1" applyAlignment="1" applyProtection="1">
      <alignment horizontal="center" vertical="center"/>
      <protection locked="0"/>
    </xf>
    <xf numFmtId="0" fontId="13" fillId="0" borderId="2" xfId="0" applyFont="1" applyBorder="1" applyAlignment="1">
      <alignment vertical="center"/>
    </xf>
    <xf numFmtId="0" fontId="13" fillId="2" borderId="3" xfId="0" applyFont="1" applyFill="1" applyBorder="1" applyAlignment="1">
      <alignment horizontal="center" vertical="center" wrapText="1"/>
    </xf>
    <xf numFmtId="0" fontId="16" fillId="2" borderId="2" xfId="0" applyFont="1" applyFill="1" applyBorder="1" applyAlignment="1">
      <alignment horizontal="left" vertical="center"/>
    </xf>
    <xf numFmtId="0" fontId="28" fillId="0" borderId="3" xfId="46" applyFont="1" applyFill="1" applyBorder="1" applyAlignment="1">
      <alignment horizontal="left" vertical="center" wrapText="1"/>
    </xf>
    <xf numFmtId="0" fontId="13" fillId="0" borderId="3" xfId="0" applyFont="1" applyBorder="1" applyProtection="1">
      <protection locked="0"/>
    </xf>
    <xf numFmtId="0" fontId="13" fillId="2" borderId="13" xfId="0" applyFont="1" applyFill="1" applyBorder="1" applyAlignment="1" applyProtection="1">
      <alignment horizontal="center" vertical="center"/>
      <protection locked="0"/>
    </xf>
    <xf numFmtId="0" fontId="28" fillId="11" borderId="3" xfId="46" applyFont="1" applyFill="1" applyBorder="1" applyAlignment="1">
      <alignment horizontal="left" vertical="center" wrapText="1"/>
    </xf>
    <xf numFmtId="165" fontId="13" fillId="18" borderId="3" xfId="0" applyNumberFormat="1" applyFont="1" applyFill="1" applyBorder="1" applyAlignment="1" applyProtection="1">
      <alignment horizontal="center" vertical="top"/>
      <protection locked="0"/>
    </xf>
    <xf numFmtId="165" fontId="13" fillId="15" borderId="3" xfId="0" applyNumberFormat="1" applyFont="1" applyFill="1" applyBorder="1" applyAlignment="1" applyProtection="1">
      <alignment horizontal="center" vertical="top"/>
      <protection locked="0"/>
    </xf>
    <xf numFmtId="165" fontId="13" fillId="15" borderId="3" xfId="0" applyNumberFormat="1" applyFont="1" applyFill="1" applyBorder="1" applyAlignment="1" applyProtection="1">
      <alignment horizontal="center" vertical="top"/>
    </xf>
    <xf numFmtId="165" fontId="28" fillId="28" borderId="3" xfId="0" applyNumberFormat="1" applyFont="1" applyFill="1" applyBorder="1" applyAlignment="1" applyProtection="1">
      <alignment horizontal="center" vertical="top"/>
    </xf>
    <xf numFmtId="165" fontId="13" fillId="18" borderId="3" xfId="0" applyNumberFormat="1" applyFont="1" applyFill="1" applyBorder="1" applyAlignment="1" applyProtection="1">
      <alignment horizontal="center" vertical="top"/>
    </xf>
    <xf numFmtId="165" fontId="13" fillId="22" borderId="3" xfId="0" applyNumberFormat="1" applyFont="1" applyFill="1" applyBorder="1" applyAlignment="1" applyProtection="1">
      <alignment horizontal="center" vertical="top"/>
    </xf>
    <xf numFmtId="165" fontId="28" fillId="21" borderId="3" xfId="0" applyNumberFormat="1" applyFont="1" applyFill="1" applyBorder="1" applyAlignment="1" applyProtection="1">
      <alignment horizontal="center" vertical="top"/>
    </xf>
    <xf numFmtId="165" fontId="13" fillId="17" borderId="3" xfId="0" applyNumberFormat="1" applyFont="1" applyFill="1" applyBorder="1" applyAlignment="1" applyProtection="1">
      <alignment horizontal="center" vertical="top"/>
      <protection locked="0"/>
    </xf>
    <xf numFmtId="165" fontId="13" fillId="17" borderId="3" xfId="0" applyNumberFormat="1" applyFont="1" applyFill="1" applyBorder="1" applyAlignment="1" applyProtection="1">
      <alignment horizontal="center" vertical="top"/>
    </xf>
    <xf numFmtId="165" fontId="28" fillId="27" borderId="3" xfId="0" applyNumberFormat="1" applyFont="1" applyFill="1" applyBorder="1" applyAlignment="1" applyProtection="1">
      <alignment horizontal="center" vertical="top"/>
    </xf>
    <xf numFmtId="165" fontId="13" fillId="16" borderId="3" xfId="0" applyNumberFormat="1" applyFont="1" applyFill="1" applyBorder="1" applyAlignment="1" applyProtection="1">
      <alignment horizontal="center" vertical="top"/>
      <protection locked="0"/>
    </xf>
    <xf numFmtId="165" fontId="13" fillId="16" borderId="3" xfId="0" applyNumberFormat="1" applyFont="1" applyFill="1" applyBorder="1" applyAlignment="1" applyProtection="1">
      <alignment horizontal="center" vertical="top"/>
    </xf>
    <xf numFmtId="165" fontId="28" fillId="26" borderId="3" xfId="0" applyNumberFormat="1" applyFont="1" applyFill="1" applyBorder="1" applyAlignment="1" applyProtection="1">
      <alignment horizontal="center" vertical="top"/>
    </xf>
    <xf numFmtId="165" fontId="13" fillId="20" borderId="3" xfId="0" applyNumberFormat="1" applyFont="1" applyFill="1" applyBorder="1" applyAlignment="1" applyProtection="1">
      <alignment horizontal="center" vertical="top"/>
    </xf>
    <xf numFmtId="165" fontId="28" fillId="25" borderId="3" xfId="0" applyNumberFormat="1" applyFont="1" applyFill="1" applyBorder="1" applyAlignment="1" applyProtection="1">
      <alignment horizontal="center" vertical="top"/>
    </xf>
    <xf numFmtId="165" fontId="13" fillId="28" borderId="3" xfId="0" applyNumberFormat="1" applyFont="1" applyFill="1" applyBorder="1" applyAlignment="1" applyProtection="1">
      <alignment horizontal="center" vertical="top"/>
    </xf>
    <xf numFmtId="0" fontId="13" fillId="0" borderId="6" xfId="0" applyFont="1" applyBorder="1" applyAlignment="1">
      <alignment vertical="top"/>
    </xf>
    <xf numFmtId="0" fontId="13" fillId="0" borderId="7" xfId="0" applyFont="1" applyBorder="1" applyAlignment="1">
      <alignment vertical="top"/>
    </xf>
    <xf numFmtId="0" fontId="16" fillId="0" borderId="0" xfId="0" applyFont="1" applyFill="1" applyBorder="1" applyAlignment="1" applyProtection="1">
      <alignment vertical="center"/>
      <protection locked="0"/>
    </xf>
    <xf numFmtId="0" fontId="13" fillId="0" borderId="0" xfId="0" applyFont="1" applyAlignment="1"/>
    <xf numFmtId="0" fontId="13" fillId="0" borderId="5" xfId="0" applyFont="1" applyBorder="1" applyAlignment="1"/>
    <xf numFmtId="0" fontId="16" fillId="2" borderId="10" xfId="0" applyFont="1" applyFill="1" applyBorder="1" applyAlignment="1">
      <alignment vertical="center"/>
    </xf>
    <xf numFmtId="0" fontId="13" fillId="2"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13" fillId="29" borderId="3" xfId="0" applyFont="1" applyFill="1" applyBorder="1" applyAlignment="1">
      <alignment horizontal="center" vertical="center"/>
    </xf>
    <xf numFmtId="0" fontId="13" fillId="29" borderId="3"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left" vertical="center"/>
    </xf>
    <xf numFmtId="0" fontId="16" fillId="0" borderId="0" xfId="0" applyFont="1" applyFill="1" applyBorder="1" applyAlignment="1">
      <alignment vertical="center" wrapText="1"/>
    </xf>
    <xf numFmtId="0" fontId="13" fillId="0" borderId="0" xfId="0" applyFont="1" applyFill="1" applyBorder="1" applyAlignment="1">
      <alignment vertical="center" wrapText="1"/>
    </xf>
    <xf numFmtId="0" fontId="13" fillId="2" borderId="11" xfId="0" applyFont="1" applyFill="1" applyBorder="1" applyAlignment="1">
      <alignment horizontal="center" vertical="center" wrapText="1"/>
    </xf>
    <xf numFmtId="0" fontId="0" fillId="0" borderId="0" xfId="0"/>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6"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3" xfId="0" applyBorder="1" applyAlignment="1">
      <alignment vertical="center" wrapText="1"/>
    </xf>
    <xf numFmtId="0" fontId="28" fillId="0" borderId="3" xfId="0" applyFont="1" applyBorder="1" applyAlignment="1" applyProtection="1">
      <alignment horizontal="center" vertical="center"/>
      <protection locked="0"/>
    </xf>
    <xf numFmtId="0" fontId="9"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0" fillId="0" borderId="0" xfId="0" applyAlignment="1" applyProtection="1">
      <alignment vertical="center"/>
      <protection locked="0"/>
    </xf>
    <xf numFmtId="0" fontId="10" fillId="0" borderId="0" xfId="0" applyFont="1" applyAlignment="1">
      <alignment vertical="center"/>
    </xf>
    <xf numFmtId="0" fontId="0" fillId="0" borderId="3" xfId="0" applyBorder="1" applyAlignment="1">
      <alignment horizontal="left" vertical="center" wrapText="1"/>
    </xf>
    <xf numFmtId="165" fontId="13" fillId="11" borderId="3" xfId="0" applyNumberFormat="1" applyFont="1" applyFill="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Alignment="1">
      <alignment vertical="center"/>
    </xf>
    <xf numFmtId="0" fontId="0" fillId="0" borderId="0" xfId="0" applyAlignment="1">
      <alignment vertical="center" wrapText="1"/>
    </xf>
    <xf numFmtId="0" fontId="16"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3" xfId="46" applyFont="1" applyFill="1" applyBorder="1" applyAlignment="1">
      <alignment horizontal="left" vertical="center" wrapText="1"/>
    </xf>
    <xf numFmtId="0" fontId="0" fillId="0" borderId="11" xfId="0" applyBorder="1" applyAlignment="1">
      <alignment horizontal="left" wrapText="1"/>
    </xf>
    <xf numFmtId="0" fontId="0" fillId="0" borderId="11" xfId="0" applyBorder="1" applyAlignment="1">
      <alignment wrapText="1"/>
    </xf>
    <xf numFmtId="0" fontId="13" fillId="0" borderId="12" xfId="0" applyFont="1" applyFill="1" applyBorder="1" applyAlignment="1" applyProtection="1">
      <alignment horizontal="center" vertical="center"/>
      <protection locked="0"/>
    </xf>
    <xf numFmtId="0" fontId="28" fillId="0" borderId="0" xfId="46" applyFont="1" applyFill="1" applyBorder="1" applyAlignment="1">
      <alignment horizontal="left" vertical="center" wrapText="1"/>
    </xf>
    <xf numFmtId="0" fontId="13" fillId="0" borderId="0" xfId="0"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center" vertical="top"/>
      <protection locked="0"/>
    </xf>
    <xf numFmtId="165" fontId="13" fillId="0" borderId="0" xfId="0" applyNumberFormat="1" applyFont="1" applyFill="1" applyBorder="1" applyAlignment="1" applyProtection="1">
      <alignment horizontal="center" vertical="top"/>
    </xf>
    <xf numFmtId="165" fontId="28" fillId="0" borderId="0" xfId="0" applyNumberFormat="1" applyFont="1" applyFill="1" applyBorder="1" applyAlignment="1" applyProtection="1">
      <alignment horizontal="center" vertical="top"/>
    </xf>
    <xf numFmtId="0" fontId="13" fillId="0" borderId="0" xfId="0" applyFont="1" applyFill="1" applyBorder="1" applyProtection="1">
      <protection locked="0"/>
    </xf>
    <xf numFmtId="0" fontId="16"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11" xfId="0" applyFont="1" applyFill="1" applyBorder="1" applyAlignment="1" applyProtection="1">
      <alignment horizontal="center" vertical="center"/>
      <protection locked="0"/>
    </xf>
    <xf numFmtId="165" fontId="13" fillId="23" borderId="3" xfId="0" applyNumberFormat="1" applyFont="1" applyFill="1" applyBorder="1" applyAlignment="1" applyProtection="1">
      <alignment horizontal="center" vertical="center"/>
      <protection locked="0"/>
    </xf>
    <xf numFmtId="165" fontId="13" fillId="24" borderId="3" xfId="0" applyNumberFormat="1" applyFont="1" applyFill="1" applyBorder="1" applyAlignment="1" applyProtection="1">
      <alignment horizontal="center" vertical="center"/>
    </xf>
    <xf numFmtId="165" fontId="28" fillId="24" borderId="3" xfId="0" applyNumberFormat="1" applyFont="1" applyFill="1" applyBorder="1" applyAlignment="1" applyProtection="1">
      <alignment horizontal="center" vertical="center"/>
    </xf>
    <xf numFmtId="165" fontId="28" fillId="23" borderId="3" xfId="0" applyNumberFormat="1" applyFont="1" applyFill="1" applyBorder="1" applyAlignment="1" applyProtection="1">
      <alignment horizontal="center" vertical="center"/>
      <protection locked="0"/>
    </xf>
    <xf numFmtId="0" fontId="0" fillId="0" borderId="0" xfId="0"/>
    <xf numFmtId="0" fontId="13" fillId="11" borderId="11" xfId="17" applyFont="1" applyFill="1" applyBorder="1" applyAlignment="1">
      <alignment horizontal="center" vertical="center" wrapText="1"/>
    </xf>
    <xf numFmtId="0" fontId="13" fillId="11" borderId="11" xfId="17" applyFont="1" applyFill="1" applyBorder="1" applyAlignment="1">
      <alignment horizontal="left" vertical="center" wrapText="1"/>
    </xf>
    <xf numFmtId="165" fontId="13" fillId="2" borderId="11" xfId="0" applyNumberFormat="1" applyFont="1" applyFill="1" applyBorder="1" applyAlignment="1" applyProtection="1">
      <alignment horizontal="center" vertical="center"/>
    </xf>
    <xf numFmtId="165" fontId="13" fillId="3" borderId="11" xfId="0" applyNumberFormat="1" applyFont="1" applyFill="1" applyBorder="1" applyAlignment="1" applyProtection="1">
      <alignment horizontal="center" vertical="center"/>
    </xf>
    <xf numFmtId="0" fontId="13" fillId="11" borderId="12" xfId="17" applyFont="1" applyFill="1" applyBorder="1" applyAlignment="1">
      <alignment horizontal="center" vertical="center" wrapText="1"/>
    </xf>
    <xf numFmtId="165" fontId="13" fillId="2" borderId="12" xfId="17" applyNumberFormat="1" applyFont="1" applyFill="1" applyBorder="1" applyAlignment="1">
      <alignment horizontal="center" vertical="center"/>
    </xf>
    <xf numFmtId="165" fontId="13" fillId="3" borderId="12" xfId="0" applyNumberFormat="1" applyFont="1" applyFill="1" applyBorder="1" applyAlignment="1">
      <alignment horizontal="center" vertical="center"/>
    </xf>
    <xf numFmtId="0" fontId="8" fillId="11" borderId="9"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8" fillId="2" borderId="10" xfId="0" applyFont="1" applyFill="1" applyBorder="1" applyAlignment="1">
      <alignment horizontal="center" vertical="center"/>
    </xf>
    <xf numFmtId="0" fontId="1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3" fillId="11" borderId="3" xfId="46" applyFont="1" applyFill="1" applyBorder="1" applyAlignment="1">
      <alignment horizontal="left" vertical="center" wrapText="1"/>
    </xf>
    <xf numFmtId="0" fontId="13" fillId="2" borderId="3" xfId="0" applyFont="1" applyFill="1" applyBorder="1" applyAlignment="1">
      <alignment vertical="center" wrapText="1"/>
    </xf>
    <xf numFmtId="0" fontId="13" fillId="2" borderId="3" xfId="0" applyFont="1" applyFill="1" applyBorder="1" applyAlignment="1" applyProtection="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3" fillId="0" borderId="8" xfId="0" applyFont="1" applyBorder="1"/>
    <xf numFmtId="0" fontId="10" fillId="0" borderId="0" xfId="0" applyFont="1" applyFill="1" applyBorder="1" applyAlignment="1">
      <alignment horizontal="center" vertical="center"/>
    </xf>
    <xf numFmtId="0" fontId="10" fillId="0" borderId="0" xfId="0" applyFont="1" applyBorder="1" applyAlignment="1">
      <alignment vertical="center"/>
    </xf>
    <xf numFmtId="0" fontId="10" fillId="0" borderId="0" xfId="0" applyFont="1" applyFill="1" applyBorder="1" applyAlignment="1">
      <alignment vertical="center" wrapText="1"/>
    </xf>
    <xf numFmtId="0" fontId="10" fillId="0" borderId="0" xfId="0" applyFont="1" applyBorder="1" applyAlignment="1">
      <alignment horizontal="center" vertical="center"/>
    </xf>
    <xf numFmtId="165" fontId="10" fillId="2" borderId="0" xfId="0"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xf>
    <xf numFmtId="0" fontId="10" fillId="0" borderId="0" xfId="0" applyFont="1" applyFill="1" applyBorder="1" applyAlignment="1">
      <alignment vertical="center"/>
    </xf>
    <xf numFmtId="165" fontId="9" fillId="2" borderId="0" xfId="0" applyNumberFormat="1" applyFont="1" applyFill="1" applyBorder="1" applyAlignment="1" applyProtection="1">
      <alignment horizontal="center" vertical="center"/>
      <protection locked="0"/>
    </xf>
    <xf numFmtId="165" fontId="9" fillId="0" borderId="0" xfId="0" applyNumberFormat="1"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165" fontId="10" fillId="0" borderId="0" xfId="21" applyNumberFormat="1" applyFont="1" applyFill="1" applyBorder="1" applyAlignment="1">
      <alignment horizontal="center" vertical="center"/>
    </xf>
    <xf numFmtId="165" fontId="10" fillId="0" borderId="0" xfId="21" applyNumberFormat="1" applyFont="1"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xf>
    <xf numFmtId="165" fontId="5" fillId="3" borderId="3" xfId="0" applyNumberFormat="1" applyFont="1" applyFill="1" applyBorder="1" applyAlignment="1" applyProtection="1">
      <alignment horizontal="center" vertical="center"/>
    </xf>
    <xf numFmtId="165" fontId="13" fillId="16" borderId="3" xfId="0" applyNumberFormat="1" applyFont="1" applyFill="1" applyBorder="1" applyAlignment="1">
      <alignment horizontal="center" vertical="center"/>
    </xf>
    <xf numFmtId="0" fontId="13" fillId="12" borderId="0" xfId="0" applyFont="1" applyFill="1" applyBorder="1" applyAlignment="1">
      <alignment horizontal="center" vertical="center" wrapText="1"/>
    </xf>
    <xf numFmtId="0" fontId="13" fillId="12" borderId="0" xfId="0" applyFont="1" applyFill="1" applyAlignment="1">
      <alignment horizontal="center" vertical="center"/>
    </xf>
    <xf numFmtId="0" fontId="13" fillId="2"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34"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11" borderId="3" xfId="0" applyFont="1" applyFill="1" applyBorder="1" applyAlignment="1">
      <alignment horizontal="left" vertical="center" wrapText="1"/>
    </xf>
    <xf numFmtId="0" fontId="8" fillId="11" borderId="3" xfId="0" applyFont="1" applyFill="1" applyBorder="1" applyAlignment="1">
      <alignment horizontal="center" vertical="center" wrapText="1"/>
    </xf>
    <xf numFmtId="165" fontId="10" fillId="11"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3" fillId="0" borderId="0" xfId="0" applyFont="1" applyProtection="1">
      <protection locked="0"/>
    </xf>
    <xf numFmtId="165" fontId="7" fillId="3" borderId="3" xfId="0" applyNumberFormat="1" applyFont="1" applyFill="1" applyBorder="1" applyAlignment="1">
      <alignment horizontal="center" vertical="center" wrapText="1"/>
    </xf>
    <xf numFmtId="0" fontId="13" fillId="11" borderId="3" xfId="17" applyFont="1" applyFill="1" applyBorder="1" applyAlignment="1" applyProtection="1">
      <alignment vertical="center" wrapText="1"/>
      <protection locked="0"/>
    </xf>
    <xf numFmtId="0" fontId="7" fillId="2" borderId="3" xfId="0" applyFont="1" applyFill="1" applyBorder="1" applyAlignment="1" applyProtection="1">
      <alignment horizontal="center" vertical="top"/>
      <protection locked="0"/>
    </xf>
    <xf numFmtId="0" fontId="7" fillId="0" borderId="3" xfId="0" applyFont="1" applyFill="1" applyBorder="1" applyAlignment="1" applyProtection="1">
      <alignment horizontal="center" vertical="top"/>
      <protection locked="0"/>
    </xf>
    <xf numFmtId="0" fontId="13" fillId="11" borderId="0" xfId="0" applyFont="1" applyFill="1" applyBorder="1" applyAlignment="1">
      <alignment horizontal="center" vertical="center" wrapText="1"/>
    </xf>
    <xf numFmtId="0" fontId="13" fillId="2" borderId="0" xfId="0" applyFont="1" applyFill="1" applyBorder="1" applyAlignment="1" applyProtection="1">
      <alignment horizontal="center" vertical="center"/>
      <protection locked="0"/>
    </xf>
    <xf numFmtId="165" fontId="13" fillId="2" borderId="0" xfId="0" applyNumberFormat="1" applyFont="1" applyFill="1" applyBorder="1" applyAlignment="1" applyProtection="1">
      <alignment horizontal="center" vertical="center"/>
      <protection locked="0"/>
    </xf>
    <xf numFmtId="0" fontId="28" fillId="0" borderId="0" xfId="46" applyFont="1" applyFill="1" applyBorder="1" applyAlignment="1">
      <alignment horizontal="left" vertical="center"/>
    </xf>
    <xf numFmtId="165" fontId="13" fillId="11" borderId="0" xfId="0" applyNumberFormat="1" applyFont="1" applyFill="1" applyBorder="1" applyAlignment="1" applyProtection="1">
      <alignment horizontal="center" vertical="center"/>
      <protection locked="0"/>
    </xf>
    <xf numFmtId="165" fontId="25" fillId="3" borderId="0" xfId="0" applyNumberFormat="1" applyFont="1" applyFill="1" applyBorder="1" applyAlignment="1" applyProtection="1">
      <alignment horizontal="center" vertical="center"/>
    </xf>
    <xf numFmtId="0" fontId="25" fillId="0" borderId="0" xfId="0" applyFont="1" applyBorder="1" applyAlignment="1">
      <alignment horizontal="left" vertical="center"/>
    </xf>
    <xf numFmtId="0" fontId="8" fillId="14"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5" borderId="3" xfId="0" applyFont="1" applyFill="1" applyBorder="1" applyAlignment="1">
      <alignment horizontal="center" vertical="center" textRotation="90" wrapText="1"/>
    </xf>
    <xf numFmtId="0" fontId="8" fillId="20" borderId="3" xfId="0" applyFont="1" applyFill="1" applyBorder="1" applyAlignment="1">
      <alignment horizontal="center" vertical="center" textRotation="90" wrapText="1"/>
    </xf>
    <xf numFmtId="0" fontId="8" fillId="16" borderId="3" xfId="0" applyFont="1" applyFill="1" applyBorder="1" applyAlignment="1">
      <alignment horizontal="center" vertical="center" textRotation="90" wrapText="1"/>
    </xf>
    <xf numFmtId="0" fontId="8" fillId="17" borderId="3" xfId="0" applyFont="1" applyFill="1" applyBorder="1" applyAlignment="1">
      <alignment horizontal="center" vertical="center" textRotation="90" wrapText="1"/>
    </xf>
    <xf numFmtId="0" fontId="8" fillId="18" borderId="3" xfId="0" applyFont="1" applyFill="1" applyBorder="1" applyAlignment="1">
      <alignment horizontal="center" vertical="center" textRotation="90" wrapText="1"/>
    </xf>
    <xf numFmtId="165" fontId="13" fillId="0" borderId="13" xfId="0" applyNumberFormat="1" applyFont="1" applyFill="1" applyBorder="1" applyAlignment="1" applyProtection="1">
      <alignment horizontal="center" vertical="center"/>
    </xf>
    <xf numFmtId="165" fontId="13" fillId="0" borderId="1" xfId="0" applyNumberFormat="1" applyFont="1" applyFill="1" applyBorder="1" applyAlignment="1" applyProtection="1">
      <alignment horizontal="center" vertical="center"/>
    </xf>
    <xf numFmtId="165" fontId="13" fillId="0" borderId="0" xfId="0" applyNumberFormat="1" applyFont="1" applyFill="1" applyBorder="1" applyAlignment="1" applyProtection="1">
      <alignment horizontal="center" vertical="center"/>
    </xf>
    <xf numFmtId="165" fontId="28" fillId="0" borderId="0" xfId="0" applyNumberFormat="1" applyFont="1" applyFill="1" applyBorder="1" applyAlignment="1" applyProtection="1">
      <alignment horizontal="center" vertical="center"/>
    </xf>
    <xf numFmtId="2" fontId="13" fillId="2" borderId="3" xfId="0" applyNumberFormat="1" applyFont="1" applyFill="1" applyBorder="1" applyAlignment="1" applyProtection="1">
      <alignment horizontal="center" vertical="center"/>
      <protection locked="0"/>
    </xf>
    <xf numFmtId="0" fontId="13" fillId="0" borderId="3" xfId="34" applyFont="1" applyFill="1" applyBorder="1" applyAlignment="1">
      <alignment horizontal="left" vertical="center"/>
    </xf>
    <xf numFmtId="0" fontId="28" fillId="0" borderId="11" xfId="34" applyFont="1" applyFill="1" applyBorder="1" applyAlignment="1">
      <alignment horizontal="left" vertical="center"/>
    </xf>
    <xf numFmtId="165" fontId="13" fillId="2" borderId="11" xfId="0" applyNumberFormat="1" applyFont="1" applyFill="1" applyBorder="1" applyAlignment="1" applyProtection="1">
      <alignment horizontal="center" vertical="center"/>
      <protection locked="0"/>
    </xf>
    <xf numFmtId="165" fontId="13" fillId="2" borderId="11" xfId="17" applyNumberFormat="1" applyFont="1" applyFill="1" applyBorder="1" applyAlignment="1">
      <alignment horizontal="center" vertical="center"/>
    </xf>
    <xf numFmtId="165" fontId="13" fillId="22" borderId="11" xfId="0" applyNumberFormat="1" applyFont="1" applyFill="1" applyBorder="1" applyAlignment="1">
      <alignment horizontal="center" vertical="center"/>
    </xf>
    <xf numFmtId="165" fontId="1" fillId="2" borderId="3" xfId="0" applyNumberFormat="1" applyFont="1" applyFill="1" applyBorder="1" applyAlignment="1" applyProtection="1">
      <alignment horizontal="center" vertical="center"/>
      <protection locked="0"/>
    </xf>
    <xf numFmtId="165" fontId="13" fillId="18" borderId="3" xfId="17" applyNumberFormat="1" applyFont="1" applyFill="1" applyBorder="1" applyAlignment="1" applyProtection="1">
      <alignment horizontal="center" vertical="center"/>
      <protection locked="0"/>
    </xf>
    <xf numFmtId="165" fontId="13" fillId="16" borderId="3" xfId="17" applyNumberFormat="1" applyFont="1" applyFill="1" applyBorder="1" applyAlignment="1" applyProtection="1">
      <alignment horizontal="center" vertical="center"/>
      <protection locked="0"/>
    </xf>
    <xf numFmtId="2" fontId="13" fillId="2" borderId="8" xfId="0" applyNumberFormat="1" applyFont="1" applyFill="1" applyBorder="1" applyAlignment="1" applyProtection="1">
      <alignment horizontal="center" vertical="center"/>
    </xf>
    <xf numFmtId="165" fontId="13" fillId="17" borderId="3" xfId="17" applyNumberFormat="1" applyFont="1" applyFill="1" applyBorder="1" applyAlignment="1" applyProtection="1">
      <alignment horizontal="center" vertical="center"/>
      <protection locked="0"/>
    </xf>
    <xf numFmtId="2" fontId="13" fillId="16" borderId="3" xfId="17" applyNumberFormat="1" applyFont="1" applyFill="1" applyBorder="1" applyAlignment="1" applyProtection="1">
      <alignment horizontal="center" vertical="center"/>
      <protection locked="0"/>
    </xf>
    <xf numFmtId="165" fontId="7" fillId="2" borderId="3" xfId="0" applyNumberFormat="1" applyFont="1" applyFill="1" applyBorder="1" applyAlignment="1" applyProtection="1">
      <alignment horizontal="center" vertical="center"/>
    </xf>
    <xf numFmtId="165" fontId="7" fillId="3" borderId="3"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top"/>
      <protection locked="0"/>
    </xf>
    <xf numFmtId="0" fontId="28" fillId="0" borderId="3" xfId="46" applyFont="1" applyFill="1" applyBorder="1" applyAlignment="1">
      <alignment vertical="center" wrapText="1"/>
    </xf>
    <xf numFmtId="2" fontId="13" fillId="2" borderId="3" xfId="17" applyNumberFormat="1" applyFont="1" applyFill="1" applyBorder="1" applyAlignment="1" applyProtection="1">
      <alignment horizontal="center" vertical="center" wrapText="1"/>
      <protection locked="0"/>
    </xf>
    <xf numFmtId="2" fontId="13" fillId="2" borderId="3" xfId="0" applyNumberFormat="1" applyFont="1" applyFill="1" applyBorder="1" applyAlignment="1" applyProtection="1">
      <alignment horizontal="center" vertical="center"/>
    </xf>
    <xf numFmtId="0" fontId="13" fillId="11" borderId="3" xfId="0" applyFont="1" applyFill="1" applyBorder="1" applyAlignment="1">
      <alignment horizontal="left" vertical="center" wrapText="1"/>
    </xf>
    <xf numFmtId="0" fontId="13" fillId="0" borderId="3" xfId="0" applyFont="1" applyBorder="1" applyAlignment="1">
      <alignment horizontal="left" vertical="center"/>
    </xf>
    <xf numFmtId="0" fontId="37" fillId="0" borderId="0" xfId="0" applyFont="1" applyAlignment="1">
      <alignment horizontal="left"/>
    </xf>
    <xf numFmtId="0" fontId="37" fillId="0" borderId="0" xfId="0" applyFont="1"/>
    <xf numFmtId="0" fontId="15" fillId="0" borderId="0" xfId="0" applyFont="1" applyAlignment="1">
      <alignment horizontal="left"/>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165" fontId="39" fillId="15" borderId="3" xfId="0" applyNumberFormat="1" applyFont="1" applyFill="1" applyBorder="1" applyAlignment="1" applyProtection="1">
      <alignment horizontal="left" vertical="center"/>
      <protection locked="0"/>
    </xf>
    <xf numFmtId="0" fontId="39" fillId="20" borderId="3" xfId="0" applyFont="1" applyFill="1" applyBorder="1" applyAlignment="1">
      <alignment horizontal="left" vertical="center" wrapText="1"/>
    </xf>
    <xf numFmtId="0" fontId="39" fillId="16" borderId="3" xfId="0" applyFont="1" applyFill="1" applyBorder="1" applyAlignment="1">
      <alignment horizontal="left" vertical="center" wrapText="1"/>
    </xf>
    <xf numFmtId="0" fontId="39" fillId="17" borderId="3" xfId="0" applyFont="1" applyFill="1" applyBorder="1" applyAlignment="1">
      <alignment horizontal="left" vertical="center" wrapText="1"/>
    </xf>
    <xf numFmtId="0" fontId="39" fillId="18" borderId="3" xfId="0" applyFont="1" applyFill="1" applyBorder="1" applyAlignment="1">
      <alignment horizontal="left" vertical="center" wrapText="1"/>
    </xf>
    <xf numFmtId="0" fontId="38" fillId="14" borderId="8" xfId="0" applyFont="1" applyFill="1" applyBorder="1" applyAlignment="1">
      <alignment horizontal="center" vertical="center" wrapText="1"/>
    </xf>
    <xf numFmtId="0" fontId="38" fillId="14" borderId="3" xfId="0" applyFont="1" applyFill="1" applyBorder="1" applyAlignment="1">
      <alignment vertical="center" wrapText="1"/>
    </xf>
    <xf numFmtId="0" fontId="39" fillId="14" borderId="3" xfId="0" applyFont="1" applyFill="1" applyBorder="1" applyAlignment="1">
      <alignment horizontal="left" vertical="center" wrapText="1"/>
    </xf>
    <xf numFmtId="0" fontId="39" fillId="0" borderId="3" xfId="0" applyFont="1" applyBorder="1" applyAlignment="1">
      <alignment horizontal="center" vertical="center"/>
    </xf>
    <xf numFmtId="0" fontId="39" fillId="14" borderId="3" xfId="0" applyFont="1" applyFill="1" applyBorder="1" applyAlignment="1">
      <alignment horizontal="center" vertical="center"/>
    </xf>
    <xf numFmtId="0" fontId="16" fillId="2" borderId="10" xfId="0" applyFont="1" applyFill="1" applyBorder="1" applyAlignment="1">
      <alignment horizontal="left" vertical="center"/>
    </xf>
    <xf numFmtId="0" fontId="42" fillId="14" borderId="3" xfId="0" applyFont="1" applyFill="1" applyBorder="1" applyAlignment="1">
      <alignment horizontal="center" vertical="center" wrapText="1"/>
    </xf>
    <xf numFmtId="0" fontId="41" fillId="0" borderId="3" xfId="0" applyFont="1" applyBorder="1" applyAlignment="1">
      <alignment horizontal="center" vertical="center"/>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15" borderId="12" xfId="0" applyNumberFormat="1" applyFont="1" applyFill="1" applyBorder="1" applyAlignment="1" applyProtection="1">
      <alignment horizontal="left" vertical="center"/>
      <protection locked="0"/>
    </xf>
    <xf numFmtId="0" fontId="41" fillId="0" borderId="12" xfId="0" applyFont="1" applyBorder="1" applyAlignment="1">
      <alignment horizontal="center" vertical="center"/>
    </xf>
    <xf numFmtId="0" fontId="39" fillId="0" borderId="12" xfId="0" applyFont="1" applyBorder="1" applyAlignment="1">
      <alignment horizontal="center" vertical="center"/>
    </xf>
    <xf numFmtId="0" fontId="40" fillId="14" borderId="3" xfId="0" applyFont="1" applyFill="1" applyBorder="1" applyAlignment="1">
      <alignment horizontal="center" vertical="center"/>
    </xf>
    <xf numFmtId="0" fontId="43" fillId="0" borderId="12" xfId="0" applyFont="1" applyBorder="1" applyAlignment="1">
      <alignment horizontal="center" vertical="center"/>
    </xf>
    <xf numFmtId="0" fontId="43" fillId="0" borderId="3" xfId="0" applyFont="1" applyBorder="1" applyAlignment="1">
      <alignment horizontal="center" vertical="center" wrapText="1"/>
    </xf>
    <xf numFmtId="0" fontId="43" fillId="0" borderId="3" xfId="0" applyFont="1" applyBorder="1" applyAlignment="1">
      <alignment horizontal="center" vertical="center"/>
    </xf>
    <xf numFmtId="0" fontId="39" fillId="12" borderId="3" xfId="0" applyFont="1" applyFill="1" applyBorder="1" applyAlignment="1">
      <alignment horizontal="left" vertical="center" wrapText="1"/>
    </xf>
    <xf numFmtId="0" fontId="39" fillId="12" borderId="3" xfId="0" applyFont="1" applyFill="1" applyBorder="1" applyAlignment="1">
      <alignment horizontal="center" vertical="center"/>
    </xf>
    <xf numFmtId="0" fontId="39" fillId="30" borderId="3" xfId="0" applyFont="1" applyFill="1" applyBorder="1" applyAlignment="1">
      <alignment horizontal="left" vertical="center" wrapText="1"/>
    </xf>
    <xf numFmtId="0" fontId="39" fillId="30" borderId="3" xfId="0" applyFont="1" applyFill="1" applyBorder="1" applyAlignment="1">
      <alignment horizontal="center" vertical="center"/>
    </xf>
    <xf numFmtId="0" fontId="40" fillId="30" borderId="3" xfId="0" applyFont="1" applyFill="1" applyBorder="1" applyAlignment="1">
      <alignment horizontal="center" vertical="center"/>
    </xf>
    <xf numFmtId="165" fontId="29" fillId="3" borderId="1" xfId="0" applyNumberFormat="1" applyFont="1" applyFill="1" applyBorder="1" applyAlignment="1" applyProtection="1">
      <alignment horizontal="center" vertical="center"/>
    </xf>
    <xf numFmtId="165" fontId="29" fillId="3" borderId="22" xfId="0" applyNumberFormat="1" applyFont="1" applyFill="1" applyBorder="1" applyAlignment="1" applyProtection="1">
      <alignment horizontal="center" vertical="center"/>
    </xf>
    <xf numFmtId="1" fontId="10" fillId="30" borderId="3" xfId="0" applyNumberFormat="1" applyFont="1" applyFill="1" applyBorder="1" applyAlignment="1">
      <alignment horizontal="center" vertical="center" wrapText="1"/>
    </xf>
    <xf numFmtId="165" fontId="10" fillId="30" borderId="3" xfId="0" applyNumberFormat="1" applyFont="1" applyFill="1" applyBorder="1" applyAlignment="1">
      <alignment horizontal="center" vertical="center"/>
    </xf>
    <xf numFmtId="0" fontId="10" fillId="30" borderId="3" xfId="0" applyFont="1" applyFill="1" applyBorder="1" applyAlignment="1">
      <alignment horizontal="center" vertical="center"/>
    </xf>
    <xf numFmtId="1" fontId="10" fillId="30" borderId="3" xfId="0" applyNumberFormat="1" applyFont="1" applyFill="1" applyBorder="1" applyAlignment="1">
      <alignment horizontal="center" vertical="center"/>
    </xf>
    <xf numFmtId="3" fontId="10" fillId="30" borderId="3" xfId="0" applyNumberFormat="1" applyFont="1" applyFill="1" applyBorder="1" applyAlignment="1">
      <alignment horizontal="center" vertical="center"/>
    </xf>
    <xf numFmtId="0" fontId="10"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40" fillId="0" borderId="3" xfId="0" applyFont="1" applyFill="1" applyBorder="1" applyAlignment="1">
      <alignment horizontal="center" vertical="center" wrapText="1"/>
    </xf>
    <xf numFmtId="0" fontId="40" fillId="30" borderId="3" xfId="0" applyFont="1" applyFill="1" applyBorder="1" applyAlignment="1">
      <alignment horizontal="center" vertical="center" wrapText="1"/>
    </xf>
    <xf numFmtId="165" fontId="13" fillId="31" borderId="3" xfId="0" applyNumberFormat="1" applyFont="1" applyFill="1" applyBorder="1" applyAlignment="1" applyProtection="1">
      <alignment horizontal="center" vertical="center"/>
      <protection locked="0"/>
    </xf>
    <xf numFmtId="165" fontId="13" fillId="32" borderId="3" xfId="0" applyNumberFormat="1" applyFont="1" applyFill="1" applyBorder="1" applyAlignment="1" applyProtection="1">
      <alignment horizontal="center" vertical="center"/>
      <protection locked="0"/>
    </xf>
    <xf numFmtId="0" fontId="13" fillId="18" borderId="3" xfId="0" applyFont="1" applyFill="1" applyBorder="1" applyAlignment="1" applyProtection="1">
      <alignment horizontal="center" vertical="center" wrapText="1"/>
      <protection locked="0"/>
    </xf>
    <xf numFmtId="165" fontId="13" fillId="17" borderId="3" xfId="0" applyNumberFormat="1" applyFont="1" applyFill="1" applyBorder="1" applyAlignment="1" applyProtection="1">
      <alignment horizontal="center" vertical="center"/>
    </xf>
    <xf numFmtId="165" fontId="13" fillId="33" borderId="3" xfId="0" applyNumberFormat="1" applyFont="1" applyFill="1" applyBorder="1" applyAlignment="1" applyProtection="1">
      <alignment horizontal="center" vertical="center"/>
    </xf>
    <xf numFmtId="165" fontId="10" fillId="2" borderId="0" xfId="21" applyNumberFormat="1" applyFont="1" applyFill="1" applyBorder="1" applyAlignment="1" applyProtection="1">
      <alignment vertical="center"/>
      <protection locked="0"/>
    </xf>
    <xf numFmtId="0" fontId="13" fillId="11" borderId="3" xfId="46" applyFont="1" applyFill="1" applyBorder="1" applyAlignment="1">
      <alignment vertical="center" wrapText="1"/>
    </xf>
    <xf numFmtId="0" fontId="13" fillId="16" borderId="3" xfId="17" applyFont="1" applyFill="1" applyBorder="1" applyAlignment="1" applyProtection="1">
      <alignment horizontal="center" vertical="center"/>
      <protection locked="0"/>
    </xf>
    <xf numFmtId="0" fontId="13" fillId="0" borderId="3" xfId="0" applyFont="1" applyBorder="1" applyAlignment="1">
      <alignment horizontal="left" vertical="center" wrapText="1"/>
    </xf>
    <xf numFmtId="0" fontId="13" fillId="11" borderId="3" xfId="0" applyFont="1" applyFill="1" applyBorder="1" applyAlignment="1">
      <alignment horizontal="left" vertical="center"/>
    </xf>
    <xf numFmtId="0" fontId="13" fillId="11" borderId="3" xfId="0" applyFont="1" applyFill="1" applyBorder="1" applyAlignment="1" applyProtection="1">
      <alignment vertical="top"/>
      <protection locked="0"/>
    </xf>
    <xf numFmtId="0" fontId="13" fillId="11" borderId="3" xfId="0" applyFont="1" applyFill="1" applyBorder="1" applyAlignment="1" applyProtection="1">
      <alignment horizontal="left" vertical="top"/>
      <protection locked="0"/>
    </xf>
    <xf numFmtId="0" fontId="13" fillId="11" borderId="3" xfId="0" applyFont="1" applyFill="1" applyBorder="1" applyAlignment="1" applyProtection="1">
      <alignment horizontal="left" vertical="center"/>
      <protection locked="0"/>
    </xf>
    <xf numFmtId="0" fontId="13" fillId="11" borderId="3" xfId="0" applyFont="1" applyFill="1" applyBorder="1" applyAlignment="1">
      <alignment vertical="center"/>
    </xf>
    <xf numFmtId="0" fontId="13" fillId="11" borderId="3" xfId="0" applyFont="1" applyFill="1" applyBorder="1" applyAlignment="1">
      <alignment vertical="center" wrapText="1"/>
    </xf>
    <xf numFmtId="0" fontId="13" fillId="11" borderId="3" xfId="0" applyFont="1" applyFill="1" applyBorder="1" applyAlignment="1" applyProtection="1">
      <alignment horizontal="left" vertical="center" wrapText="1"/>
    </xf>
    <xf numFmtId="0" fontId="13" fillId="11" borderId="3" xfId="46" applyFont="1" applyFill="1" applyBorder="1" applyAlignment="1" applyProtection="1">
      <alignment horizontal="left" vertical="center" wrapText="1"/>
    </xf>
    <xf numFmtId="0" fontId="28" fillId="11" borderId="3" xfId="46" applyFont="1" applyFill="1" applyBorder="1" applyAlignment="1">
      <alignment vertical="center" wrapText="1"/>
    </xf>
    <xf numFmtId="0" fontId="33" fillId="11" borderId="3" xfId="0" applyFont="1" applyFill="1" applyBorder="1" applyAlignment="1">
      <alignment horizontal="left" vertical="center" wrapText="1"/>
    </xf>
    <xf numFmtId="0" fontId="33" fillId="11" borderId="3" xfId="0" applyFont="1" applyFill="1" applyBorder="1" applyAlignment="1">
      <alignment vertical="center" wrapText="1"/>
    </xf>
    <xf numFmtId="0" fontId="13" fillId="11" borderId="3" xfId="0" applyFont="1" applyFill="1" applyBorder="1" applyAlignment="1" applyProtection="1">
      <alignment vertical="center" wrapText="1"/>
      <protection locked="0"/>
    </xf>
    <xf numFmtId="0" fontId="28" fillId="11" borderId="3" xfId="46" applyFont="1" applyFill="1" applyBorder="1" applyAlignment="1">
      <alignment horizontal="left" vertical="center"/>
    </xf>
    <xf numFmtId="0" fontId="28" fillId="11" borderId="3" xfId="0" applyFont="1" applyFill="1" applyBorder="1" applyAlignment="1">
      <alignment horizontal="left" vertical="center" wrapText="1"/>
    </xf>
    <xf numFmtId="0" fontId="28" fillId="11" borderId="3" xfId="0" applyFont="1" applyFill="1" applyBorder="1" applyAlignment="1" applyProtection="1">
      <alignment horizontal="left" vertical="center" wrapText="1"/>
    </xf>
    <xf numFmtId="0" fontId="32" fillId="11" borderId="3" xfId="46" applyFont="1" applyFill="1" applyBorder="1" applyAlignment="1">
      <alignment horizontal="left" vertical="center" wrapText="1"/>
    </xf>
    <xf numFmtId="0" fontId="28" fillId="11" borderId="3" xfId="34" applyFont="1" applyFill="1" applyBorder="1" applyAlignment="1">
      <alignment horizontal="left" vertical="center"/>
    </xf>
    <xf numFmtId="0" fontId="13" fillId="11" borderId="3" xfId="17" applyFont="1" applyFill="1" applyBorder="1" applyAlignment="1" applyProtection="1">
      <alignment horizontal="left" vertical="center" wrapText="1"/>
    </xf>
    <xf numFmtId="0" fontId="13" fillId="11" borderId="12" xfId="17" applyFont="1" applyFill="1" applyBorder="1" applyAlignment="1">
      <alignment horizontal="left" vertical="center" wrapText="1"/>
    </xf>
    <xf numFmtId="0" fontId="28" fillId="11" borderId="12" xfId="34" applyFont="1" applyFill="1" applyBorder="1" applyAlignment="1">
      <alignment horizontal="left" vertical="center" wrapText="1"/>
    </xf>
    <xf numFmtId="0" fontId="25" fillId="11" borderId="3" xfId="0" applyFont="1" applyFill="1" applyBorder="1" applyAlignment="1">
      <alignment horizontal="left" vertical="center" wrapText="1"/>
    </xf>
    <xf numFmtId="0" fontId="25" fillId="11" borderId="3" xfId="0" applyFont="1" applyFill="1" applyBorder="1" applyAlignment="1">
      <alignment horizontal="left" vertical="center"/>
    </xf>
    <xf numFmtId="0" fontId="25" fillId="11" borderId="3" xfId="0" applyFont="1" applyFill="1" applyBorder="1" applyAlignment="1" applyProtection="1">
      <alignment horizontal="left" vertical="center"/>
    </xf>
    <xf numFmtId="0" fontId="25" fillId="11" borderId="3" xfId="0" applyFont="1" applyFill="1" applyBorder="1" applyAlignment="1" applyProtection="1">
      <alignment horizontal="left" vertical="center" wrapText="1"/>
    </xf>
    <xf numFmtId="0" fontId="13" fillId="11" borderId="3" xfId="0" applyFont="1" applyFill="1" applyBorder="1" applyAlignment="1" applyProtection="1">
      <alignment horizontal="left" vertical="center" wrapText="1"/>
      <protection locked="0"/>
    </xf>
    <xf numFmtId="0" fontId="13" fillId="11" borderId="3" xfId="34" applyFont="1" applyFill="1" applyBorder="1" applyAlignment="1">
      <alignment horizontal="left" vertical="center" wrapText="1"/>
    </xf>
    <xf numFmtId="0" fontId="48" fillId="0" borderId="0" xfId="0" applyFont="1" applyBorder="1" applyAlignment="1">
      <alignment vertical="center" wrapText="1"/>
    </xf>
    <xf numFmtId="0" fontId="0" fillId="0" borderId="0" xfId="0" applyBorder="1" applyAlignment="1">
      <alignment vertical="center" wrapText="1"/>
    </xf>
    <xf numFmtId="0" fontId="28" fillId="11" borderId="3" xfId="34" applyFont="1" applyFill="1" applyBorder="1" applyAlignment="1" applyProtection="1">
      <alignment horizontal="left" vertical="center" wrapText="1"/>
    </xf>
    <xf numFmtId="0" fontId="13" fillId="11" borderId="8" xfId="0" applyFont="1" applyFill="1" applyBorder="1" applyAlignment="1" applyProtection="1">
      <alignment vertical="center" wrapText="1"/>
      <protection locked="0"/>
    </xf>
    <xf numFmtId="0" fontId="13" fillId="11" borderId="3" xfId="0" applyFont="1" applyFill="1" applyBorder="1" applyAlignment="1" applyProtection="1">
      <alignment vertical="center"/>
      <protection locked="0"/>
    </xf>
    <xf numFmtId="0" fontId="13" fillId="11" borderId="12" xfId="0" applyFont="1" applyFill="1" applyBorder="1" applyAlignment="1" applyProtection="1">
      <alignment vertical="center"/>
      <protection locked="0"/>
    </xf>
    <xf numFmtId="0" fontId="13" fillId="11" borderId="12" xfId="0" applyFont="1" applyFill="1" applyBorder="1" applyAlignment="1" applyProtection="1">
      <alignment horizontal="left" vertical="center" wrapText="1"/>
      <protection locked="0"/>
    </xf>
    <xf numFmtId="0" fontId="28" fillId="11" borderId="3" xfId="0" applyFont="1" applyFill="1" applyBorder="1" applyAlignment="1" applyProtection="1">
      <alignment vertical="center"/>
      <protection locked="0"/>
    </xf>
    <xf numFmtId="0" fontId="28" fillId="11" borderId="3" xfId="0" applyFont="1" applyFill="1" applyBorder="1" applyAlignment="1" applyProtection="1">
      <alignment horizontal="left" vertical="center" wrapText="1"/>
      <protection locked="0"/>
    </xf>
    <xf numFmtId="0" fontId="28" fillId="11" borderId="3" xfId="46" applyFont="1" applyFill="1" applyBorder="1" applyAlignment="1" applyProtection="1">
      <alignment horizontal="left" vertical="center" wrapText="1"/>
    </xf>
    <xf numFmtId="0" fontId="28" fillId="11" borderId="3" xfId="46" applyFont="1" applyFill="1" applyBorder="1" applyAlignment="1" applyProtection="1">
      <alignment horizontal="left" vertical="center"/>
    </xf>
    <xf numFmtId="0" fontId="28" fillId="11" borderId="3" xfId="34" applyFont="1" applyFill="1" applyBorder="1" applyAlignment="1" applyProtection="1">
      <alignment horizontal="left" vertical="center"/>
    </xf>
    <xf numFmtId="0" fontId="13" fillId="11" borderId="3"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protection locked="0"/>
    </xf>
    <xf numFmtId="0" fontId="13" fillId="11" borderId="18" xfId="0" applyFont="1" applyFill="1" applyBorder="1" applyAlignment="1">
      <alignment horizontal="center" vertical="center"/>
    </xf>
    <xf numFmtId="0" fontId="13" fillId="11" borderId="0" xfId="0" applyFont="1" applyFill="1" applyAlignment="1">
      <alignment horizontal="center" vertical="center"/>
    </xf>
    <xf numFmtId="0" fontId="13" fillId="11" borderId="18" xfId="0" applyFont="1" applyFill="1" applyBorder="1" applyAlignment="1" applyProtection="1">
      <alignment horizontal="center" vertical="center"/>
    </xf>
    <xf numFmtId="0" fontId="25" fillId="11" borderId="3" xfId="0" applyFont="1" applyFill="1" applyBorder="1" applyAlignment="1">
      <alignment vertical="center" wrapText="1"/>
    </xf>
    <xf numFmtId="0" fontId="25" fillId="11" borderId="3" xfId="17" applyFont="1" applyFill="1" applyBorder="1" applyAlignment="1" applyProtection="1">
      <alignment vertical="center" wrapText="1"/>
    </xf>
    <xf numFmtId="0" fontId="25" fillId="11" borderId="3" xfId="17" applyFont="1" applyFill="1" applyBorder="1" applyAlignment="1">
      <alignment vertical="center" wrapText="1"/>
    </xf>
    <xf numFmtId="0" fontId="25" fillId="11" borderId="3" xfId="34" applyFont="1" applyFill="1" applyBorder="1" applyAlignment="1">
      <alignment vertical="center" wrapText="1"/>
    </xf>
    <xf numFmtId="0" fontId="25" fillId="11" borderId="3" xfId="17" applyFont="1" applyFill="1" applyBorder="1" applyAlignment="1" applyProtection="1">
      <alignment horizontal="left" vertical="center" wrapText="1"/>
    </xf>
    <xf numFmtId="0" fontId="25" fillId="11" borderId="3" xfId="17" applyFont="1" applyFill="1" applyBorder="1" applyAlignment="1">
      <alignment horizontal="left" vertical="center" wrapText="1"/>
    </xf>
    <xf numFmtId="0" fontId="25" fillId="11" borderId="3" xfId="34" applyFont="1" applyFill="1" applyBorder="1" applyAlignment="1">
      <alignment horizontal="left" vertical="center" wrapText="1"/>
    </xf>
    <xf numFmtId="0" fontId="25" fillId="11" borderId="3" xfId="0" applyFont="1" applyFill="1" applyBorder="1" applyAlignment="1" applyProtection="1">
      <alignment vertical="center" wrapText="1"/>
    </xf>
    <xf numFmtId="0" fontId="13" fillId="11" borderId="3" xfId="34" applyFont="1" applyFill="1" applyBorder="1" applyAlignment="1">
      <alignment vertical="center" wrapText="1"/>
    </xf>
    <xf numFmtId="0" fontId="13" fillId="11" borderId="3" xfId="17" applyNumberFormat="1" applyFont="1" applyFill="1" applyBorder="1" applyAlignment="1" applyProtection="1">
      <alignment horizontal="left" vertical="center"/>
      <protection locked="0"/>
    </xf>
    <xf numFmtId="0" fontId="28" fillId="11" borderId="3" xfId="34" applyFont="1" applyFill="1" applyBorder="1" applyAlignment="1">
      <alignment vertical="center" wrapText="1"/>
    </xf>
    <xf numFmtId="0" fontId="13" fillId="11" borderId="3" xfId="17" applyFont="1" applyFill="1" applyBorder="1" applyAlignment="1" applyProtection="1">
      <alignment horizontal="left" vertical="center" wrapText="1"/>
      <protection locked="0"/>
    </xf>
    <xf numFmtId="0" fontId="13" fillId="11" borderId="3" xfId="17" applyFont="1" applyFill="1" applyBorder="1" applyAlignment="1">
      <alignment vertical="center" wrapText="1"/>
    </xf>
    <xf numFmtId="0" fontId="25" fillId="11" borderId="3" xfId="17" applyFont="1" applyFill="1" applyBorder="1" applyAlignment="1">
      <alignment horizontal="left" vertical="center"/>
    </xf>
    <xf numFmtId="0" fontId="25" fillId="11" borderId="3" xfId="0" applyNumberFormat="1" applyFont="1" applyFill="1" applyBorder="1" applyAlignment="1" applyProtection="1">
      <alignment horizontal="center" vertical="center"/>
      <protection locked="0"/>
    </xf>
    <xf numFmtId="0" fontId="13" fillId="11" borderId="10" xfId="0" applyFont="1" applyFill="1" applyBorder="1" applyAlignment="1">
      <alignment horizontal="left" vertical="center" wrapText="1"/>
    </xf>
    <xf numFmtId="0" fontId="25" fillId="11" borderId="0" xfId="0" applyFont="1" applyFill="1" applyBorder="1" applyAlignment="1">
      <alignment horizontal="center" vertical="center" wrapText="1"/>
    </xf>
    <xf numFmtId="0" fontId="13" fillId="11" borderId="0" xfId="0" applyFont="1" applyFill="1" applyBorder="1" applyAlignment="1" applyProtection="1">
      <alignment horizontal="center" vertical="center"/>
      <protection locked="0"/>
    </xf>
    <xf numFmtId="0" fontId="13" fillId="11" borderId="3" xfId="17" applyFont="1" applyFill="1" applyBorder="1" applyAlignment="1" applyProtection="1">
      <alignment horizontal="center" vertical="center"/>
      <protection locked="0"/>
    </xf>
    <xf numFmtId="0" fontId="16" fillId="11" borderId="3" xfId="17" applyFont="1" applyFill="1" applyBorder="1" applyAlignment="1" applyProtection="1">
      <alignment horizontal="left" vertical="center" wrapText="1"/>
      <protection locked="0"/>
    </xf>
    <xf numFmtId="0" fontId="8" fillId="14" borderId="3" xfId="0" applyFont="1" applyFill="1" applyBorder="1" applyAlignment="1">
      <alignment horizontal="left" vertical="center"/>
    </xf>
    <xf numFmtId="0" fontId="30" fillId="7" borderId="3"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2" borderId="3"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6" fillId="5" borderId="3" xfId="0" applyFont="1" applyFill="1" applyBorder="1" applyAlignment="1" applyProtection="1">
      <alignment horizontal="center" vertical="center" wrapText="1"/>
      <protection locked="0"/>
    </xf>
    <xf numFmtId="0" fontId="16" fillId="11" borderId="3"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16" fillId="8" borderId="3" xfId="0" applyFont="1" applyFill="1" applyBorder="1" applyAlignment="1" applyProtection="1">
      <alignment horizontal="center" vertical="center" wrapText="1"/>
      <protection locked="0"/>
    </xf>
    <xf numFmtId="0" fontId="8" fillId="0" borderId="23" xfId="0" applyFont="1" applyBorder="1" applyAlignment="1">
      <alignment vertical="center" wrapText="1"/>
    </xf>
    <xf numFmtId="0" fontId="8"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21" fillId="0" borderId="0" xfId="0" applyFont="1" applyBorder="1" applyAlignment="1" applyProtection="1">
      <alignment horizontal="center" vertical="center"/>
      <protection locked="0"/>
    </xf>
    <xf numFmtId="0" fontId="16" fillId="2" borderId="3" xfId="0" applyFont="1" applyFill="1" applyBorder="1" applyAlignment="1">
      <alignment horizontal="center" vertical="center" wrapText="1"/>
    </xf>
    <xf numFmtId="0" fontId="11" fillId="2" borderId="2" xfId="0" applyFont="1" applyFill="1" applyBorder="1" applyAlignment="1">
      <alignment horizontal="left" vertical="center"/>
    </xf>
    <xf numFmtId="0" fontId="16" fillId="0" borderId="3" xfId="0" applyFont="1" applyFill="1" applyBorder="1" applyAlignment="1">
      <alignment horizontal="center" vertical="center" wrapText="1"/>
    </xf>
    <xf numFmtId="0" fontId="21" fillId="0" borderId="17" xfId="0" applyFont="1" applyBorder="1" applyAlignment="1" applyProtection="1">
      <alignment horizontal="center" vertical="center"/>
      <protection locked="0"/>
    </xf>
    <xf numFmtId="0" fontId="16" fillId="0" borderId="0" xfId="0"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6" fillId="6"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43" fontId="10" fillId="0" borderId="23" xfId="47" applyFont="1" applyBorder="1" applyAlignment="1">
      <alignment vertical="center" wrapText="1"/>
    </xf>
    <xf numFmtId="43" fontId="10" fillId="0" borderId="0" xfId="47" applyFont="1" applyBorder="1" applyAlignment="1">
      <alignment vertical="center" wrapText="1"/>
    </xf>
    <xf numFmtId="0" fontId="14" fillId="0" borderId="0" xfId="0" applyFont="1" applyFill="1" applyBorder="1" applyAlignment="1">
      <alignment vertical="center"/>
    </xf>
    <xf numFmtId="0" fontId="13" fillId="0" borderId="11" xfId="0" applyFont="1" applyBorder="1" applyAlignment="1">
      <alignment horizontal="center" vertical="center" wrapText="1"/>
    </xf>
    <xf numFmtId="0" fontId="16" fillId="2" borderId="2" xfId="0" applyFont="1" applyFill="1" applyBorder="1" applyAlignment="1">
      <alignment horizontal="left" vertical="center"/>
    </xf>
    <xf numFmtId="0" fontId="16" fillId="2" borderId="0" xfId="0" applyFont="1" applyFill="1" applyBorder="1" applyAlignment="1">
      <alignment horizontal="left" vertical="center"/>
    </xf>
    <xf numFmtId="0" fontId="21" fillId="0" borderId="0" xfId="0" applyFont="1" applyBorder="1" applyAlignment="1" applyProtection="1">
      <alignment horizontal="center" vertical="center" wrapText="1"/>
      <protection locked="0"/>
    </xf>
    <xf numFmtId="0" fontId="16" fillId="15" borderId="3" xfId="0" applyFont="1" applyFill="1" applyBorder="1" applyAlignment="1" applyProtection="1">
      <alignment horizontal="center" vertical="center" wrapText="1"/>
      <protection locked="0"/>
    </xf>
    <xf numFmtId="0" fontId="14" fillId="0" borderId="0" xfId="0" applyFont="1" applyAlignment="1"/>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0" xfId="0" applyFont="1" applyBorder="1" applyAlignment="1"/>
    <xf numFmtId="0" fontId="8" fillId="0" borderId="3"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16"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8" xfId="0" applyFont="1" applyFill="1" applyBorder="1" applyAlignment="1">
      <alignment horizontal="center" vertical="center"/>
    </xf>
  </cellXfs>
  <cellStyles count="48">
    <cellStyle name="60% - Énfasis2 2" xfId="1"/>
    <cellStyle name="Euro" xfId="2"/>
    <cellStyle name="Euro 2" xfId="3"/>
    <cellStyle name="Euro 2 2" xfId="4"/>
    <cellStyle name="Euro 3" xfId="5"/>
    <cellStyle name="Euro 4" xfId="6"/>
    <cellStyle name="Euro 4 2" xfId="7"/>
    <cellStyle name="Millares" xfId="47" builtinId="3"/>
    <cellStyle name="Millares 2" xfId="8"/>
    <cellStyle name="Millares 3" xfId="9"/>
    <cellStyle name="Millares 4" xfId="10"/>
    <cellStyle name="Millares 4 2" xfId="11"/>
    <cellStyle name="Millares 5" xfId="12"/>
    <cellStyle name="Millares 5 2" xfId="13"/>
    <cellStyle name="Millares 6" xfId="14"/>
    <cellStyle name="Millares 6 2" xfId="15"/>
    <cellStyle name="Normal" xfId="0" builtinId="0"/>
    <cellStyle name="Normal 2" xfId="16"/>
    <cellStyle name="Normal 2 2" xfId="17"/>
    <cellStyle name="Normal 2 2 2" xfId="18"/>
    <cellStyle name="Normal 2 3" xfId="19"/>
    <cellStyle name="Normal 2 4" xfId="20"/>
    <cellStyle name="Normal 3" xfId="21"/>
    <cellStyle name="Normal 3 2" xfId="22"/>
    <cellStyle name="Normal 3 2 2" xfId="23"/>
    <cellStyle name="Normal 3 3" xfId="24"/>
    <cellStyle name="Normal 3 4" xfId="25"/>
    <cellStyle name="Normal 4" xfId="26"/>
    <cellStyle name="Normal 4 2" xfId="27"/>
    <cellStyle name="Normal 5" xfId="28"/>
    <cellStyle name="Normal 5 2" xfId="29"/>
    <cellStyle name="Normal 6" xfId="30"/>
    <cellStyle name="Normal 6 2" xfId="31"/>
    <cellStyle name="Normal 7" xfId="32"/>
    <cellStyle name="Normal 7 2" xfId="33"/>
    <cellStyle name="Notas" xfId="46" builtinId="10"/>
    <cellStyle name="Notas 2" xfId="34"/>
    <cellStyle name="Notas 2 2" xfId="35"/>
    <cellStyle name="Notas 3" xfId="36"/>
    <cellStyle name="Notas 3 2" xfId="37"/>
    <cellStyle name="Notas 4" xfId="38"/>
    <cellStyle name="Notas 4 2" xfId="39"/>
    <cellStyle name="Porcentaje 2" xfId="40"/>
    <cellStyle name="Porcentaje 2 2" xfId="41"/>
    <cellStyle name="Porcentaje 3" xfId="42"/>
    <cellStyle name="Porcentaje 3 2" xfId="43"/>
    <cellStyle name="Porcentaje 4" xfId="44"/>
    <cellStyle name="Porcentaje 4 2" xfId="45"/>
  </cellStyles>
  <dxfs count="9106">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1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3" tint="0.59996337778862885"/>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3" tint="0.59996337778862885"/>
        </patternFill>
      </fill>
    </dxf>
    <dxf>
      <fill>
        <patternFill>
          <bgColor indexed="1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ont>
        <color theme="0"/>
      </font>
      <fill>
        <patternFill>
          <bgColor theme="9" tint="-0.24994659260841701"/>
        </patternFill>
      </fill>
    </dxf>
    <dxf>
      <font>
        <color theme="0"/>
      </font>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0"/>
        </patternFill>
      </fill>
    </dxf>
    <dxf>
      <fill>
        <patternFill>
          <bgColor theme="3" tint="0.59996337778862885"/>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theme="3" tint="0.59996337778862885"/>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indexed="10"/>
        </patternFill>
      </fill>
    </dxf>
    <dxf>
      <fill>
        <patternFill>
          <bgColor indexed="22"/>
        </patternFill>
      </fill>
    </dxf>
  </dxfs>
  <tableStyles count="0" defaultTableStyle="TableStyleMedium9" defaultPivotStyle="PivotStyleLight16"/>
  <colors>
    <mruColors>
      <color rgb="FFB0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2. </a:t>
            </a:r>
            <a:r>
              <a:rPr lang="es-CO" sz="1200" b="0" i="0" u="none" strike="noStrike" baseline="0">
                <a:solidFill>
                  <a:srgbClr val="000000"/>
                </a:solidFill>
                <a:latin typeface="Arial"/>
                <a:cs typeface="Arial"/>
              </a:rPr>
              <a:t>Numero y porcentaje de acueductos rurales por  nivel de riesgo sanitario .Antioquia  -  Colombia  2019</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'CONSOLIDADO-ACUEDUCTOSRURALES2'!$B$7</c:f>
              <c:strCache>
                <c:ptCount val="1"/>
                <c:pt idx="0">
                  <c:v>Número de Sistemas</c:v>
                </c:pt>
              </c:strCache>
            </c:strRef>
          </c:tx>
          <c:spPr>
            <a:solidFill>
              <a:schemeClr val="bg1">
                <a:lumMod val="85000"/>
              </a:schemeClr>
            </a:solidFill>
          </c:spPr>
          <c:invertIfNegative val="0"/>
          <c:dLbls>
            <c:dLbl>
              <c:idx val="0"/>
              <c:layout>
                <c:manualLayout>
                  <c:x val="0.18636171113934774"/>
                  <c:y val="5.055451505672625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C9-467A-9691-805E6294C450}"/>
                </c:ext>
              </c:extLst>
            </c:dLbl>
            <c:dLbl>
              <c:idx val="1"/>
              <c:layout>
                <c:manualLayout>
                  <c:x val="7.1156289707750925E-2"/>
                  <c:y val="2.56480732945192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C9-467A-9691-805E6294C450}"/>
                </c:ext>
              </c:extLst>
            </c:dLbl>
            <c:dLbl>
              <c:idx val="2"/>
              <c:layout>
                <c:manualLayout>
                  <c:x val="6.9462092333756886E-2"/>
                  <c:y val="7.69437444229807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C9-467A-9691-805E6294C450}"/>
                </c:ext>
              </c:extLst>
            </c:dLbl>
            <c:dLbl>
              <c:idx val="3"/>
              <c:layout>
                <c:manualLayout>
                  <c:x val="0.19991515672993232"/>
                  <c:y val="2.42711877702700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9C9-467A-9691-805E6294C450}"/>
                </c:ext>
              </c:extLst>
            </c:dLbl>
            <c:dLbl>
              <c:idx val="4"/>
              <c:layout>
                <c:manualLayout>
                  <c:x val="0.3625582380347312"/>
                  <c:y val="2.63892293662544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C9-467A-9691-805E6294C450}"/>
                </c:ext>
              </c:extLst>
            </c:dLbl>
            <c:dLbl>
              <c:idx val="5"/>
              <c:layout>
                <c:manualLayout>
                  <c:x val="0.23809689608366935"/>
                  <c:y val="2.480265931889273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C9-467A-9691-805E6294C450}"/>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('CONSOLIDADO-ACUEDUCTOSRURALES2'!$D$17,'CONSOLIDADO-ACUEDUCTOSRURALES2'!$F$17,'CONSOLIDADO-ACUEDUCTOSRURALES2'!$H$17,'CONSOLIDADO-ACUEDUCTOSRURALES2'!$J$17,'CONSOLIDADO-ACUEDUCTOSRURALES2'!$L$17,'CONSOLIDADO-ACUEDUCTOSRURALES2'!$N$17)</c:f>
              <c:numCache>
                <c:formatCode>General</c:formatCode>
                <c:ptCount val="6"/>
                <c:pt idx="0">
                  <c:v>418</c:v>
                </c:pt>
                <c:pt idx="1">
                  <c:v>85</c:v>
                </c:pt>
                <c:pt idx="2">
                  <c:v>118</c:v>
                </c:pt>
                <c:pt idx="3">
                  <c:v>392</c:v>
                </c:pt>
                <c:pt idx="4">
                  <c:v>929</c:v>
                </c:pt>
                <c:pt idx="5">
                  <c:v>473</c:v>
                </c:pt>
              </c:numCache>
            </c:numRef>
          </c:val>
          <c:extLst>
            <c:ext xmlns:c16="http://schemas.microsoft.com/office/drawing/2014/chart" uri="{C3380CC4-5D6E-409C-BE32-E72D297353CC}">
              <c16:uniqueId val="{00000006-99C9-467A-9691-805E6294C450}"/>
            </c:ext>
          </c:extLst>
        </c:ser>
        <c:dLbls>
          <c:showLegendKey val="0"/>
          <c:showVal val="0"/>
          <c:showCatName val="0"/>
          <c:showSerName val="0"/>
          <c:showPercent val="0"/>
          <c:showBubbleSize val="0"/>
        </c:dLbls>
        <c:gapWidth val="136"/>
        <c:overlap val="-5"/>
        <c:axId val="179637072"/>
        <c:axId val="179637632"/>
      </c:barChart>
      <c:barChart>
        <c:barDir val="bar"/>
        <c:grouping val="stacked"/>
        <c:varyColors val="0"/>
        <c:ser>
          <c:idx val="0"/>
          <c:order val="0"/>
          <c:tx>
            <c:strRef>
              <c:f>'CONSOLIDADO-ACUEDUCTOSRURALES2'!$C$7</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99C9-467A-9691-805E6294C450}"/>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99C9-467A-9691-805E6294C450}"/>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99C9-467A-9691-805E6294C450}"/>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99C9-467A-9691-805E6294C450}"/>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99C9-467A-9691-805E6294C450}"/>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99C9-467A-9691-805E6294C450}"/>
              </c:ext>
            </c:extLst>
          </c:dPt>
          <c:dLbls>
            <c:dLbl>
              <c:idx val="4"/>
              <c:spPr/>
              <c:txPr>
                <a:bodyPr/>
                <a:lstStyle/>
                <a:p>
                  <a:pPr>
                    <a:defRPr sz="1200" b="1" i="0" u="none" strike="noStrike" baseline="0">
                      <a:solidFill>
                        <a:srgbClr val="FFFFFF"/>
                      </a:solidFill>
                      <a:latin typeface="Verdana"/>
                      <a:ea typeface="Verdana"/>
                      <a:cs typeface="Verdana"/>
                    </a:defRPr>
                  </a:pPr>
                  <a:endParaRPr lang="es-ES"/>
                </a:p>
              </c:txPr>
              <c:showLegendKey val="0"/>
              <c:showVal val="1"/>
              <c:showCatName val="0"/>
              <c:showSerName val="0"/>
              <c:showPercent val="0"/>
              <c:showBubbleSize val="0"/>
              <c:extLst>
                <c:ext xmlns:c16="http://schemas.microsoft.com/office/drawing/2014/chart" uri="{C3380CC4-5D6E-409C-BE32-E72D297353CC}">
                  <c16:uniqueId val="{00000010-99C9-467A-9691-805E6294C450}"/>
                </c:ext>
              </c:extLst>
            </c:dLbl>
            <c:dLbl>
              <c:idx val="5"/>
              <c:spPr/>
              <c:txPr>
                <a:bodyPr/>
                <a:lstStyle/>
                <a:p>
                  <a:pPr>
                    <a:defRPr sz="1200" b="1" i="0" u="none" strike="noStrike" baseline="0">
                      <a:solidFill>
                        <a:srgbClr val="FFFFFF"/>
                      </a:solidFill>
                      <a:latin typeface="Verdana"/>
                      <a:ea typeface="Verdana"/>
                      <a:cs typeface="Verdana"/>
                    </a:defRPr>
                  </a:pPr>
                  <a:endParaRPr lang="es-ES"/>
                </a:p>
              </c:txPr>
              <c:showLegendKey val="0"/>
              <c:showVal val="1"/>
              <c:showCatName val="0"/>
              <c:showSerName val="0"/>
              <c:showPercent val="0"/>
              <c:showBubbleSize val="0"/>
              <c:extLst>
                <c:ext xmlns:c16="http://schemas.microsoft.com/office/drawing/2014/chart" uri="{C3380CC4-5D6E-409C-BE32-E72D297353CC}">
                  <c16:uniqueId val="{00000012-99C9-467A-9691-805E6294C450}"/>
                </c:ext>
              </c:extLst>
            </c:dLbl>
            <c:spPr>
              <a:noFill/>
              <a:ln>
                <a:noFill/>
              </a:ln>
              <a:effectLst/>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('CONSOLIDADO-ACUEDUCTOSRURALES2'!$E$17,'CONSOLIDADO-ACUEDUCTOSRURALES2'!$G$17,'CONSOLIDADO-ACUEDUCTOSRURALES2'!$I$17,'CONSOLIDADO-ACUEDUCTOSRURALES2'!$K$17,'CONSOLIDADO-ACUEDUCTOSRURALES2'!$M$17,'CONSOLIDADO-ACUEDUCTOSRURALES2'!$O$17)</c:f>
              <c:numCache>
                <c:formatCode>0.0</c:formatCode>
                <c:ptCount val="6"/>
                <c:pt idx="0">
                  <c:v>17.308488612836438</c:v>
                </c:pt>
                <c:pt idx="1">
                  <c:v>3.5196687370600417</c:v>
                </c:pt>
                <c:pt idx="2">
                  <c:v>4.8861283643892337</c:v>
                </c:pt>
                <c:pt idx="3">
                  <c:v>16.231884057971012</c:v>
                </c:pt>
                <c:pt idx="4">
                  <c:v>38.467908902691512</c:v>
                </c:pt>
                <c:pt idx="5">
                  <c:v>19.585921325051761</c:v>
                </c:pt>
              </c:numCache>
            </c:numRef>
          </c:val>
          <c:extLst>
            <c:ext xmlns:c16="http://schemas.microsoft.com/office/drawing/2014/chart" uri="{C3380CC4-5D6E-409C-BE32-E72D297353CC}">
              <c16:uniqueId val="{00000013-99C9-467A-9691-805E6294C450}"/>
            </c:ext>
          </c:extLst>
        </c:ser>
        <c:dLbls>
          <c:showLegendKey val="0"/>
          <c:showVal val="0"/>
          <c:showCatName val="0"/>
          <c:showSerName val="0"/>
          <c:showPercent val="0"/>
          <c:showBubbleSize val="0"/>
        </c:dLbls>
        <c:gapWidth val="132"/>
        <c:overlap val="-5"/>
        <c:axId val="179638192"/>
        <c:axId val="179638752"/>
      </c:barChart>
      <c:catAx>
        <c:axId val="179637072"/>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79637632"/>
        <c:crosses val="autoZero"/>
        <c:auto val="1"/>
        <c:lblAlgn val="ctr"/>
        <c:lblOffset val="100"/>
        <c:noMultiLvlLbl val="0"/>
      </c:catAx>
      <c:valAx>
        <c:axId val="179637632"/>
        <c:scaling>
          <c:orientation val="minMax"/>
          <c:max val="100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8220879289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79637072"/>
        <c:crosses val="autoZero"/>
        <c:crossBetween val="between"/>
      </c:valAx>
      <c:catAx>
        <c:axId val="179638192"/>
        <c:scaling>
          <c:orientation val="minMax"/>
        </c:scaling>
        <c:delete val="1"/>
        <c:axPos val="l"/>
        <c:numFmt formatCode="General" sourceLinked="1"/>
        <c:majorTickMark val="out"/>
        <c:minorTickMark val="none"/>
        <c:tickLblPos val="nextTo"/>
        <c:crossAx val="179638752"/>
        <c:crosses val="autoZero"/>
        <c:auto val="1"/>
        <c:lblAlgn val="ctr"/>
        <c:lblOffset val="100"/>
        <c:noMultiLvlLbl val="0"/>
      </c:catAx>
      <c:valAx>
        <c:axId val="179638752"/>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07682995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79638192"/>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10</a:t>
            </a:r>
            <a:r>
              <a:rPr lang="es-CO" sz="1200" b="0" i="0" u="none" strike="noStrike" baseline="0">
                <a:solidFill>
                  <a:srgbClr val="000000"/>
                </a:solidFill>
                <a:latin typeface="Arial"/>
                <a:cs typeface="Arial"/>
              </a:rPr>
              <a:t>. Numero y porcentaje de acueductos rurales por  nivel de riesgo sanitario subregión Occidente - Antioquia - Colombia  2019</a:t>
            </a:r>
          </a:p>
        </c:rich>
      </c:tx>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'CONSOLIDADO-ACUEDUCTOSRURALES2'!$B$78</c:f>
              <c:strCache>
                <c:ptCount val="1"/>
                <c:pt idx="0">
                  <c:v>Número de Sistemas</c:v>
                </c:pt>
              </c:strCache>
            </c:strRef>
          </c:tx>
          <c:spPr>
            <a:solidFill>
              <a:schemeClr val="bg1">
                <a:lumMod val="85000"/>
              </a:schemeClr>
            </a:solidFill>
          </c:spPr>
          <c:invertIfNegative val="0"/>
          <c:dLbls>
            <c:dLbl>
              <c:idx val="0"/>
              <c:layout>
                <c:manualLayout>
                  <c:x val="5.5908513341804321E-2"/>
                  <c:y val="-2.53678060357397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A9-41B1-BC75-80E2E73BFBDD}"/>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A9-41B1-BC75-80E2E73BFBDD}"/>
                </c:ext>
              </c:extLst>
            </c:dLbl>
            <c:dLbl>
              <c:idx val="2"/>
              <c:layout>
                <c:manualLayout>
                  <c:x val="4.7437526471833968E-2"/>
                  <c:y val="3.8414738387586611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A9-41B1-BC75-80E2E73BFBDD}"/>
                </c:ext>
              </c:extLst>
            </c:dLbl>
            <c:dLbl>
              <c:idx val="3"/>
              <c:layout>
                <c:manualLayout>
                  <c:x val="6.9462092333756886E-2"/>
                  <c:y val="2.5542784163473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A9-41B1-BC75-80E2E73BFBDD}"/>
                </c:ext>
              </c:extLst>
            </c:dLbl>
            <c:dLbl>
              <c:idx val="4"/>
              <c:layout>
                <c:manualLayout>
                  <c:x val="0.37452340693753799"/>
                  <c:y val="1.3877575647824775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A9-41B1-BC75-80E2E73BFBDD}"/>
                </c:ext>
              </c:extLst>
            </c:dLbl>
            <c:dLbl>
              <c:idx val="5"/>
              <c:layout>
                <c:manualLayout>
                  <c:x val="0.20221126107648235"/>
                  <c:y val="-3.6202371255317224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A9-41B1-BC75-80E2E73BFBDD}"/>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('CONSOLIDADO-ACUEDUCTOSRURALES2'!$D$78,'CONSOLIDADO-ACUEDUCTOSRURALES2'!$F$78,'CONSOLIDADO-ACUEDUCTOSRURALES2'!$H$78,'CONSOLIDADO-ACUEDUCTOSRURALES2'!$J$78,'CONSOLIDADO-ACUEDUCTOSRURALES2'!$L$78,'CONSOLIDADO-ACUEDUCTOSRURALES2'!$N$78)</c:f>
              <c:strCache>
                <c:ptCount val="6"/>
                <c:pt idx="0">
                  <c:v>Sin Riesgo</c:v>
                </c:pt>
                <c:pt idx="1">
                  <c:v>Bajo</c:v>
                </c:pt>
                <c:pt idx="2">
                  <c:v>Medio</c:v>
                </c:pt>
                <c:pt idx="3">
                  <c:v>Alto</c:v>
                </c:pt>
                <c:pt idx="4">
                  <c:v>Inviable Sanitariamente</c:v>
                </c:pt>
                <c:pt idx="5">
                  <c:v>Sin Dato</c:v>
                </c:pt>
              </c:strCache>
            </c:strRef>
          </c:cat>
          <c:val>
            <c:numRef>
              <c:f>('CONSOLIDADO-ACUEDUCTOSRURALES2'!$D$98,'CONSOLIDADO-ACUEDUCTOSRURALES2'!$F$98,'CONSOLIDADO-ACUEDUCTOSRURALES2'!$H$98,'CONSOLIDADO-ACUEDUCTOSRURALES2'!$J$98,'CONSOLIDADO-ACUEDUCTOSRURALES2'!$L$98,'CONSOLIDADO-ACUEDUCTOSRURALES2'!$N$98)</c:f>
              <c:numCache>
                <c:formatCode>General</c:formatCode>
                <c:ptCount val="6"/>
                <c:pt idx="0">
                  <c:v>25</c:v>
                </c:pt>
                <c:pt idx="1">
                  <c:v>2</c:v>
                </c:pt>
                <c:pt idx="2">
                  <c:v>5</c:v>
                </c:pt>
                <c:pt idx="3">
                  <c:v>66</c:v>
                </c:pt>
                <c:pt idx="4">
                  <c:v>281</c:v>
                </c:pt>
                <c:pt idx="5">
                  <c:v>139</c:v>
                </c:pt>
              </c:numCache>
            </c:numRef>
          </c:val>
          <c:extLst>
            <c:ext xmlns:c16="http://schemas.microsoft.com/office/drawing/2014/chart" uri="{C3380CC4-5D6E-409C-BE32-E72D297353CC}">
              <c16:uniqueId val="{00000006-1DA9-41B1-BC75-80E2E73BFBDD}"/>
            </c:ext>
          </c:extLst>
        </c:ser>
        <c:dLbls>
          <c:showLegendKey val="0"/>
          <c:showVal val="0"/>
          <c:showCatName val="0"/>
          <c:showSerName val="0"/>
          <c:showPercent val="0"/>
          <c:showBubbleSize val="0"/>
        </c:dLbls>
        <c:gapWidth val="135"/>
        <c:overlap val="-5"/>
        <c:axId val="187938688"/>
        <c:axId val="187939248"/>
      </c:barChart>
      <c:barChart>
        <c:barDir val="bar"/>
        <c:grouping val="stacked"/>
        <c:varyColors val="0"/>
        <c:ser>
          <c:idx val="0"/>
          <c:order val="0"/>
          <c:tx>
            <c:strRef>
              <c:f>'CONSOLIDADO-ACUEDUCTOSRURALES2'!$C$78</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1DA9-41B1-BC75-80E2E73BFBDD}"/>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1DA9-41B1-BC75-80E2E73BFBDD}"/>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1DA9-41B1-BC75-80E2E73BFBDD}"/>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1DA9-41B1-BC75-80E2E73BFBDD}"/>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1DA9-41B1-BC75-80E2E73BFBDD}"/>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1DA9-41B1-BC75-80E2E73BFBDD}"/>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A9-41B1-BC75-80E2E73BFBDD}"/>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A9-41B1-BC75-80E2E73BFBDD}"/>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DA9-41B1-BC75-80E2E73BFBDD}"/>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DA9-41B1-BC75-80E2E73BFBDD}"/>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DA9-41B1-BC75-80E2E73BFBDD}"/>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('CONSOLIDADO-ACUEDUCTOSRURALES2'!$E$98,'CONSOLIDADO-ACUEDUCTOSRURALES2'!$G$98,'CONSOLIDADO-ACUEDUCTOSRURALES2'!$I$98,'CONSOLIDADO-ACUEDUCTOSRURALES2'!$K$98,'CONSOLIDADO-ACUEDUCTOSRURALES2'!$M$98,'CONSOLIDADO-ACUEDUCTOSRURALES2'!$O$98)</c:f>
              <c:numCache>
                <c:formatCode>0.0</c:formatCode>
                <c:ptCount val="6"/>
                <c:pt idx="0">
                  <c:v>4.8262548262548259</c:v>
                </c:pt>
                <c:pt idx="1">
                  <c:v>0.38610038610038611</c:v>
                </c:pt>
                <c:pt idx="2">
                  <c:v>0.96525096525096521</c:v>
                </c:pt>
                <c:pt idx="3">
                  <c:v>12.741312741312742</c:v>
                </c:pt>
                <c:pt idx="4">
                  <c:v>54.247104247104247</c:v>
                </c:pt>
                <c:pt idx="5">
                  <c:v>26.833976833976834</c:v>
                </c:pt>
              </c:numCache>
            </c:numRef>
          </c:val>
          <c:extLst>
            <c:ext xmlns:c16="http://schemas.microsoft.com/office/drawing/2014/chart" uri="{C3380CC4-5D6E-409C-BE32-E72D297353CC}">
              <c16:uniqueId val="{00000013-1DA9-41B1-BC75-80E2E73BFBDD}"/>
            </c:ext>
          </c:extLst>
        </c:ser>
        <c:dLbls>
          <c:showLegendKey val="0"/>
          <c:showVal val="0"/>
          <c:showCatName val="0"/>
          <c:showSerName val="0"/>
          <c:showPercent val="0"/>
          <c:showBubbleSize val="0"/>
        </c:dLbls>
        <c:gapWidth val="136"/>
        <c:overlap val="-5"/>
        <c:axId val="187939808"/>
        <c:axId val="187940368"/>
      </c:barChart>
      <c:catAx>
        <c:axId val="18793868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939248"/>
        <c:crosses val="autoZero"/>
        <c:auto val="1"/>
        <c:lblAlgn val="ctr"/>
        <c:lblOffset val="100"/>
        <c:noMultiLvlLbl val="0"/>
      </c:catAx>
      <c:valAx>
        <c:axId val="187939248"/>
        <c:scaling>
          <c:orientation val="minMax"/>
          <c:max val="285"/>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938688"/>
        <c:crosses val="autoZero"/>
        <c:crossBetween val="between"/>
      </c:valAx>
      <c:catAx>
        <c:axId val="187939808"/>
        <c:scaling>
          <c:orientation val="minMax"/>
        </c:scaling>
        <c:delete val="1"/>
        <c:axPos val="l"/>
        <c:numFmt formatCode="General" sourceLinked="1"/>
        <c:majorTickMark val="out"/>
        <c:minorTickMark val="none"/>
        <c:tickLblPos val="nextTo"/>
        <c:crossAx val="187940368"/>
        <c:crosses val="autoZero"/>
        <c:auto val="1"/>
        <c:lblAlgn val="ctr"/>
        <c:lblOffset val="100"/>
        <c:noMultiLvlLbl val="0"/>
      </c:catAx>
      <c:valAx>
        <c:axId val="187940368"/>
        <c:scaling>
          <c:orientation val="minMax"/>
          <c:max val="6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93980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11</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Suroeste - Antioquia- Colombia 2019</a:t>
            </a:r>
          </a:p>
        </c:rich>
      </c:tx>
      <c:layout>
        <c:manualLayout>
          <c:xMode val="edge"/>
          <c:yMode val="edge"/>
          <c:x val="0.17977430486163851"/>
          <c:y val="1.1976046683484953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'CONSOLIDADO-ACUEDUCTOSRURALES2'!$B$102</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'CONSOLIDADO-ACUEDUCTOSRURALES2'!$A$103:$A$125</c:f>
              <c:strCache>
                <c:ptCount val="23"/>
                <c:pt idx="0">
                  <c:v>Amaga</c:v>
                </c:pt>
                <c:pt idx="1">
                  <c:v>Andes</c:v>
                </c:pt>
                <c:pt idx="2">
                  <c:v>Angelópolis</c:v>
                </c:pt>
                <c:pt idx="3">
                  <c:v>Betania</c:v>
                </c:pt>
                <c:pt idx="4">
                  <c:v>Betulia</c:v>
                </c:pt>
                <c:pt idx="5">
                  <c:v>Caramanta</c:v>
                </c:pt>
                <c:pt idx="6">
                  <c:v>Ciudad Bolívar</c:v>
                </c:pt>
                <c:pt idx="7">
                  <c:v>Concordia</c:v>
                </c:pt>
                <c:pt idx="8">
                  <c:v>Fredonia</c:v>
                </c:pt>
                <c:pt idx="9">
                  <c:v>Hispania</c:v>
                </c:pt>
                <c:pt idx="10">
                  <c:v>Jardín</c:v>
                </c:pt>
                <c:pt idx="11">
                  <c:v>Jericó</c:v>
                </c:pt>
                <c:pt idx="12">
                  <c:v>La Pintada</c:v>
                </c:pt>
                <c:pt idx="13">
                  <c:v>Montebello</c:v>
                </c:pt>
                <c:pt idx="14">
                  <c:v>Pueblorrico</c:v>
                </c:pt>
                <c:pt idx="15">
                  <c:v>Salgar</c:v>
                </c:pt>
                <c:pt idx="16">
                  <c:v>Santa Bárbara</c:v>
                </c:pt>
                <c:pt idx="17">
                  <c:v>Tamesis</c:v>
                </c:pt>
                <c:pt idx="18">
                  <c:v>Tarso</c:v>
                </c:pt>
                <c:pt idx="19">
                  <c:v>Titiribí</c:v>
                </c:pt>
                <c:pt idx="20">
                  <c:v>Urrao</c:v>
                </c:pt>
                <c:pt idx="21">
                  <c:v>Valparaíso</c:v>
                </c:pt>
                <c:pt idx="22">
                  <c:v>Venecia</c:v>
                </c:pt>
              </c:strCache>
            </c:strRef>
          </c:cat>
          <c:val>
            <c:numRef>
              <c:f>'CONSOLIDADO-ACUEDUCTOSRURALES2'!$B$103:$B$125</c:f>
              <c:numCache>
                <c:formatCode>General</c:formatCode>
                <c:ptCount val="23"/>
                <c:pt idx="0">
                  <c:v>34</c:v>
                </c:pt>
                <c:pt idx="1">
                  <c:v>58</c:v>
                </c:pt>
                <c:pt idx="2">
                  <c:v>12</c:v>
                </c:pt>
                <c:pt idx="3">
                  <c:v>12</c:v>
                </c:pt>
                <c:pt idx="4">
                  <c:v>28</c:v>
                </c:pt>
                <c:pt idx="5">
                  <c:v>16</c:v>
                </c:pt>
                <c:pt idx="6">
                  <c:v>17</c:v>
                </c:pt>
                <c:pt idx="7">
                  <c:v>21</c:v>
                </c:pt>
                <c:pt idx="8">
                  <c:v>36</c:v>
                </c:pt>
                <c:pt idx="9">
                  <c:v>9</c:v>
                </c:pt>
                <c:pt idx="10">
                  <c:v>23</c:v>
                </c:pt>
                <c:pt idx="11">
                  <c:v>25</c:v>
                </c:pt>
                <c:pt idx="12">
                  <c:v>0</c:v>
                </c:pt>
                <c:pt idx="13">
                  <c:v>19</c:v>
                </c:pt>
                <c:pt idx="14">
                  <c:v>6</c:v>
                </c:pt>
                <c:pt idx="15">
                  <c:v>27</c:v>
                </c:pt>
                <c:pt idx="16">
                  <c:v>41</c:v>
                </c:pt>
                <c:pt idx="17">
                  <c:v>33</c:v>
                </c:pt>
                <c:pt idx="18">
                  <c:v>13</c:v>
                </c:pt>
                <c:pt idx="19">
                  <c:v>23</c:v>
                </c:pt>
                <c:pt idx="20">
                  <c:v>31</c:v>
                </c:pt>
                <c:pt idx="21">
                  <c:v>16</c:v>
                </c:pt>
                <c:pt idx="22">
                  <c:v>11</c:v>
                </c:pt>
              </c:numCache>
            </c:numRef>
          </c:val>
          <c:extLst>
            <c:ext xmlns:c16="http://schemas.microsoft.com/office/drawing/2014/chart" uri="{C3380CC4-5D6E-409C-BE32-E72D297353CC}">
              <c16:uniqueId val="{00000000-95DD-4F1A-88D9-A3EDDA458F25}"/>
            </c:ext>
          </c:extLst>
        </c:ser>
        <c:dLbls>
          <c:showLegendKey val="0"/>
          <c:showVal val="0"/>
          <c:showCatName val="0"/>
          <c:showSerName val="0"/>
          <c:showPercent val="0"/>
          <c:showBubbleSize val="0"/>
        </c:dLbls>
        <c:gapWidth val="114"/>
        <c:overlap val="-78"/>
        <c:axId val="188078832"/>
        <c:axId val="188079392"/>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'CONSOLIDADO-ACUEDUCTOSRURALES2'!$C$103:$C$125</c:f>
              <c:numCache>
                <c:formatCode>0.0</c:formatCode>
                <c:ptCount val="23"/>
                <c:pt idx="0">
                  <c:v>6.6536203522504884</c:v>
                </c:pt>
                <c:pt idx="1">
                  <c:v>11.350293542074363</c:v>
                </c:pt>
                <c:pt idx="2">
                  <c:v>2.3483365949119372</c:v>
                </c:pt>
                <c:pt idx="3">
                  <c:v>2.3483365949119372</c:v>
                </c:pt>
                <c:pt idx="4">
                  <c:v>5.4794520547945202</c:v>
                </c:pt>
                <c:pt idx="5">
                  <c:v>3.131115459882583</c:v>
                </c:pt>
                <c:pt idx="6">
                  <c:v>3.3268101761252442</c:v>
                </c:pt>
                <c:pt idx="7">
                  <c:v>4.10958904109589</c:v>
                </c:pt>
                <c:pt idx="8">
                  <c:v>7.0450097847358117</c:v>
                </c:pt>
                <c:pt idx="9">
                  <c:v>1.7612524461839529</c:v>
                </c:pt>
                <c:pt idx="10">
                  <c:v>4.5009784735812133</c:v>
                </c:pt>
                <c:pt idx="11">
                  <c:v>4.8923679060665357</c:v>
                </c:pt>
                <c:pt idx="12">
                  <c:v>0</c:v>
                </c:pt>
                <c:pt idx="13">
                  <c:v>3.7181996086105675</c:v>
                </c:pt>
                <c:pt idx="14">
                  <c:v>1.1741682974559686</c:v>
                </c:pt>
                <c:pt idx="15">
                  <c:v>5.283757338551859</c:v>
                </c:pt>
                <c:pt idx="16">
                  <c:v>8.0234833659491187</c:v>
                </c:pt>
                <c:pt idx="17">
                  <c:v>6.4579256360078272</c:v>
                </c:pt>
                <c:pt idx="18">
                  <c:v>2.5440313111545985</c:v>
                </c:pt>
                <c:pt idx="19">
                  <c:v>4.5009784735812133</c:v>
                </c:pt>
                <c:pt idx="20">
                  <c:v>6.0665362035225048</c:v>
                </c:pt>
                <c:pt idx="21">
                  <c:v>3.131115459882583</c:v>
                </c:pt>
                <c:pt idx="22">
                  <c:v>2.152641878669276</c:v>
                </c:pt>
              </c:numCache>
            </c:numRef>
          </c:val>
          <c:extLst>
            <c:ext xmlns:c16="http://schemas.microsoft.com/office/drawing/2014/chart" uri="{C3380CC4-5D6E-409C-BE32-E72D297353CC}">
              <c16:uniqueId val="{00000001-95DD-4F1A-88D9-A3EDDA458F25}"/>
            </c:ext>
          </c:extLst>
        </c:ser>
        <c:dLbls>
          <c:showLegendKey val="0"/>
          <c:showVal val="0"/>
          <c:showCatName val="0"/>
          <c:showSerName val="0"/>
          <c:showPercent val="0"/>
          <c:showBubbleSize val="0"/>
        </c:dLbls>
        <c:gapWidth val="150"/>
        <c:axId val="188147488"/>
        <c:axId val="188148048"/>
      </c:barChart>
      <c:catAx>
        <c:axId val="188078832"/>
        <c:scaling>
          <c:orientation val="minMax"/>
        </c:scaling>
        <c:delete val="0"/>
        <c:axPos val="b"/>
        <c:numFmt formatCode="General" sourceLinked="1"/>
        <c:majorTickMark val="none"/>
        <c:minorTickMark val="none"/>
        <c:tickLblPos val="nextTo"/>
        <c:txPr>
          <a:bodyPr rot="-3360000" vert="horz"/>
          <a:lstStyle/>
          <a:p>
            <a:pPr>
              <a:defRPr sz="1200" b="0" i="0" u="none" strike="noStrike" baseline="0">
                <a:solidFill>
                  <a:srgbClr val="000000"/>
                </a:solidFill>
                <a:latin typeface="Calibri"/>
                <a:ea typeface="Calibri"/>
                <a:cs typeface="Calibri"/>
              </a:defRPr>
            </a:pPr>
            <a:endParaRPr lang="es-ES"/>
          </a:p>
        </c:txPr>
        <c:crossAx val="188079392"/>
        <c:crossesAt val="0"/>
        <c:auto val="1"/>
        <c:lblAlgn val="ctr"/>
        <c:lblOffset val="100"/>
        <c:noMultiLvlLbl val="0"/>
      </c:catAx>
      <c:valAx>
        <c:axId val="188079392"/>
        <c:scaling>
          <c:orientation val="minMax"/>
          <c:max val="6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4701730244"/>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078832"/>
        <c:crosses val="autoZero"/>
        <c:crossBetween val="between"/>
        <c:majorUnit val="5"/>
      </c:valAx>
      <c:catAx>
        <c:axId val="188147488"/>
        <c:scaling>
          <c:orientation val="minMax"/>
        </c:scaling>
        <c:delete val="1"/>
        <c:axPos val="b"/>
        <c:numFmt formatCode="General" sourceLinked="1"/>
        <c:majorTickMark val="out"/>
        <c:minorTickMark val="none"/>
        <c:tickLblPos val="nextTo"/>
        <c:crossAx val="188148048"/>
        <c:crosses val="autoZero"/>
        <c:auto val="1"/>
        <c:lblAlgn val="ctr"/>
        <c:lblOffset val="100"/>
        <c:noMultiLvlLbl val="0"/>
      </c:catAx>
      <c:valAx>
        <c:axId val="188148048"/>
        <c:scaling>
          <c:orientation val="minMax"/>
          <c:max val="2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14748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431083251"/>
          <c:w val="0.4600726114819404"/>
          <c:h val="6.01057003796855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12</a:t>
            </a:r>
            <a:r>
              <a:rPr lang="es-CO" sz="1200" b="0" i="0" u="none" strike="noStrike" baseline="0">
                <a:solidFill>
                  <a:srgbClr val="000000"/>
                </a:solidFill>
                <a:latin typeface="Arial"/>
                <a:cs typeface="Arial"/>
              </a:rPr>
              <a:t>. Numero y porcentaje de acueductos rurales por  nivel de riesgo sanitario psubregión Suroeste - Antioquia - Colombia  2019</a:t>
            </a:r>
          </a:p>
        </c:rich>
      </c:tx>
      <c:layout>
        <c:manualLayout>
          <c:xMode val="edge"/>
          <c:yMode val="edge"/>
          <c:x val="0.11235490099950976"/>
          <c:y val="7.6677329396325454E-3"/>
        </c:manualLayout>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'CONSOLIDADO-ACUEDUCTOSRURALES2'!$B$102</c:f>
              <c:strCache>
                <c:ptCount val="1"/>
                <c:pt idx="0">
                  <c:v>Número de Sistemas</c:v>
                </c:pt>
              </c:strCache>
            </c:strRef>
          </c:tx>
          <c:spPr>
            <a:solidFill>
              <a:schemeClr val="bg1">
                <a:lumMod val="85000"/>
              </a:schemeClr>
            </a:solidFill>
          </c:spPr>
          <c:invertIfNegative val="0"/>
          <c:dLbls>
            <c:dLbl>
              <c:idx val="0"/>
              <c:layout>
                <c:manualLayout>
                  <c:x val="0.1541719610334604"/>
                  <c:y val="-2.54001157203592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33-44BF-BF8C-3B3D3E63493B}"/>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33-44BF-BF8C-3B3D3E63493B}"/>
                </c:ext>
              </c:extLst>
            </c:dLbl>
            <c:dLbl>
              <c:idx val="2"/>
              <c:layout>
                <c:manualLayout>
                  <c:x val="5.9296908089792523E-2"/>
                  <c:y val="2.594349827677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33-44BF-BF8C-3B3D3E63493B}"/>
                </c:ext>
              </c:extLst>
            </c:dLbl>
            <c:dLbl>
              <c:idx val="3"/>
              <c:layout>
                <c:manualLayout>
                  <c:x val="0.22363405336721728"/>
                  <c:y val="5.11021106387260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33-44BF-BF8C-3B3D3E63493B}"/>
                </c:ext>
              </c:extLst>
            </c:dLbl>
            <c:dLbl>
              <c:idx val="4"/>
              <c:layout>
                <c:manualLayout>
                  <c:x val="0.36266402531957964"/>
                  <c:y val="2.56818696384991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33-44BF-BF8C-3B3D3E63493B}"/>
                </c:ext>
              </c:extLst>
            </c:dLbl>
            <c:dLbl>
              <c:idx val="5"/>
              <c:layout>
                <c:manualLayout>
                  <c:x val="0.48683628650611799"/>
                  <c:y val="2.55067797036552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33-44BF-BF8C-3B3D3E63493B}"/>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('CONSOLIDADO-ACUEDUCTOSRURALES2'!$D$126,'CONSOLIDADO-ACUEDUCTOSRURALES2'!$F$126,'CONSOLIDADO-ACUEDUCTOSRURALES2'!$H$126,'CONSOLIDADO-ACUEDUCTOSRURALES2'!$J$126,'CONSOLIDADO-ACUEDUCTOSRURALES2'!$L$126,'CONSOLIDADO-ACUEDUCTOSRURALES2'!$N$126)</c:f>
              <c:numCache>
                <c:formatCode>General</c:formatCode>
                <c:ptCount val="6"/>
                <c:pt idx="0">
                  <c:v>72</c:v>
                </c:pt>
                <c:pt idx="1">
                  <c:v>10</c:v>
                </c:pt>
                <c:pt idx="2">
                  <c:v>31</c:v>
                </c:pt>
                <c:pt idx="3">
                  <c:v>129</c:v>
                </c:pt>
                <c:pt idx="4">
                  <c:v>207</c:v>
                </c:pt>
                <c:pt idx="5">
                  <c:v>62</c:v>
                </c:pt>
              </c:numCache>
            </c:numRef>
          </c:val>
          <c:extLst>
            <c:ext xmlns:c16="http://schemas.microsoft.com/office/drawing/2014/chart" uri="{C3380CC4-5D6E-409C-BE32-E72D297353CC}">
              <c16:uniqueId val="{00000006-EA33-44BF-BF8C-3B3D3E63493B}"/>
            </c:ext>
          </c:extLst>
        </c:ser>
        <c:dLbls>
          <c:showLegendKey val="0"/>
          <c:showVal val="0"/>
          <c:showCatName val="0"/>
          <c:showSerName val="0"/>
          <c:showPercent val="0"/>
          <c:showBubbleSize val="0"/>
        </c:dLbls>
        <c:gapWidth val="136"/>
        <c:overlap val="-5"/>
        <c:axId val="188150288"/>
        <c:axId val="188150848"/>
      </c:barChart>
      <c:barChart>
        <c:barDir val="bar"/>
        <c:grouping val="stacked"/>
        <c:varyColors val="0"/>
        <c:ser>
          <c:idx val="0"/>
          <c:order val="0"/>
          <c:tx>
            <c:strRef>
              <c:f>'CONSOLIDADO-ACUEDUCTOSRURALES2'!$C$102</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A33-44BF-BF8C-3B3D3E63493B}"/>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A33-44BF-BF8C-3B3D3E63493B}"/>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A33-44BF-BF8C-3B3D3E63493B}"/>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A33-44BF-BF8C-3B3D3E63493B}"/>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A33-44BF-BF8C-3B3D3E63493B}"/>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A33-44BF-BF8C-3B3D3E63493B}"/>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33-44BF-BF8C-3B3D3E63493B}"/>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33-44BF-BF8C-3B3D3E63493B}"/>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33-44BF-BF8C-3B3D3E63493B}"/>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33-44BF-BF8C-3B3D3E63493B}"/>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33-44BF-BF8C-3B3D3E63493B}"/>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('CONSOLIDADO-ACUEDUCTOSRURALES2'!$E$126,'CONSOLIDADO-ACUEDUCTOSRURALES2'!$G$126,'CONSOLIDADO-ACUEDUCTOSRURALES2'!$I$126,'CONSOLIDADO-ACUEDUCTOSRURALES2'!$K$126,'CONSOLIDADO-ACUEDUCTOSRURALES2'!$M$126,'CONSOLIDADO-ACUEDUCTOSRURALES2'!$O$126)</c:f>
              <c:numCache>
                <c:formatCode>0.0</c:formatCode>
                <c:ptCount val="6"/>
                <c:pt idx="0">
                  <c:v>14.090019569471623</c:v>
                </c:pt>
                <c:pt idx="1">
                  <c:v>1.9569471624266144</c:v>
                </c:pt>
                <c:pt idx="2">
                  <c:v>6.0665362035225048</c:v>
                </c:pt>
                <c:pt idx="3">
                  <c:v>25.244618395303327</c:v>
                </c:pt>
                <c:pt idx="4">
                  <c:v>40.50880626223092</c:v>
                </c:pt>
                <c:pt idx="5">
                  <c:v>12.13307240704501</c:v>
                </c:pt>
              </c:numCache>
            </c:numRef>
          </c:val>
          <c:extLst>
            <c:ext xmlns:c16="http://schemas.microsoft.com/office/drawing/2014/chart" uri="{C3380CC4-5D6E-409C-BE32-E72D297353CC}">
              <c16:uniqueId val="{00000013-EA33-44BF-BF8C-3B3D3E63493B}"/>
            </c:ext>
          </c:extLst>
        </c:ser>
        <c:dLbls>
          <c:showLegendKey val="0"/>
          <c:showVal val="0"/>
          <c:showCatName val="0"/>
          <c:showSerName val="0"/>
          <c:showPercent val="0"/>
          <c:showBubbleSize val="0"/>
        </c:dLbls>
        <c:gapWidth val="135"/>
        <c:overlap val="-5"/>
        <c:axId val="188151408"/>
        <c:axId val="188151968"/>
      </c:barChart>
      <c:catAx>
        <c:axId val="18815028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8150848"/>
        <c:crosses val="autoZero"/>
        <c:auto val="1"/>
        <c:lblAlgn val="ctr"/>
        <c:lblOffset val="100"/>
        <c:noMultiLvlLbl val="0"/>
      </c:catAx>
      <c:valAx>
        <c:axId val="188150848"/>
        <c:scaling>
          <c:orientation val="minMax"/>
          <c:max val="22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0931758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150288"/>
        <c:crosses val="autoZero"/>
        <c:crossBetween val="between"/>
      </c:valAx>
      <c:catAx>
        <c:axId val="188151408"/>
        <c:scaling>
          <c:orientation val="minMax"/>
        </c:scaling>
        <c:delete val="1"/>
        <c:axPos val="l"/>
        <c:numFmt formatCode="General" sourceLinked="1"/>
        <c:majorTickMark val="out"/>
        <c:minorTickMark val="none"/>
        <c:tickLblPos val="nextTo"/>
        <c:crossAx val="188151968"/>
        <c:crosses val="autoZero"/>
        <c:auto val="1"/>
        <c:lblAlgn val="ctr"/>
        <c:lblOffset val="100"/>
        <c:noMultiLvlLbl val="0"/>
      </c:catAx>
      <c:valAx>
        <c:axId val="188151968"/>
        <c:scaling>
          <c:orientation val="minMax"/>
          <c:max val="6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46620734908"/>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15140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13</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Bajo Cauca - Antioquia- Colombia 2019</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'CONSOLIDADO-ACUEDUCTOSRURALES2'!$B$131</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dLbl>
              <c:idx val="2"/>
              <c:layout>
                <c:manualLayout>
                  <c:x val="1.6920473773265031E-3"/>
                  <c:y val="-2.54777070063694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B1-4E1B-B50F-DF180F3711A0}"/>
                </c:ext>
              </c:extLst>
            </c:dLbl>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'CONSOLIDADO-ACUEDUCTOSRURALES2'!$A$132:$A$137</c:f>
              <c:strCache>
                <c:ptCount val="6"/>
                <c:pt idx="0">
                  <c:v>Caucasia</c:v>
                </c:pt>
                <c:pt idx="1">
                  <c:v>Cáceres</c:v>
                </c:pt>
                <c:pt idx="2">
                  <c:v>El Bagre</c:v>
                </c:pt>
                <c:pt idx="3">
                  <c:v>Nechi</c:v>
                </c:pt>
                <c:pt idx="4">
                  <c:v>Tarazá</c:v>
                </c:pt>
                <c:pt idx="5">
                  <c:v>Zaragoza</c:v>
                </c:pt>
              </c:strCache>
            </c:strRef>
          </c:cat>
          <c:val>
            <c:numRef>
              <c:f>'CONSOLIDADO-ACUEDUCTOSRURALES2'!$B$132:$B$137</c:f>
              <c:numCache>
                <c:formatCode>General</c:formatCode>
                <c:ptCount val="6"/>
                <c:pt idx="0">
                  <c:v>20</c:v>
                </c:pt>
                <c:pt idx="1">
                  <c:v>8</c:v>
                </c:pt>
                <c:pt idx="2">
                  <c:v>3</c:v>
                </c:pt>
                <c:pt idx="3">
                  <c:v>5</c:v>
                </c:pt>
                <c:pt idx="4">
                  <c:v>9</c:v>
                </c:pt>
                <c:pt idx="5">
                  <c:v>16</c:v>
                </c:pt>
              </c:numCache>
            </c:numRef>
          </c:val>
          <c:extLst>
            <c:ext xmlns:c16="http://schemas.microsoft.com/office/drawing/2014/chart" uri="{C3380CC4-5D6E-409C-BE32-E72D297353CC}">
              <c16:uniqueId val="{00000001-5CB1-4E1B-B50F-DF180F3711A0}"/>
            </c:ext>
          </c:extLst>
        </c:ser>
        <c:dLbls>
          <c:showLegendKey val="0"/>
          <c:showVal val="0"/>
          <c:showCatName val="0"/>
          <c:showSerName val="0"/>
          <c:showPercent val="0"/>
          <c:showBubbleSize val="0"/>
        </c:dLbls>
        <c:gapWidth val="271"/>
        <c:overlap val="-78"/>
        <c:axId val="188438176"/>
        <c:axId val="188438736"/>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'CONSOLIDADO-ACUEDUCTOSRURALES2'!$C$132:$C$137</c:f>
              <c:numCache>
                <c:formatCode>0.0</c:formatCode>
                <c:ptCount val="6"/>
                <c:pt idx="0">
                  <c:v>32.786885245901637</c:v>
                </c:pt>
                <c:pt idx="1">
                  <c:v>13.114754098360656</c:v>
                </c:pt>
                <c:pt idx="2">
                  <c:v>4.918032786885246</c:v>
                </c:pt>
                <c:pt idx="3">
                  <c:v>8.1967213114754092</c:v>
                </c:pt>
                <c:pt idx="4">
                  <c:v>14.754098360655737</c:v>
                </c:pt>
                <c:pt idx="5">
                  <c:v>26.229508196721312</c:v>
                </c:pt>
              </c:numCache>
            </c:numRef>
          </c:val>
          <c:extLst>
            <c:ext xmlns:c16="http://schemas.microsoft.com/office/drawing/2014/chart" uri="{C3380CC4-5D6E-409C-BE32-E72D297353CC}">
              <c16:uniqueId val="{00000002-5CB1-4E1B-B50F-DF180F3711A0}"/>
            </c:ext>
          </c:extLst>
        </c:ser>
        <c:dLbls>
          <c:showLegendKey val="0"/>
          <c:showVal val="0"/>
          <c:showCatName val="0"/>
          <c:showSerName val="0"/>
          <c:showPercent val="0"/>
          <c:showBubbleSize val="0"/>
        </c:dLbls>
        <c:gapWidth val="322"/>
        <c:axId val="188439296"/>
        <c:axId val="188439856"/>
      </c:barChart>
      <c:catAx>
        <c:axId val="188438176"/>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8438736"/>
        <c:crossesAt val="0"/>
        <c:auto val="1"/>
        <c:lblAlgn val="ctr"/>
        <c:lblOffset val="100"/>
        <c:noMultiLvlLbl val="0"/>
      </c:catAx>
      <c:valAx>
        <c:axId val="188438736"/>
        <c:scaling>
          <c:orientation val="minMax"/>
          <c:max val="22"/>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6163502819"/>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38176"/>
        <c:crosses val="autoZero"/>
        <c:crossBetween val="between"/>
        <c:majorUnit val="5"/>
      </c:valAx>
      <c:catAx>
        <c:axId val="188439296"/>
        <c:scaling>
          <c:orientation val="minMax"/>
        </c:scaling>
        <c:delete val="1"/>
        <c:axPos val="b"/>
        <c:numFmt formatCode="General" sourceLinked="1"/>
        <c:majorTickMark val="out"/>
        <c:minorTickMark val="none"/>
        <c:tickLblPos val="nextTo"/>
        <c:crossAx val="188439856"/>
        <c:crosses val="autoZero"/>
        <c:auto val="1"/>
        <c:lblAlgn val="ctr"/>
        <c:lblOffset val="100"/>
        <c:noMultiLvlLbl val="0"/>
      </c:catAx>
      <c:valAx>
        <c:axId val="188439856"/>
        <c:scaling>
          <c:orientation val="minMax"/>
          <c:max val="6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39296"/>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14</a:t>
            </a:r>
            <a:r>
              <a:rPr lang="es-CO" sz="1200" b="0" i="0" u="none" strike="noStrike" baseline="0">
                <a:solidFill>
                  <a:srgbClr val="000000"/>
                </a:solidFill>
                <a:latin typeface="Arial"/>
                <a:cs typeface="Arial"/>
              </a:rPr>
              <a:t>. Numero y porcentaje de acueductos rurales por  nivel de riesgo sanitario subregión  Bajo Cauca- Antioquia - Colombia  2019</a:t>
            </a:r>
          </a:p>
        </c:rich>
      </c:tx>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'CONSOLIDADO-ACUEDUCTOSRURALES2'!$B$131</c:f>
              <c:strCache>
                <c:ptCount val="1"/>
                <c:pt idx="0">
                  <c:v>Número de Sistemas</c:v>
                </c:pt>
              </c:strCache>
            </c:strRef>
          </c:tx>
          <c:spPr>
            <a:solidFill>
              <a:schemeClr val="bg1">
                <a:lumMod val="85000"/>
              </a:schemeClr>
            </a:solidFill>
          </c:spPr>
          <c:invertIfNegative val="0"/>
          <c:dLbls>
            <c:dLbl>
              <c:idx val="0"/>
              <c:layout>
                <c:manualLayout>
                  <c:x val="3.8966539601863616E-2"/>
                  <c:y val="9.2813510418820962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3A-43E5-9547-3378C2D8FF4D}"/>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3A-43E5-9547-3378C2D8FF4D}"/>
                </c:ext>
              </c:extLst>
            </c:dLbl>
            <c:dLbl>
              <c:idx val="2"/>
              <c:layout>
                <c:manualLayout>
                  <c:x val="4.7437526471833968E-2"/>
                  <c:y val="3.8414738387586611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3A-43E5-9547-3378C2D8FF4D}"/>
                </c:ext>
              </c:extLst>
            </c:dLbl>
            <c:dLbl>
              <c:idx val="3"/>
              <c:layout>
                <c:manualLayout>
                  <c:x val="5.2519985192448146E-2"/>
                  <c:y val="2.55418745302577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3A-43E5-9547-3378C2D8FF4D}"/>
                </c:ext>
              </c:extLst>
            </c:dLbl>
            <c:dLbl>
              <c:idx val="4"/>
              <c:layout>
                <c:manualLayout>
                  <c:x val="0.35758143319759744"/>
                  <c:y val="2.56810947958859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3A-43E5-9547-3378C2D8FF4D}"/>
                </c:ext>
              </c:extLst>
            </c:dLbl>
            <c:dLbl>
              <c:idx val="5"/>
              <c:layout>
                <c:manualLayout>
                  <c:x val="0.16405486798267122"/>
                  <c:y val="-2.57436430311677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3A-43E5-9547-3378C2D8FF4D}"/>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('CONSOLIDADO-ACUEDUCTOSRURALES2'!$D$131,'CONSOLIDADO-ACUEDUCTOSRURALES2'!$F$131,'CONSOLIDADO-ACUEDUCTOSRURALES2'!$H$131,'CONSOLIDADO-ACUEDUCTOSRURALES2'!$J$131,'CONSOLIDADO-ACUEDUCTOSRURALES2'!$L$131,'CONSOLIDADO-ACUEDUCTOSRURALES2'!$N$131)</c:f>
              <c:strCache>
                <c:ptCount val="6"/>
                <c:pt idx="0">
                  <c:v>Sin Riesgo</c:v>
                </c:pt>
                <c:pt idx="1">
                  <c:v>Bajo</c:v>
                </c:pt>
                <c:pt idx="2">
                  <c:v>Medio</c:v>
                </c:pt>
                <c:pt idx="3">
                  <c:v>Alto</c:v>
                </c:pt>
                <c:pt idx="4">
                  <c:v>Inviable Sanitariamente</c:v>
                </c:pt>
                <c:pt idx="5">
                  <c:v>Sin Dato</c:v>
                </c:pt>
              </c:strCache>
            </c:strRef>
          </c:cat>
          <c:val>
            <c:numRef>
              <c:f>('CONSOLIDADO-ACUEDUCTOSRURALES2'!$D$138,'CONSOLIDADO-ACUEDUCTOSRURALES2'!$F$138,'CONSOLIDADO-ACUEDUCTOSRURALES2'!$H$138,'CONSOLIDADO-ACUEDUCTOSRURALES2'!$J$138,'CONSOLIDADO-ACUEDUCTOSRURALES2'!$L$138,'CONSOLIDADO-ACUEDUCTOSRURALES2'!$N$138)</c:f>
              <c:numCache>
                <c:formatCode>General</c:formatCode>
                <c:ptCount val="6"/>
                <c:pt idx="0">
                  <c:v>0</c:v>
                </c:pt>
                <c:pt idx="1">
                  <c:v>1</c:v>
                </c:pt>
                <c:pt idx="2">
                  <c:v>2</c:v>
                </c:pt>
                <c:pt idx="3">
                  <c:v>3</c:v>
                </c:pt>
                <c:pt idx="4">
                  <c:v>34</c:v>
                </c:pt>
                <c:pt idx="5">
                  <c:v>21</c:v>
                </c:pt>
              </c:numCache>
            </c:numRef>
          </c:val>
          <c:extLst>
            <c:ext xmlns:c16="http://schemas.microsoft.com/office/drawing/2014/chart" uri="{C3380CC4-5D6E-409C-BE32-E72D297353CC}">
              <c16:uniqueId val="{00000006-483A-43E5-9547-3378C2D8FF4D}"/>
            </c:ext>
          </c:extLst>
        </c:ser>
        <c:dLbls>
          <c:showLegendKey val="0"/>
          <c:showVal val="0"/>
          <c:showCatName val="0"/>
          <c:showSerName val="0"/>
          <c:showPercent val="0"/>
          <c:showBubbleSize val="0"/>
        </c:dLbls>
        <c:gapWidth val="135"/>
        <c:overlap val="-5"/>
        <c:axId val="188443216"/>
        <c:axId val="188443776"/>
      </c:barChart>
      <c:barChart>
        <c:barDir val="bar"/>
        <c:grouping val="stacked"/>
        <c:varyColors val="0"/>
        <c:ser>
          <c:idx val="0"/>
          <c:order val="0"/>
          <c:tx>
            <c:strRef>
              <c:f>'CONSOLIDADO-ACUEDUCTOSRURALES2'!$C$131</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483A-43E5-9547-3378C2D8FF4D}"/>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483A-43E5-9547-3378C2D8FF4D}"/>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483A-43E5-9547-3378C2D8FF4D}"/>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483A-43E5-9547-3378C2D8FF4D}"/>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483A-43E5-9547-3378C2D8FF4D}"/>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483A-43E5-9547-3378C2D8FF4D}"/>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3A-43E5-9547-3378C2D8FF4D}"/>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3A-43E5-9547-3378C2D8FF4D}"/>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3A-43E5-9547-3378C2D8FF4D}"/>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3A-43E5-9547-3378C2D8FF4D}"/>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83A-43E5-9547-3378C2D8FF4D}"/>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('CONSOLIDADO-ACUEDUCTOSRURALES2'!$E$138,'CONSOLIDADO-ACUEDUCTOSRURALES2'!$G$138,'CONSOLIDADO-ACUEDUCTOSRURALES2'!$I$138,'CONSOLIDADO-ACUEDUCTOSRURALES2'!$K$138,'CONSOLIDADO-ACUEDUCTOSRURALES2'!$M$138,'CONSOLIDADO-ACUEDUCTOSRURALES2'!$O$138)</c:f>
              <c:numCache>
                <c:formatCode>0.0</c:formatCode>
                <c:ptCount val="6"/>
                <c:pt idx="0">
                  <c:v>0</c:v>
                </c:pt>
                <c:pt idx="1">
                  <c:v>1.639344262295082</c:v>
                </c:pt>
                <c:pt idx="2">
                  <c:v>3.278688524590164</c:v>
                </c:pt>
                <c:pt idx="3">
                  <c:v>4.918032786885246</c:v>
                </c:pt>
                <c:pt idx="4">
                  <c:v>55.737704918032783</c:v>
                </c:pt>
                <c:pt idx="5">
                  <c:v>34.42622950819672</c:v>
                </c:pt>
              </c:numCache>
            </c:numRef>
          </c:val>
          <c:extLst>
            <c:ext xmlns:c16="http://schemas.microsoft.com/office/drawing/2014/chart" uri="{C3380CC4-5D6E-409C-BE32-E72D297353CC}">
              <c16:uniqueId val="{00000013-483A-43E5-9547-3378C2D8FF4D}"/>
            </c:ext>
          </c:extLst>
        </c:ser>
        <c:dLbls>
          <c:showLegendKey val="0"/>
          <c:showVal val="0"/>
          <c:showCatName val="0"/>
          <c:showSerName val="0"/>
          <c:showPercent val="0"/>
          <c:showBubbleSize val="0"/>
        </c:dLbls>
        <c:gapWidth val="135"/>
        <c:overlap val="-5"/>
        <c:axId val="188444336"/>
        <c:axId val="188444896"/>
      </c:barChart>
      <c:catAx>
        <c:axId val="188443216"/>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8443776"/>
        <c:crosses val="autoZero"/>
        <c:auto val="1"/>
        <c:lblAlgn val="ctr"/>
        <c:lblOffset val="100"/>
        <c:noMultiLvlLbl val="0"/>
      </c:catAx>
      <c:valAx>
        <c:axId val="188443776"/>
        <c:scaling>
          <c:orientation val="minMax"/>
          <c:max val="4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88443216"/>
        <c:crosses val="autoZero"/>
        <c:crossBetween val="between"/>
      </c:valAx>
      <c:catAx>
        <c:axId val="188444336"/>
        <c:scaling>
          <c:orientation val="minMax"/>
        </c:scaling>
        <c:delete val="1"/>
        <c:axPos val="l"/>
        <c:numFmt formatCode="General" sourceLinked="1"/>
        <c:majorTickMark val="out"/>
        <c:minorTickMark val="none"/>
        <c:tickLblPos val="nextTo"/>
        <c:crossAx val="188444896"/>
        <c:crosses val="autoZero"/>
        <c:auto val="1"/>
        <c:lblAlgn val="ctr"/>
        <c:lblOffset val="100"/>
        <c:noMultiLvlLbl val="0"/>
      </c:catAx>
      <c:valAx>
        <c:axId val="188444896"/>
        <c:scaling>
          <c:orientation val="minMax"/>
          <c:max val="75"/>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88444336"/>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15</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Magdalena Medio- Antioquia- Colombia 2019</a:t>
            </a:r>
          </a:p>
        </c:rich>
      </c:tx>
      <c:layout>
        <c:manualLayout>
          <c:xMode val="edge"/>
          <c:yMode val="edge"/>
          <c:x val="0.17977430486163851"/>
          <c:y val="1.1976046683484953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'CONSOLIDADO-ACUEDUCTOSRURALES2'!$B$142</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'CONSOLIDADO-ACUEDUCTOSRURALES2'!$A$143:$A$148</c:f>
              <c:strCache>
                <c:ptCount val="6"/>
                <c:pt idx="0">
                  <c:v>Caracolí</c:v>
                </c:pt>
                <c:pt idx="1">
                  <c:v>Maceo</c:v>
                </c:pt>
                <c:pt idx="2">
                  <c:v>Puerto Berrio</c:v>
                </c:pt>
                <c:pt idx="3">
                  <c:v>Puerto Nare</c:v>
                </c:pt>
                <c:pt idx="4">
                  <c:v>Puerto Triunfo</c:v>
                </c:pt>
                <c:pt idx="5">
                  <c:v>Yondo</c:v>
                </c:pt>
              </c:strCache>
            </c:strRef>
          </c:cat>
          <c:val>
            <c:numRef>
              <c:f>'CONSOLIDADO-ACUEDUCTOSRURALES2'!$B$143:$B$148</c:f>
              <c:numCache>
                <c:formatCode>General</c:formatCode>
                <c:ptCount val="6"/>
                <c:pt idx="0">
                  <c:v>9</c:v>
                </c:pt>
                <c:pt idx="1">
                  <c:v>8</c:v>
                </c:pt>
                <c:pt idx="2">
                  <c:v>15</c:v>
                </c:pt>
                <c:pt idx="3">
                  <c:v>7</c:v>
                </c:pt>
                <c:pt idx="4">
                  <c:v>11</c:v>
                </c:pt>
                <c:pt idx="5">
                  <c:v>21</c:v>
                </c:pt>
              </c:numCache>
            </c:numRef>
          </c:val>
          <c:extLst>
            <c:ext xmlns:c16="http://schemas.microsoft.com/office/drawing/2014/chart" uri="{C3380CC4-5D6E-409C-BE32-E72D297353CC}">
              <c16:uniqueId val="{00000000-E67D-4020-AF39-C514E335EA31}"/>
            </c:ext>
          </c:extLst>
        </c:ser>
        <c:dLbls>
          <c:showLegendKey val="0"/>
          <c:showVal val="0"/>
          <c:showCatName val="0"/>
          <c:showSerName val="0"/>
          <c:showPercent val="0"/>
          <c:showBubbleSize val="0"/>
        </c:dLbls>
        <c:gapWidth val="269"/>
        <c:overlap val="-78"/>
        <c:axId val="188493104"/>
        <c:axId val="188493664"/>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'CONSOLIDADO-ACUEDUCTOSRURALES2'!$C$143:$C$148</c:f>
              <c:numCache>
                <c:formatCode>0.0</c:formatCode>
                <c:ptCount val="6"/>
                <c:pt idx="0">
                  <c:v>12.676056338028168</c:v>
                </c:pt>
                <c:pt idx="1">
                  <c:v>11.267605633802818</c:v>
                </c:pt>
                <c:pt idx="2">
                  <c:v>21.12676056338028</c:v>
                </c:pt>
                <c:pt idx="3">
                  <c:v>9.8591549295774641</c:v>
                </c:pt>
                <c:pt idx="4">
                  <c:v>15.492957746478872</c:v>
                </c:pt>
                <c:pt idx="5">
                  <c:v>29.577464788732392</c:v>
                </c:pt>
              </c:numCache>
            </c:numRef>
          </c:val>
          <c:extLst>
            <c:ext xmlns:c16="http://schemas.microsoft.com/office/drawing/2014/chart" uri="{C3380CC4-5D6E-409C-BE32-E72D297353CC}">
              <c16:uniqueId val="{00000001-E67D-4020-AF39-C514E335EA31}"/>
            </c:ext>
          </c:extLst>
        </c:ser>
        <c:dLbls>
          <c:showLegendKey val="0"/>
          <c:showVal val="0"/>
          <c:showCatName val="0"/>
          <c:showSerName val="0"/>
          <c:showPercent val="0"/>
          <c:showBubbleSize val="0"/>
        </c:dLbls>
        <c:gapWidth val="322"/>
        <c:axId val="188494224"/>
        <c:axId val="188494784"/>
      </c:barChart>
      <c:catAx>
        <c:axId val="18849310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8493664"/>
        <c:crossesAt val="0"/>
        <c:auto val="1"/>
        <c:lblAlgn val="ctr"/>
        <c:lblOffset val="100"/>
        <c:noMultiLvlLbl val="0"/>
      </c:catAx>
      <c:valAx>
        <c:axId val="188493664"/>
        <c:scaling>
          <c:orientation val="minMax"/>
          <c:max val="25"/>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4701730244"/>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93104"/>
        <c:crosses val="autoZero"/>
        <c:crossBetween val="between"/>
        <c:majorUnit val="5"/>
      </c:valAx>
      <c:catAx>
        <c:axId val="188494224"/>
        <c:scaling>
          <c:orientation val="minMax"/>
        </c:scaling>
        <c:delete val="1"/>
        <c:axPos val="b"/>
        <c:numFmt formatCode="General" sourceLinked="1"/>
        <c:majorTickMark val="out"/>
        <c:minorTickMark val="none"/>
        <c:tickLblPos val="nextTo"/>
        <c:crossAx val="188494784"/>
        <c:crosses val="autoZero"/>
        <c:auto val="1"/>
        <c:lblAlgn val="ctr"/>
        <c:lblOffset val="100"/>
        <c:noMultiLvlLbl val="0"/>
      </c:catAx>
      <c:valAx>
        <c:axId val="188494784"/>
        <c:scaling>
          <c:orientation val="minMax"/>
          <c:max val="5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849422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431083251"/>
          <c:w val="0.4600726114819404"/>
          <c:h val="6.01057003796855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16</a:t>
            </a:r>
            <a:r>
              <a:rPr lang="es-CO" sz="1200" b="0" i="0" u="none" strike="noStrike" baseline="0">
                <a:solidFill>
                  <a:srgbClr val="000000"/>
                </a:solidFill>
                <a:latin typeface="Arial"/>
                <a:cs typeface="Arial"/>
              </a:rPr>
              <a:t>. Numero y porcentaje de acueductos rurales por  nivel de riesgo sanitario psubregión  Magdalena Medio- Antioquia - Colombia  2019</a:t>
            </a:r>
          </a:p>
        </c:rich>
      </c:tx>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'CONSOLIDADO-ACUEDUCTOSRURALES2'!$B$142</c:f>
              <c:strCache>
                <c:ptCount val="1"/>
                <c:pt idx="0">
                  <c:v>Número de Sistemas</c:v>
                </c:pt>
              </c:strCache>
            </c:strRef>
          </c:tx>
          <c:spPr>
            <a:solidFill>
              <a:schemeClr val="bg1">
                <a:lumMod val="85000"/>
              </a:schemeClr>
            </a:solidFill>
          </c:spPr>
          <c:invertIfNegative val="0"/>
          <c:dLbls>
            <c:dLbl>
              <c:idx val="0"/>
              <c:layout>
                <c:manualLayout>
                  <c:x val="9.8263314290288048E-2"/>
                  <c:y val="5.14718897132087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45-4A0D-B8E5-745CF12703C9}"/>
                </c:ext>
              </c:extLst>
            </c:dLbl>
            <c:dLbl>
              <c:idx val="1"/>
              <c:layout>
                <c:manualLayout>
                  <c:x val="3.8966272799127552E-2"/>
                  <c:y val="-2.56580644182482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45-4A0D-B8E5-745CF12703C9}"/>
                </c:ext>
              </c:extLst>
            </c:dLbl>
            <c:dLbl>
              <c:idx val="2"/>
              <c:layout>
                <c:manualLayout>
                  <c:x val="3.3883680677145284E-2"/>
                  <c:y val="5.1797571546330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45-4A0D-B8E5-745CF12703C9}"/>
                </c:ext>
              </c:extLst>
            </c:dLbl>
            <c:dLbl>
              <c:idx val="3"/>
              <c:layout>
                <c:manualLayout>
                  <c:x val="0.31850910631088519"/>
                  <c:y val="5.123116835829141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45-4A0D-B8E5-745CF12703C9}"/>
                </c:ext>
              </c:extLst>
            </c:dLbl>
            <c:dLbl>
              <c:idx val="4"/>
              <c:layout>
                <c:manualLayout>
                  <c:x val="0.17969057552685203"/>
                  <c:y val="2.5696498920293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45-4A0D-B8E5-745CF12703C9}"/>
                </c:ext>
              </c:extLst>
            </c:dLbl>
            <c:dLbl>
              <c:idx val="5"/>
              <c:layout>
                <c:manualLayout>
                  <c:x val="0.27926015601289977"/>
                  <c:y val="5.11826195136012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45-4A0D-B8E5-745CF12703C9}"/>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('CONSOLIDADO-ACUEDUCTOSRURALES2'!$D$142,'CONSOLIDADO-ACUEDUCTOSRURALES2'!$F$142,'CONSOLIDADO-ACUEDUCTOSRURALES2'!$H$142,'CONSOLIDADO-ACUEDUCTOSRURALES2'!$J$142,'CONSOLIDADO-ACUEDUCTOSRURALES2'!$L$142,'CONSOLIDADO-ACUEDUCTOSRURALES2'!$N$142)</c:f>
              <c:strCache>
                <c:ptCount val="6"/>
                <c:pt idx="0">
                  <c:v>Sin Riesgo</c:v>
                </c:pt>
                <c:pt idx="1">
                  <c:v>Bajo</c:v>
                </c:pt>
                <c:pt idx="2">
                  <c:v>Medio</c:v>
                </c:pt>
                <c:pt idx="3">
                  <c:v>Alto</c:v>
                </c:pt>
                <c:pt idx="4">
                  <c:v>Inviable Sanitariamente</c:v>
                </c:pt>
                <c:pt idx="5">
                  <c:v>Sin Dato</c:v>
                </c:pt>
              </c:strCache>
            </c:strRef>
          </c:cat>
          <c:val>
            <c:numRef>
              <c:f>('CONSOLIDADO-ACUEDUCTOSRURALES2'!$D$149,'CONSOLIDADO-ACUEDUCTOSRURALES2'!$F$149,'CONSOLIDADO-ACUEDUCTOSRURALES2'!$H$149,'CONSOLIDADO-ACUEDUCTOSRURALES2'!$J$149,'CONSOLIDADO-ACUEDUCTOSRURALES2'!$L$149,'CONSOLIDADO-ACUEDUCTOSRURALES2'!$N$149)</c:f>
              <c:numCache>
                <c:formatCode>General</c:formatCode>
                <c:ptCount val="6"/>
                <c:pt idx="0">
                  <c:v>8</c:v>
                </c:pt>
                <c:pt idx="1">
                  <c:v>1</c:v>
                </c:pt>
                <c:pt idx="2">
                  <c:v>1</c:v>
                </c:pt>
                <c:pt idx="3">
                  <c:v>26</c:v>
                </c:pt>
                <c:pt idx="4">
                  <c:v>13</c:v>
                </c:pt>
                <c:pt idx="5">
                  <c:v>22</c:v>
                </c:pt>
              </c:numCache>
            </c:numRef>
          </c:val>
          <c:extLst>
            <c:ext xmlns:c16="http://schemas.microsoft.com/office/drawing/2014/chart" uri="{C3380CC4-5D6E-409C-BE32-E72D297353CC}">
              <c16:uniqueId val="{00000006-E545-4A0D-B8E5-745CF12703C9}"/>
            </c:ext>
          </c:extLst>
        </c:ser>
        <c:dLbls>
          <c:showLegendKey val="0"/>
          <c:showVal val="0"/>
          <c:showCatName val="0"/>
          <c:showSerName val="0"/>
          <c:showPercent val="0"/>
          <c:showBubbleSize val="0"/>
        </c:dLbls>
        <c:gapWidth val="136"/>
        <c:overlap val="-5"/>
        <c:axId val="188498144"/>
        <c:axId val="189043920"/>
      </c:barChart>
      <c:barChart>
        <c:barDir val="bar"/>
        <c:grouping val="stacked"/>
        <c:varyColors val="0"/>
        <c:ser>
          <c:idx val="0"/>
          <c:order val="0"/>
          <c:tx>
            <c:strRef>
              <c:f>'CONSOLIDADO-ACUEDUCTOSRURALES2'!$C$142</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545-4A0D-B8E5-745CF12703C9}"/>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545-4A0D-B8E5-745CF12703C9}"/>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545-4A0D-B8E5-745CF12703C9}"/>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545-4A0D-B8E5-745CF12703C9}"/>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545-4A0D-B8E5-745CF12703C9}"/>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545-4A0D-B8E5-745CF12703C9}"/>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45-4A0D-B8E5-745CF12703C9}"/>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45-4A0D-B8E5-745CF12703C9}"/>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45-4A0D-B8E5-745CF12703C9}"/>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45-4A0D-B8E5-745CF12703C9}"/>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45-4A0D-B8E5-745CF12703C9}"/>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('CONSOLIDADO-ACUEDUCTOSRURALES2'!$E$149,'CONSOLIDADO-ACUEDUCTOSRURALES2'!$G$149,'CONSOLIDADO-ACUEDUCTOSRURALES2'!$I$149,'CONSOLIDADO-ACUEDUCTOSRURALES2'!$K$149,'CONSOLIDADO-ACUEDUCTOSRURALES2'!$M$149,'CONSOLIDADO-ACUEDUCTOSRURALES2'!$O$149)</c:f>
              <c:numCache>
                <c:formatCode>0.0</c:formatCode>
                <c:ptCount val="6"/>
                <c:pt idx="0">
                  <c:v>11.267605633802818</c:v>
                </c:pt>
                <c:pt idx="1">
                  <c:v>1.4084507042253522</c:v>
                </c:pt>
                <c:pt idx="2">
                  <c:v>1.4084507042253522</c:v>
                </c:pt>
                <c:pt idx="3">
                  <c:v>36.619718309859159</c:v>
                </c:pt>
                <c:pt idx="4">
                  <c:v>18.30985915492958</c:v>
                </c:pt>
                <c:pt idx="5">
                  <c:v>30.985915492957744</c:v>
                </c:pt>
              </c:numCache>
            </c:numRef>
          </c:val>
          <c:extLst>
            <c:ext xmlns:c16="http://schemas.microsoft.com/office/drawing/2014/chart" uri="{C3380CC4-5D6E-409C-BE32-E72D297353CC}">
              <c16:uniqueId val="{00000013-E545-4A0D-B8E5-745CF12703C9}"/>
            </c:ext>
          </c:extLst>
        </c:ser>
        <c:dLbls>
          <c:showLegendKey val="0"/>
          <c:showVal val="0"/>
          <c:showCatName val="0"/>
          <c:showSerName val="0"/>
          <c:showPercent val="0"/>
          <c:showBubbleSize val="0"/>
        </c:dLbls>
        <c:gapWidth val="135"/>
        <c:overlap val="-5"/>
        <c:axId val="189044480"/>
        <c:axId val="189045040"/>
      </c:barChart>
      <c:catAx>
        <c:axId val="188498144"/>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043920"/>
        <c:crosses val="autoZero"/>
        <c:auto val="1"/>
        <c:lblAlgn val="ctr"/>
        <c:lblOffset val="100"/>
        <c:noMultiLvlLbl val="0"/>
      </c:catAx>
      <c:valAx>
        <c:axId val="189043920"/>
        <c:scaling>
          <c:orientation val="minMax"/>
          <c:max val="3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1493607167"/>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8498144"/>
        <c:crosses val="autoZero"/>
        <c:crossBetween val="between"/>
      </c:valAx>
      <c:catAx>
        <c:axId val="189044480"/>
        <c:scaling>
          <c:orientation val="minMax"/>
        </c:scaling>
        <c:delete val="1"/>
        <c:axPos val="l"/>
        <c:numFmt formatCode="General" sourceLinked="1"/>
        <c:majorTickMark val="out"/>
        <c:minorTickMark val="none"/>
        <c:tickLblPos val="nextTo"/>
        <c:crossAx val="189045040"/>
        <c:crosses val="autoZero"/>
        <c:auto val="1"/>
        <c:lblAlgn val="ctr"/>
        <c:lblOffset val="100"/>
        <c:noMultiLvlLbl val="0"/>
      </c:catAx>
      <c:valAx>
        <c:axId val="189045040"/>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4095357964"/>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04448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17</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Nordeste Antioquia- Colombia 2019</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'CONSOLIDADO-ACUEDUCTOSRURALES2'!$B$154</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'CONSOLIDADO-ACUEDUCTOSRURALES2'!$A$155:$A$164</c:f>
              <c:strCache>
                <c:ptCount val="10"/>
                <c:pt idx="0">
                  <c:v>Amalfi</c:v>
                </c:pt>
                <c:pt idx="1">
                  <c:v>Anori</c:v>
                </c:pt>
                <c:pt idx="2">
                  <c:v>Cisneros</c:v>
                </c:pt>
                <c:pt idx="3">
                  <c:v>Remedios</c:v>
                </c:pt>
                <c:pt idx="4">
                  <c:v>San Roque</c:v>
                </c:pt>
                <c:pt idx="5">
                  <c:v>Santo Domingo</c:v>
                </c:pt>
                <c:pt idx="6">
                  <c:v>Segovia</c:v>
                </c:pt>
                <c:pt idx="7">
                  <c:v>Vegachi</c:v>
                </c:pt>
                <c:pt idx="8">
                  <c:v>Yali</c:v>
                </c:pt>
                <c:pt idx="9">
                  <c:v>Yolombo</c:v>
                </c:pt>
              </c:strCache>
            </c:strRef>
          </c:cat>
          <c:val>
            <c:numRef>
              <c:f>'CONSOLIDADO-ACUEDUCTOSRURALES2'!$B$155:$B$164</c:f>
              <c:numCache>
                <c:formatCode>General</c:formatCode>
                <c:ptCount val="10"/>
                <c:pt idx="0">
                  <c:v>6</c:v>
                </c:pt>
                <c:pt idx="1">
                  <c:v>4</c:v>
                </c:pt>
                <c:pt idx="2">
                  <c:v>3</c:v>
                </c:pt>
                <c:pt idx="3">
                  <c:v>7</c:v>
                </c:pt>
                <c:pt idx="4">
                  <c:v>34</c:v>
                </c:pt>
                <c:pt idx="5">
                  <c:v>17</c:v>
                </c:pt>
                <c:pt idx="6">
                  <c:v>12</c:v>
                </c:pt>
                <c:pt idx="7">
                  <c:v>4</c:v>
                </c:pt>
                <c:pt idx="8">
                  <c:v>10</c:v>
                </c:pt>
                <c:pt idx="9">
                  <c:v>15</c:v>
                </c:pt>
              </c:numCache>
            </c:numRef>
          </c:val>
          <c:extLst>
            <c:ext xmlns:c16="http://schemas.microsoft.com/office/drawing/2014/chart" uri="{C3380CC4-5D6E-409C-BE32-E72D297353CC}">
              <c16:uniqueId val="{00000000-9841-4775-BC0C-06FDC07F00AB}"/>
            </c:ext>
          </c:extLst>
        </c:ser>
        <c:dLbls>
          <c:showLegendKey val="0"/>
          <c:showVal val="0"/>
          <c:showCatName val="0"/>
          <c:showSerName val="0"/>
          <c:showPercent val="0"/>
          <c:showBubbleSize val="0"/>
        </c:dLbls>
        <c:gapWidth val="191"/>
        <c:overlap val="-65"/>
        <c:axId val="189048400"/>
        <c:axId val="189048960"/>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'CONSOLIDADO-ACUEDUCTOSRURALES2'!$C$155:$C$164</c:f>
              <c:numCache>
                <c:formatCode>0.0</c:formatCode>
                <c:ptCount val="10"/>
                <c:pt idx="0">
                  <c:v>5.3571428571428568</c:v>
                </c:pt>
                <c:pt idx="1">
                  <c:v>3.5714285714285712</c:v>
                </c:pt>
                <c:pt idx="2">
                  <c:v>2.6785714285714284</c:v>
                </c:pt>
                <c:pt idx="3">
                  <c:v>6.25</c:v>
                </c:pt>
                <c:pt idx="4">
                  <c:v>30.357142857142854</c:v>
                </c:pt>
                <c:pt idx="5">
                  <c:v>15.178571428571427</c:v>
                </c:pt>
                <c:pt idx="6">
                  <c:v>10.714285714285714</c:v>
                </c:pt>
                <c:pt idx="7">
                  <c:v>3.5714285714285712</c:v>
                </c:pt>
                <c:pt idx="8">
                  <c:v>8.9285714285714288</c:v>
                </c:pt>
                <c:pt idx="9">
                  <c:v>13.392857142857142</c:v>
                </c:pt>
              </c:numCache>
            </c:numRef>
          </c:val>
          <c:extLst>
            <c:ext xmlns:c16="http://schemas.microsoft.com/office/drawing/2014/chart" uri="{C3380CC4-5D6E-409C-BE32-E72D297353CC}">
              <c16:uniqueId val="{00000001-9841-4775-BC0C-06FDC07F00AB}"/>
            </c:ext>
          </c:extLst>
        </c:ser>
        <c:dLbls>
          <c:showLegendKey val="0"/>
          <c:showVal val="0"/>
          <c:showCatName val="0"/>
          <c:showSerName val="0"/>
          <c:showPercent val="0"/>
          <c:showBubbleSize val="0"/>
        </c:dLbls>
        <c:gapWidth val="198"/>
        <c:axId val="189049520"/>
        <c:axId val="189050080"/>
      </c:barChart>
      <c:catAx>
        <c:axId val="189048400"/>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9048960"/>
        <c:crossesAt val="0"/>
        <c:auto val="1"/>
        <c:lblAlgn val="ctr"/>
        <c:lblOffset val="100"/>
        <c:noMultiLvlLbl val="0"/>
      </c:catAx>
      <c:valAx>
        <c:axId val="189048960"/>
        <c:scaling>
          <c:orientation val="minMax"/>
          <c:max val="4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6163502819"/>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048400"/>
        <c:crosses val="autoZero"/>
        <c:crossBetween val="between"/>
        <c:majorUnit val="5"/>
      </c:valAx>
      <c:catAx>
        <c:axId val="189049520"/>
        <c:scaling>
          <c:orientation val="minMax"/>
        </c:scaling>
        <c:delete val="1"/>
        <c:axPos val="b"/>
        <c:numFmt formatCode="General" sourceLinked="1"/>
        <c:majorTickMark val="out"/>
        <c:minorTickMark val="none"/>
        <c:tickLblPos val="nextTo"/>
        <c:crossAx val="189050080"/>
        <c:crosses val="autoZero"/>
        <c:auto val="1"/>
        <c:lblAlgn val="ctr"/>
        <c:lblOffset val="100"/>
        <c:noMultiLvlLbl val="0"/>
      </c:catAx>
      <c:valAx>
        <c:axId val="189050080"/>
        <c:scaling>
          <c:orientation val="minMax"/>
          <c:max val="5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049520"/>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9</a:t>
            </a:r>
            <a:endParaRPr lang="en-US" sz="1200" b="0" i="0" u="none" strike="noStrike" baseline="0">
              <a:solidFill>
                <a:srgbClr val="000000"/>
              </a:solidFill>
              <a:latin typeface="Arial"/>
              <a:cs typeface="Arial"/>
            </a:endParaRPr>
          </a:p>
        </c:rich>
      </c:tx>
      <c:overlay val="1"/>
      <c:spPr>
        <a:scene3d>
          <a:camera prst="orthographicFront"/>
          <a:lightRig rig="threePt" dir="t"/>
        </a:scene3d>
        <a:sp3d>
          <a:bevelB/>
        </a:sp3d>
      </c:spPr>
    </c:title>
    <c:autoTitleDeleted val="0"/>
    <c:plotArea>
      <c:layout>
        <c:manualLayout>
          <c:layoutTarget val="inner"/>
          <c:xMode val="edge"/>
          <c:yMode val="edge"/>
          <c:x val="0.19997798877427489"/>
          <c:y val="0.20548497354229434"/>
          <c:w val="0.69094811687293856"/>
          <c:h val="0.66975581216643609"/>
        </c:manualLayout>
      </c:layout>
      <c:barChart>
        <c:barDir val="bar"/>
        <c:grouping val="stacked"/>
        <c:varyColors val="0"/>
        <c:ser>
          <c:idx val="1"/>
          <c:order val="1"/>
          <c:tx>
            <c:strRef>
              <c:f>'CONSOLIDADO-ACUEDUCTOSRURALES2'!$B$154</c:f>
              <c:strCache>
                <c:ptCount val="1"/>
                <c:pt idx="0">
                  <c:v>Número de Sistemas</c:v>
                </c:pt>
              </c:strCache>
            </c:strRef>
          </c:tx>
          <c:spPr>
            <a:solidFill>
              <a:schemeClr val="bg1">
                <a:lumMod val="85000"/>
              </a:schemeClr>
            </a:solidFill>
          </c:spPr>
          <c:invertIfNegative val="0"/>
          <c:dLbls>
            <c:dLbl>
              <c:idx val="0"/>
              <c:layout>
                <c:manualLayout>
                  <c:x val="5.082578781845408E-2"/>
                  <c:y val="2.58146188318090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33-4E6F-9C7C-F1BDF42749B0}"/>
                </c:ext>
              </c:extLst>
            </c:dLbl>
            <c:dLbl>
              <c:idx val="1"/>
              <c:layout>
                <c:manualLayout>
                  <c:x val="3.7272075425133513E-2"/>
                  <c:y val="3.23866971641398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3-4E6F-9C7C-F1BDF42749B0}"/>
                </c:ext>
              </c:extLst>
            </c:dLbl>
            <c:dLbl>
              <c:idx val="2"/>
              <c:layout>
                <c:manualLayout>
                  <c:x val="3.3883814078513375E-2"/>
                  <c:y val="7.75552573613185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33-4E6F-9C7C-F1BDF42749B0}"/>
                </c:ext>
              </c:extLst>
            </c:dLbl>
            <c:dLbl>
              <c:idx val="3"/>
              <c:layout>
                <c:manualLayout>
                  <c:x val="9.9957378262914093E-2"/>
                  <c:y val="2.55573841051219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33-4E6F-9C7C-F1BDF42749B0}"/>
                </c:ext>
              </c:extLst>
            </c:dLbl>
            <c:dLbl>
              <c:idx val="4"/>
              <c:layout>
                <c:manualLayout>
                  <c:x val="0.36774661744156184"/>
                  <c:y val="7.710762842747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33-4E6F-9C7C-F1BDF42749B0}"/>
                </c:ext>
              </c:extLst>
            </c:dLbl>
            <c:dLbl>
              <c:idx val="5"/>
              <c:layout>
                <c:manualLayout>
                  <c:x val="0.12508832838080755"/>
                  <c:y val="2.55249765804997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33-4E6F-9C7C-F1BDF42749B0}"/>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('CONSOLIDADO-ACUEDUCTOSRURALES2'!$D$154,'CONSOLIDADO-ACUEDUCTOSRURALES2'!$F$154,'CONSOLIDADO-ACUEDUCTOSRURALES2'!$H$154,'CONSOLIDADO-ACUEDUCTOSRURALES2'!$J$154,'CONSOLIDADO-ACUEDUCTOSRURALES2'!$L$154,'CONSOLIDADO-ACUEDUCTOSRURALES2'!$N$154)</c:f>
              <c:strCache>
                <c:ptCount val="6"/>
                <c:pt idx="0">
                  <c:v>Sin Riesgo</c:v>
                </c:pt>
                <c:pt idx="1">
                  <c:v>Bajo</c:v>
                </c:pt>
                <c:pt idx="2">
                  <c:v>Medio</c:v>
                </c:pt>
                <c:pt idx="3">
                  <c:v>Alto</c:v>
                </c:pt>
                <c:pt idx="4">
                  <c:v>Inviable Sanitariamente</c:v>
                </c:pt>
                <c:pt idx="5">
                  <c:v>Sin Dato</c:v>
                </c:pt>
              </c:strCache>
            </c:strRef>
          </c:cat>
          <c:val>
            <c:numRef>
              <c:f>('CONSOLIDADO-ACUEDUCTOSRURALES2'!$D$165,'CONSOLIDADO-ACUEDUCTOSRURALES2'!$F$165,'CONSOLIDADO-ACUEDUCTOSRURALES2'!$H$165,'CONSOLIDADO-ACUEDUCTOSRURALES2'!$J$165,'CONSOLIDADO-ACUEDUCTOSRURALES2'!$L$165,'CONSOLIDADO-ACUEDUCTOSRURALES2'!$N$165)</c:f>
              <c:numCache>
                <c:formatCode>General</c:formatCode>
                <c:ptCount val="6"/>
                <c:pt idx="0">
                  <c:v>7</c:v>
                </c:pt>
                <c:pt idx="1">
                  <c:v>4</c:v>
                </c:pt>
                <c:pt idx="2">
                  <c:v>3</c:v>
                </c:pt>
                <c:pt idx="3">
                  <c:v>15</c:v>
                </c:pt>
                <c:pt idx="4">
                  <c:v>73</c:v>
                </c:pt>
                <c:pt idx="5">
                  <c:v>10</c:v>
                </c:pt>
              </c:numCache>
            </c:numRef>
          </c:val>
          <c:extLst>
            <c:ext xmlns:c16="http://schemas.microsoft.com/office/drawing/2014/chart" uri="{C3380CC4-5D6E-409C-BE32-E72D297353CC}">
              <c16:uniqueId val="{00000006-4A33-4E6F-9C7C-F1BDF42749B0}"/>
            </c:ext>
          </c:extLst>
        </c:ser>
        <c:dLbls>
          <c:showLegendKey val="0"/>
          <c:showVal val="0"/>
          <c:showCatName val="0"/>
          <c:showSerName val="0"/>
          <c:showPercent val="0"/>
          <c:showBubbleSize val="0"/>
        </c:dLbls>
        <c:gapWidth val="136"/>
        <c:overlap val="-5"/>
        <c:axId val="189335104"/>
        <c:axId val="189335664"/>
      </c:barChart>
      <c:barChart>
        <c:barDir val="bar"/>
        <c:grouping val="stacked"/>
        <c:varyColors val="0"/>
        <c:ser>
          <c:idx val="0"/>
          <c:order val="0"/>
          <c:tx>
            <c:strRef>
              <c:f>'CONSOLIDADO-ACUEDUCTOSRURALES2'!$C$154</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4A33-4E6F-9C7C-F1BDF42749B0}"/>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4A33-4E6F-9C7C-F1BDF42749B0}"/>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4A33-4E6F-9C7C-F1BDF42749B0}"/>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4A33-4E6F-9C7C-F1BDF42749B0}"/>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4A33-4E6F-9C7C-F1BDF42749B0}"/>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4A33-4E6F-9C7C-F1BDF42749B0}"/>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33-4E6F-9C7C-F1BDF42749B0}"/>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33-4E6F-9C7C-F1BDF42749B0}"/>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33-4E6F-9C7C-F1BDF42749B0}"/>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33-4E6F-9C7C-F1BDF42749B0}"/>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33-4E6F-9C7C-F1BDF42749B0}"/>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('CONSOLIDADO-ACUEDUCTOSRURALES2'!$E$165,'CONSOLIDADO-ACUEDUCTOSRURALES2'!$G$165,'CONSOLIDADO-ACUEDUCTOSRURALES2'!$I$165,'CONSOLIDADO-ACUEDUCTOSRURALES2'!$K$165,'CONSOLIDADO-ACUEDUCTOSRURALES2'!$M$165,'CONSOLIDADO-ACUEDUCTOSRURALES2'!$O$165)</c:f>
              <c:numCache>
                <c:formatCode>0.0</c:formatCode>
                <c:ptCount val="6"/>
                <c:pt idx="0">
                  <c:v>6.25</c:v>
                </c:pt>
                <c:pt idx="1">
                  <c:v>3.5714285714285712</c:v>
                </c:pt>
                <c:pt idx="2">
                  <c:v>2.6785714285714284</c:v>
                </c:pt>
                <c:pt idx="3">
                  <c:v>13.392857142857142</c:v>
                </c:pt>
                <c:pt idx="4">
                  <c:v>65.178571428571431</c:v>
                </c:pt>
                <c:pt idx="5">
                  <c:v>8.9285714285714288</c:v>
                </c:pt>
              </c:numCache>
            </c:numRef>
          </c:val>
          <c:extLst>
            <c:ext xmlns:c16="http://schemas.microsoft.com/office/drawing/2014/chart" uri="{C3380CC4-5D6E-409C-BE32-E72D297353CC}">
              <c16:uniqueId val="{00000013-4A33-4E6F-9C7C-F1BDF42749B0}"/>
            </c:ext>
          </c:extLst>
        </c:ser>
        <c:dLbls>
          <c:showLegendKey val="0"/>
          <c:showVal val="0"/>
          <c:showCatName val="0"/>
          <c:showSerName val="0"/>
          <c:showPercent val="0"/>
          <c:showBubbleSize val="0"/>
        </c:dLbls>
        <c:gapWidth val="135"/>
        <c:overlap val="-5"/>
        <c:axId val="189336224"/>
        <c:axId val="189336784"/>
      </c:barChart>
      <c:catAx>
        <c:axId val="189335104"/>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335664"/>
        <c:crosses val="autoZero"/>
        <c:auto val="1"/>
        <c:lblAlgn val="ctr"/>
        <c:lblOffset val="100"/>
        <c:noMultiLvlLbl val="0"/>
      </c:catAx>
      <c:valAx>
        <c:axId val="189335664"/>
        <c:scaling>
          <c:orientation val="minMax"/>
          <c:max val="8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0931758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335104"/>
        <c:crosses val="autoZero"/>
        <c:crossBetween val="between"/>
      </c:valAx>
      <c:catAx>
        <c:axId val="189336224"/>
        <c:scaling>
          <c:orientation val="minMax"/>
        </c:scaling>
        <c:delete val="1"/>
        <c:axPos val="l"/>
        <c:numFmt formatCode="General" sourceLinked="1"/>
        <c:majorTickMark val="out"/>
        <c:minorTickMark val="none"/>
        <c:tickLblPos val="nextTo"/>
        <c:crossAx val="189336784"/>
        <c:crosses val="autoZero"/>
        <c:auto val="1"/>
        <c:lblAlgn val="ctr"/>
        <c:lblOffset val="100"/>
        <c:noMultiLvlLbl val="0"/>
      </c:catAx>
      <c:valAx>
        <c:axId val="189336784"/>
        <c:scaling>
          <c:orientation val="minMax"/>
          <c:max val="8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46620734908"/>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336224"/>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19</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Oriente   Antioquia- Colombia 2019</a:t>
            </a:r>
          </a:p>
        </c:rich>
      </c:tx>
      <c:layout>
        <c:manualLayout>
          <c:xMode val="edge"/>
          <c:yMode val="edge"/>
          <c:x val="0.17977430486163851"/>
          <c:y val="1.1976090879265091E-2"/>
        </c:manualLayout>
      </c:layout>
      <c:overlay val="0"/>
    </c:title>
    <c:autoTitleDeleted val="0"/>
    <c:plotArea>
      <c:layout>
        <c:manualLayout>
          <c:layoutTarget val="inner"/>
          <c:xMode val="edge"/>
          <c:yMode val="edge"/>
          <c:x val="0.14438480088466099"/>
          <c:y val="0.10723879515060618"/>
          <c:w val="0.73332374062379257"/>
          <c:h val="0.63053478315210598"/>
        </c:manualLayout>
      </c:layout>
      <c:barChart>
        <c:barDir val="col"/>
        <c:grouping val="clustered"/>
        <c:varyColors val="0"/>
        <c:ser>
          <c:idx val="0"/>
          <c:order val="0"/>
          <c:tx>
            <c:strRef>
              <c:f>'CONSOLIDADO-ACUEDUCTOSRURALES2'!$B$170</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ysClr val="windowText" lastClr="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'CONSOLIDADO-ACUEDUCTOSRURALES2'!$A$171:$A$193</c:f>
              <c:strCache>
                <c:ptCount val="23"/>
                <c:pt idx="0">
                  <c:v>Abejorral</c:v>
                </c:pt>
                <c:pt idx="1">
                  <c:v>Alejandría</c:v>
                </c:pt>
                <c:pt idx="2">
                  <c:v>Argelia</c:v>
                </c:pt>
                <c:pt idx="3">
                  <c:v>Cocorná</c:v>
                </c:pt>
                <c:pt idx="4">
                  <c:v>Concepción</c:v>
                </c:pt>
                <c:pt idx="5">
                  <c:v>El Carmen de Viboral</c:v>
                </c:pt>
                <c:pt idx="6">
                  <c:v>El Peñol</c:v>
                </c:pt>
                <c:pt idx="7">
                  <c:v>El Retiro</c:v>
                </c:pt>
                <c:pt idx="8">
                  <c:v>El Santuario</c:v>
                </c:pt>
                <c:pt idx="9">
                  <c:v>Granada</c:v>
                </c:pt>
                <c:pt idx="10">
                  <c:v>Guarne</c:v>
                </c:pt>
                <c:pt idx="11">
                  <c:v>Guatapé</c:v>
                </c:pt>
                <c:pt idx="12">
                  <c:v>La Ceja</c:v>
                </c:pt>
                <c:pt idx="13">
                  <c:v>La Unión</c:v>
                </c:pt>
                <c:pt idx="14">
                  <c:v>Marinilla</c:v>
                </c:pt>
                <c:pt idx="15">
                  <c:v>Nariño</c:v>
                </c:pt>
                <c:pt idx="16">
                  <c:v>Rionegro</c:v>
                </c:pt>
                <c:pt idx="17">
                  <c:v>San Carlos</c:v>
                </c:pt>
                <c:pt idx="18">
                  <c:v>San Francisco</c:v>
                </c:pt>
                <c:pt idx="19">
                  <c:v>San Luis</c:v>
                </c:pt>
                <c:pt idx="20">
                  <c:v>San Rafael</c:v>
                </c:pt>
                <c:pt idx="21">
                  <c:v>San Vicente</c:v>
                </c:pt>
                <c:pt idx="22">
                  <c:v>Sonsón</c:v>
                </c:pt>
              </c:strCache>
            </c:strRef>
          </c:cat>
          <c:val>
            <c:numRef>
              <c:f>'CONSOLIDADO-ACUEDUCTOSRURALES2'!$B$171:$B$193</c:f>
              <c:numCache>
                <c:formatCode>General</c:formatCode>
                <c:ptCount val="23"/>
                <c:pt idx="0">
                  <c:v>50</c:v>
                </c:pt>
                <c:pt idx="1">
                  <c:v>10</c:v>
                </c:pt>
                <c:pt idx="2">
                  <c:v>19</c:v>
                </c:pt>
                <c:pt idx="3">
                  <c:v>23</c:v>
                </c:pt>
                <c:pt idx="4">
                  <c:v>4</c:v>
                </c:pt>
                <c:pt idx="5">
                  <c:v>36</c:v>
                </c:pt>
                <c:pt idx="6">
                  <c:v>28</c:v>
                </c:pt>
                <c:pt idx="7">
                  <c:v>22</c:v>
                </c:pt>
                <c:pt idx="8">
                  <c:v>37</c:v>
                </c:pt>
                <c:pt idx="9">
                  <c:v>23</c:v>
                </c:pt>
                <c:pt idx="10">
                  <c:v>79</c:v>
                </c:pt>
                <c:pt idx="11">
                  <c:v>6</c:v>
                </c:pt>
                <c:pt idx="12">
                  <c:v>18</c:v>
                </c:pt>
                <c:pt idx="13">
                  <c:v>18</c:v>
                </c:pt>
                <c:pt idx="14">
                  <c:v>38</c:v>
                </c:pt>
                <c:pt idx="15">
                  <c:v>11</c:v>
                </c:pt>
                <c:pt idx="16">
                  <c:v>24</c:v>
                </c:pt>
                <c:pt idx="17">
                  <c:v>15</c:v>
                </c:pt>
                <c:pt idx="18">
                  <c:v>7</c:v>
                </c:pt>
                <c:pt idx="19">
                  <c:v>9</c:v>
                </c:pt>
                <c:pt idx="20">
                  <c:v>17</c:v>
                </c:pt>
                <c:pt idx="21">
                  <c:v>46</c:v>
                </c:pt>
                <c:pt idx="22">
                  <c:v>17</c:v>
                </c:pt>
              </c:numCache>
            </c:numRef>
          </c:val>
          <c:extLst>
            <c:ext xmlns:c16="http://schemas.microsoft.com/office/drawing/2014/chart" uri="{C3380CC4-5D6E-409C-BE32-E72D297353CC}">
              <c16:uniqueId val="{00000000-D800-4237-8439-17105CE6C658}"/>
            </c:ext>
          </c:extLst>
        </c:ser>
        <c:dLbls>
          <c:showLegendKey val="0"/>
          <c:showVal val="0"/>
          <c:showCatName val="0"/>
          <c:showSerName val="0"/>
          <c:showPercent val="0"/>
          <c:showBubbleSize val="0"/>
        </c:dLbls>
        <c:gapWidth val="142"/>
        <c:overlap val="-78"/>
        <c:axId val="189529600"/>
        <c:axId val="189530160"/>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ysClr val="windowText" lastClr="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'CONSOLIDADO-ACUEDUCTOSRURALES2'!$C$171:$C$193</c:f>
              <c:numCache>
                <c:formatCode>0.0</c:formatCode>
                <c:ptCount val="23"/>
                <c:pt idx="0">
                  <c:v>8.9766606822262123</c:v>
                </c:pt>
                <c:pt idx="1">
                  <c:v>1.7953321364452424</c:v>
                </c:pt>
                <c:pt idx="2">
                  <c:v>3.4111310592459607</c:v>
                </c:pt>
                <c:pt idx="3">
                  <c:v>4.1292639138240581</c:v>
                </c:pt>
                <c:pt idx="4">
                  <c:v>0.71813285457809695</c:v>
                </c:pt>
                <c:pt idx="5">
                  <c:v>6.4631956912028716</c:v>
                </c:pt>
                <c:pt idx="6">
                  <c:v>5.0269299820466786</c:v>
                </c:pt>
                <c:pt idx="7">
                  <c:v>3.9497307001795332</c:v>
                </c:pt>
                <c:pt idx="8">
                  <c:v>6.6427289048473961</c:v>
                </c:pt>
                <c:pt idx="9">
                  <c:v>4.1292639138240581</c:v>
                </c:pt>
                <c:pt idx="10">
                  <c:v>14.183123877917414</c:v>
                </c:pt>
                <c:pt idx="11">
                  <c:v>1.0771992818671454</c:v>
                </c:pt>
                <c:pt idx="12">
                  <c:v>3.2315978456014358</c:v>
                </c:pt>
                <c:pt idx="13">
                  <c:v>3.2315978456014358</c:v>
                </c:pt>
                <c:pt idx="14">
                  <c:v>6.8222621184919214</c:v>
                </c:pt>
                <c:pt idx="15">
                  <c:v>1.9748653500897666</c:v>
                </c:pt>
                <c:pt idx="16">
                  <c:v>4.3087971274685817</c:v>
                </c:pt>
                <c:pt idx="17">
                  <c:v>2.6929982046678633</c:v>
                </c:pt>
                <c:pt idx="18">
                  <c:v>1.2567324955116697</c:v>
                </c:pt>
                <c:pt idx="19">
                  <c:v>1.6157989228007179</c:v>
                </c:pt>
                <c:pt idx="20">
                  <c:v>3.0520646319569118</c:v>
                </c:pt>
                <c:pt idx="21">
                  <c:v>8.2585278276481162</c:v>
                </c:pt>
                <c:pt idx="22">
                  <c:v>3.0520646319569118</c:v>
                </c:pt>
              </c:numCache>
            </c:numRef>
          </c:val>
          <c:extLst>
            <c:ext xmlns:c16="http://schemas.microsoft.com/office/drawing/2014/chart" uri="{C3380CC4-5D6E-409C-BE32-E72D297353CC}">
              <c16:uniqueId val="{00000001-D800-4237-8439-17105CE6C658}"/>
            </c:ext>
          </c:extLst>
        </c:ser>
        <c:dLbls>
          <c:showLegendKey val="0"/>
          <c:showVal val="0"/>
          <c:showCatName val="0"/>
          <c:showSerName val="0"/>
          <c:showPercent val="0"/>
          <c:showBubbleSize val="0"/>
        </c:dLbls>
        <c:gapWidth val="239"/>
        <c:axId val="189530720"/>
        <c:axId val="189531280"/>
      </c:barChart>
      <c:catAx>
        <c:axId val="189529600"/>
        <c:scaling>
          <c:orientation val="minMax"/>
        </c:scaling>
        <c:delete val="0"/>
        <c:axPos val="b"/>
        <c:numFmt formatCode="General" sourceLinked="1"/>
        <c:majorTickMark val="none"/>
        <c:minorTickMark val="none"/>
        <c:tickLblPos val="nextTo"/>
        <c:txPr>
          <a:bodyPr rot="-3360000" vert="horz"/>
          <a:lstStyle/>
          <a:p>
            <a:pPr>
              <a:defRPr sz="1200" b="0" i="0" u="none" strike="noStrike" baseline="0">
                <a:solidFill>
                  <a:srgbClr val="000000"/>
                </a:solidFill>
                <a:latin typeface="Calibri"/>
                <a:ea typeface="Calibri"/>
                <a:cs typeface="Calibri"/>
              </a:defRPr>
            </a:pPr>
            <a:endParaRPr lang="es-ES"/>
          </a:p>
        </c:txPr>
        <c:crossAx val="189530160"/>
        <c:crossesAt val="0"/>
        <c:auto val="1"/>
        <c:lblAlgn val="ctr"/>
        <c:lblOffset val="100"/>
        <c:noMultiLvlLbl val="0"/>
      </c:catAx>
      <c:valAx>
        <c:axId val="189530160"/>
        <c:scaling>
          <c:orientation val="minMax"/>
          <c:max val="85"/>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manualLayout>
              <c:xMode val="edge"/>
              <c:yMode val="edge"/>
              <c:x val="1.8067735187923845E-2"/>
              <c:y val="0.2248743028215223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529600"/>
        <c:crosses val="autoZero"/>
        <c:crossBetween val="between"/>
        <c:majorUnit val="20"/>
      </c:valAx>
      <c:catAx>
        <c:axId val="189530720"/>
        <c:scaling>
          <c:orientation val="minMax"/>
        </c:scaling>
        <c:delete val="1"/>
        <c:axPos val="b"/>
        <c:numFmt formatCode="General" sourceLinked="1"/>
        <c:majorTickMark val="out"/>
        <c:minorTickMark val="none"/>
        <c:tickLblPos val="nextTo"/>
        <c:crossAx val="189531280"/>
        <c:crosses val="autoZero"/>
        <c:auto val="1"/>
        <c:lblAlgn val="ctr"/>
        <c:lblOffset val="100"/>
        <c:noMultiLvlLbl val="0"/>
      </c:catAx>
      <c:valAx>
        <c:axId val="189531280"/>
        <c:scaling>
          <c:orientation val="minMax"/>
          <c:max val="2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9530720"/>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5459317579"/>
          <c:w val="0.4600726114819404"/>
          <c:h val="6.0105807086614171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1</a:t>
            </a:r>
            <a:r>
              <a:rPr lang="es-CO" sz="1200" b="0" i="0" u="none" strike="noStrike" baseline="0">
                <a:solidFill>
                  <a:srgbClr val="000000"/>
                </a:solidFill>
                <a:latin typeface="Arial"/>
                <a:cs typeface="Arial"/>
              </a:rPr>
              <a:t>. Número y porcentaje de acueductos rurales por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Antioquia - Colombia 2019</a:t>
            </a:r>
          </a:p>
        </c:rich>
      </c:tx>
      <c:layout>
        <c:manualLayout>
          <c:xMode val="edge"/>
          <c:yMode val="edge"/>
          <c:x val="0.17977430486163851"/>
          <c:y val="1.1976002999625047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'CONSOLIDADO-ACUEDUCTOSRURALES2'!$B$7</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Valle de Aburra</c:v>
              </c:pt>
              <c:pt idx="1">
                <c:v>Uraba</c:v>
              </c:pt>
              <c:pt idx="2">
                <c:v>Norte</c:v>
              </c:pt>
              <c:pt idx="3">
                <c:v>Occidente</c:v>
              </c:pt>
              <c:pt idx="4">
                <c:v>Suroeste</c:v>
              </c:pt>
              <c:pt idx="5">
                <c:v>Bajo Cauca</c:v>
              </c:pt>
              <c:pt idx="6">
                <c:v>Magdalena Medio</c:v>
              </c:pt>
              <c:pt idx="7">
                <c:v>Nordeste </c:v>
              </c:pt>
              <c:pt idx="8">
                <c:v>Oriente</c:v>
              </c:pt>
            </c:strLit>
          </c:cat>
          <c:val>
            <c:numRef>
              <c:f>'CONSOLIDADO-ACUEDUCTOSRURALES2'!$B$8:$B$16</c:f>
              <c:numCache>
                <c:formatCode>General</c:formatCode>
                <c:ptCount val="9"/>
                <c:pt idx="0">
                  <c:v>201</c:v>
                </c:pt>
                <c:pt idx="1">
                  <c:v>125</c:v>
                </c:pt>
                <c:pt idx="2">
                  <c:v>259</c:v>
                </c:pt>
                <c:pt idx="3">
                  <c:v>518</c:v>
                </c:pt>
                <c:pt idx="4">
                  <c:v>511</c:v>
                </c:pt>
                <c:pt idx="5">
                  <c:v>61</c:v>
                </c:pt>
                <c:pt idx="6">
                  <c:v>71</c:v>
                </c:pt>
                <c:pt idx="7">
                  <c:v>112</c:v>
                </c:pt>
                <c:pt idx="8">
                  <c:v>557</c:v>
                </c:pt>
              </c:numCache>
            </c:numRef>
          </c:val>
          <c:extLst>
            <c:ext xmlns:c16="http://schemas.microsoft.com/office/drawing/2014/chart" uri="{C3380CC4-5D6E-409C-BE32-E72D297353CC}">
              <c16:uniqueId val="{00000000-E13B-46F8-A1C8-7F4CE577D5E5}"/>
            </c:ext>
          </c:extLst>
        </c:ser>
        <c:dLbls>
          <c:showLegendKey val="0"/>
          <c:showVal val="0"/>
          <c:showCatName val="0"/>
          <c:showSerName val="0"/>
          <c:showPercent val="0"/>
          <c:showBubbleSize val="0"/>
        </c:dLbls>
        <c:gapWidth val="166"/>
        <c:overlap val="-78"/>
        <c:axId val="179642112"/>
        <c:axId val="187064448"/>
      </c:barChart>
      <c:barChart>
        <c:barDir val="col"/>
        <c:grouping val="clustered"/>
        <c:varyColors val="0"/>
        <c:ser>
          <c:idx val="1"/>
          <c:order val="1"/>
          <c:tx>
            <c:strRef>
              <c:f>'CONSOLIDADO-ACUEDUCTOSRURALES2'!$C$7</c:f>
              <c:strCache>
                <c:ptCount val="1"/>
                <c:pt idx="0">
                  <c:v>%</c:v>
                </c:pt>
              </c:strCache>
            </c:strRef>
          </c:tx>
          <c:spPr>
            <a:pattFill prst="ltDnDiag">
              <a:fgClr>
                <a:schemeClr val="accent1"/>
              </a:fgClr>
              <a:bgClr>
                <a:schemeClr val="bg1"/>
              </a:bgClr>
            </a:pattFill>
            <a:ln w="19050">
              <a:prstDash val="sysDash"/>
            </a:ln>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'CONSOLIDADO-ACUEDUCTOSRURALES2'!$C$8:$C$16</c:f>
              <c:numCache>
                <c:formatCode>0.0</c:formatCode>
                <c:ptCount val="9"/>
                <c:pt idx="0">
                  <c:v>8.3229813664596275</c:v>
                </c:pt>
                <c:pt idx="1">
                  <c:v>5.1759834368530022</c:v>
                </c:pt>
                <c:pt idx="2">
                  <c:v>10.72463768115942</c:v>
                </c:pt>
                <c:pt idx="3">
                  <c:v>21.44927536231884</c:v>
                </c:pt>
                <c:pt idx="4">
                  <c:v>21.159420289855071</c:v>
                </c:pt>
                <c:pt idx="5">
                  <c:v>2.5258799171842652</c:v>
                </c:pt>
                <c:pt idx="6">
                  <c:v>2.9399585921325055</c:v>
                </c:pt>
                <c:pt idx="7">
                  <c:v>4.63768115942029</c:v>
                </c:pt>
                <c:pt idx="8">
                  <c:v>23.064182194616979</c:v>
                </c:pt>
              </c:numCache>
            </c:numRef>
          </c:val>
          <c:extLst>
            <c:ext xmlns:c16="http://schemas.microsoft.com/office/drawing/2014/chart" uri="{C3380CC4-5D6E-409C-BE32-E72D297353CC}">
              <c16:uniqueId val="{00000001-E13B-46F8-A1C8-7F4CE577D5E5}"/>
            </c:ext>
          </c:extLst>
        </c:ser>
        <c:dLbls>
          <c:showLegendKey val="0"/>
          <c:showVal val="0"/>
          <c:showCatName val="0"/>
          <c:showSerName val="0"/>
          <c:showPercent val="0"/>
          <c:showBubbleSize val="0"/>
        </c:dLbls>
        <c:gapWidth val="194"/>
        <c:axId val="187065008"/>
        <c:axId val="187065568"/>
      </c:barChart>
      <c:catAx>
        <c:axId val="179642112"/>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064448"/>
        <c:crossesAt val="0"/>
        <c:auto val="1"/>
        <c:lblAlgn val="ctr"/>
        <c:lblOffset val="100"/>
        <c:noMultiLvlLbl val="0"/>
      </c:catAx>
      <c:valAx>
        <c:axId val="187064448"/>
        <c:scaling>
          <c:orientation val="minMax"/>
          <c:max val="600"/>
          <c:min val="1"/>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79642112"/>
        <c:crosses val="autoZero"/>
        <c:crossBetween val="between"/>
        <c:majorUnit val="80"/>
      </c:valAx>
      <c:catAx>
        <c:axId val="187065008"/>
        <c:scaling>
          <c:orientation val="minMax"/>
        </c:scaling>
        <c:delete val="1"/>
        <c:axPos val="b"/>
        <c:numFmt formatCode="General" sourceLinked="1"/>
        <c:majorTickMark val="out"/>
        <c:minorTickMark val="none"/>
        <c:tickLblPos val="nextTo"/>
        <c:crossAx val="187065568"/>
        <c:crosses val="autoZero"/>
        <c:auto val="1"/>
        <c:lblAlgn val="ctr"/>
        <c:lblOffset val="100"/>
        <c:noMultiLvlLbl val="0"/>
      </c:catAx>
      <c:valAx>
        <c:axId val="187065568"/>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06500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39026700607"/>
          <c:w val="0.4600726114819404"/>
          <c:h val="6.0105973595405815E-2"/>
        </c:manualLayout>
      </c:layout>
      <c:overlay val="0"/>
      <c:txPr>
        <a:bodyPr/>
        <a:lstStyle/>
        <a:p>
          <a:pPr>
            <a:defRPr sz="12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20</a:t>
            </a:r>
            <a:r>
              <a:rPr lang="es-CO" sz="1200" b="0" i="0" u="none" strike="noStrike" baseline="0">
                <a:solidFill>
                  <a:srgbClr val="000000"/>
                </a:solidFill>
                <a:latin typeface="Arial"/>
                <a:cs typeface="Arial"/>
              </a:rPr>
              <a:t>. Numero y porcentaje de acueductos rurales por  nivel de riesgo sanitario subregión  Oriente - Antioquia - Colombia  2019</a:t>
            </a:r>
          </a:p>
        </c:rich>
      </c:tx>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'CONSOLIDADO-ACUEDUCTOSRURALES2'!$B$170</c:f>
              <c:strCache>
                <c:ptCount val="1"/>
                <c:pt idx="0">
                  <c:v>Número de Sistemas</c:v>
                </c:pt>
              </c:strCache>
            </c:strRef>
          </c:tx>
          <c:spPr>
            <a:solidFill>
              <a:schemeClr val="bg1">
                <a:lumMod val="85000"/>
              </a:schemeClr>
            </a:solidFill>
          </c:spPr>
          <c:invertIfNegative val="0"/>
          <c:dLbls>
            <c:dLbl>
              <c:idx val="0"/>
              <c:layout>
                <c:manualLayout>
                  <c:x val="0.37102922490470142"/>
                  <c:y val="5.15069935024188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B5-437F-9035-6060AEF10B01}"/>
                </c:ext>
              </c:extLst>
            </c:dLbl>
            <c:dLbl>
              <c:idx val="1"/>
              <c:layout>
                <c:manualLayout>
                  <c:x val="0.1524774968567302"/>
                  <c:y val="3.238669716413983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B5-437F-9035-6060AEF10B01}"/>
                </c:ext>
              </c:extLst>
            </c:dLbl>
            <c:dLbl>
              <c:idx val="2"/>
              <c:layout>
                <c:manualLayout>
                  <c:x val="0.11689961880559085"/>
                  <c:y val="3.845920288241604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B5-437F-9035-6060AEF10B01}"/>
                </c:ext>
              </c:extLst>
            </c:dLbl>
            <c:dLbl>
              <c:idx val="3"/>
              <c:layout>
                <c:manualLayout>
                  <c:x val="0.15078316608136816"/>
                  <c:y val="-1.659818229662166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B5-437F-9035-6060AEF10B01}"/>
                </c:ext>
              </c:extLst>
            </c:dLbl>
            <c:dLbl>
              <c:idx val="4"/>
              <c:layout>
                <c:manualLayout>
                  <c:x val="0.28473067931311635"/>
                  <c:y val="2.56806266825896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B5-437F-9035-6060AEF10B01}"/>
                </c:ext>
              </c:extLst>
            </c:dLbl>
            <c:dLbl>
              <c:idx val="5"/>
              <c:layout>
                <c:manualLayout>
                  <c:x val="0.22335150926972755"/>
                  <c:y val="-1.983685201303564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B5-437F-9035-6060AEF10B01}"/>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('CONSOLIDADO-ACUEDUCTOSRURALES2'!$D$170,'CONSOLIDADO-ACUEDUCTOSRURALES2'!$F$170,'CONSOLIDADO-ACUEDUCTOSRURALES2'!$H$170,'CONSOLIDADO-ACUEDUCTOSRURALES2'!$J$170,'CONSOLIDADO-ACUEDUCTOSRURALES2'!$L$170,'CONSOLIDADO-ACUEDUCTOSRURALES2'!$N$170)</c:f>
              <c:strCache>
                <c:ptCount val="6"/>
                <c:pt idx="0">
                  <c:v>Sin Riesgo</c:v>
                </c:pt>
                <c:pt idx="1">
                  <c:v>Bajo</c:v>
                </c:pt>
                <c:pt idx="2">
                  <c:v>Medio</c:v>
                </c:pt>
                <c:pt idx="3">
                  <c:v>Alto</c:v>
                </c:pt>
                <c:pt idx="4">
                  <c:v>Inviable Sanitariamente</c:v>
                </c:pt>
                <c:pt idx="5">
                  <c:v>Sin Dato</c:v>
                </c:pt>
              </c:strCache>
            </c:strRef>
          </c:cat>
          <c:val>
            <c:numRef>
              <c:f>('CONSOLIDADO-ACUEDUCTOSRURALES2'!$D$194,'CONSOLIDADO-ACUEDUCTOSRURALES2'!$F$194,'CONSOLIDADO-ACUEDUCTOSRURALES2'!$H$194,'CONSOLIDADO-ACUEDUCTOSRURALES2'!$J$194,'CONSOLIDADO-ACUEDUCTOSRURALES2'!$L$194,'CONSOLIDADO-ACUEDUCTOSRURALES2'!$N$194)</c:f>
              <c:numCache>
                <c:formatCode>General</c:formatCode>
                <c:ptCount val="6"/>
                <c:pt idx="0">
                  <c:v>194</c:v>
                </c:pt>
                <c:pt idx="1">
                  <c:v>38</c:v>
                </c:pt>
                <c:pt idx="2">
                  <c:v>29</c:v>
                </c:pt>
                <c:pt idx="3">
                  <c:v>51</c:v>
                </c:pt>
                <c:pt idx="4">
                  <c:v>149</c:v>
                </c:pt>
                <c:pt idx="5">
                  <c:v>96</c:v>
                </c:pt>
              </c:numCache>
            </c:numRef>
          </c:val>
          <c:extLst>
            <c:ext xmlns:c16="http://schemas.microsoft.com/office/drawing/2014/chart" uri="{C3380CC4-5D6E-409C-BE32-E72D297353CC}">
              <c16:uniqueId val="{00000006-80B5-437F-9035-6060AEF10B01}"/>
            </c:ext>
          </c:extLst>
        </c:ser>
        <c:dLbls>
          <c:showLegendKey val="0"/>
          <c:showVal val="0"/>
          <c:showCatName val="0"/>
          <c:showSerName val="0"/>
          <c:showPercent val="0"/>
          <c:showBubbleSize val="0"/>
        </c:dLbls>
        <c:gapWidth val="135"/>
        <c:overlap val="-5"/>
        <c:axId val="189533520"/>
        <c:axId val="189534080"/>
      </c:barChart>
      <c:barChart>
        <c:barDir val="bar"/>
        <c:grouping val="stacked"/>
        <c:varyColors val="0"/>
        <c:ser>
          <c:idx val="0"/>
          <c:order val="0"/>
          <c:tx>
            <c:strRef>
              <c:f>'CONSOLIDADO-ACUEDUCTOSRURALES2'!$C$170</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80B5-437F-9035-6060AEF10B01}"/>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80B5-437F-9035-6060AEF10B01}"/>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80B5-437F-9035-6060AEF10B01}"/>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80B5-437F-9035-6060AEF10B01}"/>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80B5-437F-9035-6060AEF10B01}"/>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80B5-437F-9035-6060AEF10B01}"/>
              </c:ext>
            </c:extLst>
          </c:dPt>
          <c:dLbls>
            <c:dLbl>
              <c:idx val="0"/>
              <c:layout>
                <c:manualLayout>
                  <c:x val="-2.4780638125443976E-3"/>
                  <c:y val="5.170373038471861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B5-437F-9035-6060AEF10B01}"/>
                </c:ext>
              </c:extLst>
            </c:dLbl>
            <c:dLbl>
              <c:idx val="2"/>
              <c:layout>
                <c:manualLayout>
                  <c:x val="-7.0223814145214062E-3"/>
                  <c:y val="2.9951698821339763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B5-437F-9035-6060AEF10B01}"/>
                </c:ext>
              </c:extLst>
            </c:dLbl>
            <c:dLbl>
              <c:idx val="3"/>
              <c:layout>
                <c:manualLayout>
                  <c:x val="-5.8641240365919951E-2"/>
                  <c:y val="-3.4937926613793935E-4"/>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B5-437F-9035-6060AEF10B01}"/>
                </c:ext>
              </c:extLst>
            </c:dLbl>
            <c:dLbl>
              <c:idx val="4"/>
              <c:layout>
                <c:manualLayout>
                  <c:x val="4.1459811170363242E-3"/>
                  <c:y val="-3.3777300973625085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B5-437F-9035-6060AEF10B01}"/>
                </c:ext>
              </c:extLst>
            </c:dLbl>
            <c:dLbl>
              <c:idx val="5"/>
              <c:layout>
                <c:manualLayout>
                  <c:x val="7.0845464520238651E-3"/>
                  <c:y val="4.5846280709164232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0B5-437F-9035-6060AEF10B01}"/>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('CONSOLIDADO-ACUEDUCTOSRURALES2'!$D$102,'CONSOLIDADO-ACUEDUCTOSRURALES2'!$F$102,'CONSOLIDADO-ACUEDUCTOSRURALES2'!$H$102,'CONSOLIDADO-ACUEDUCTOSRURALES2'!$J$102,'CONSOLIDADO-ACUEDUCTOSRURALES2'!$L$102,'CONSOLIDADO-ACUEDUCTOSRURALES2'!$N$102)</c:f>
              <c:strCache>
                <c:ptCount val="6"/>
                <c:pt idx="0">
                  <c:v>Sin Riesgo</c:v>
                </c:pt>
                <c:pt idx="1">
                  <c:v>Bajo</c:v>
                </c:pt>
                <c:pt idx="2">
                  <c:v>Medio</c:v>
                </c:pt>
                <c:pt idx="3">
                  <c:v>Alto</c:v>
                </c:pt>
                <c:pt idx="4">
                  <c:v>Inviable Sanitariamente</c:v>
                </c:pt>
                <c:pt idx="5">
                  <c:v>Sin Dato</c:v>
                </c:pt>
              </c:strCache>
            </c:strRef>
          </c:cat>
          <c:val>
            <c:numRef>
              <c:f>('CONSOLIDADO-ACUEDUCTOSRURALES2'!$E$194,'CONSOLIDADO-ACUEDUCTOSRURALES2'!$G$194,'CONSOLIDADO-ACUEDUCTOSRURALES2'!$I$194,'CONSOLIDADO-ACUEDUCTOSRURALES2'!$K$194,'CONSOLIDADO-ACUEDUCTOSRURALES2'!$M$194,'CONSOLIDADO-ACUEDUCTOSRURALES2'!$O$194)</c:f>
              <c:numCache>
                <c:formatCode>0.0</c:formatCode>
                <c:ptCount val="6"/>
                <c:pt idx="0">
                  <c:v>34.829443447037697</c:v>
                </c:pt>
                <c:pt idx="1">
                  <c:v>6.8222621184919214</c:v>
                </c:pt>
                <c:pt idx="2">
                  <c:v>5.2064631956912031</c:v>
                </c:pt>
                <c:pt idx="3">
                  <c:v>9.1561938958707358</c:v>
                </c:pt>
                <c:pt idx="4">
                  <c:v>26.750448833034113</c:v>
                </c:pt>
                <c:pt idx="5">
                  <c:v>17.235188509874327</c:v>
                </c:pt>
              </c:numCache>
            </c:numRef>
          </c:val>
          <c:extLst>
            <c:ext xmlns:c16="http://schemas.microsoft.com/office/drawing/2014/chart" uri="{C3380CC4-5D6E-409C-BE32-E72D297353CC}">
              <c16:uniqueId val="{00000013-80B5-437F-9035-6060AEF10B01}"/>
            </c:ext>
          </c:extLst>
        </c:ser>
        <c:dLbls>
          <c:showLegendKey val="0"/>
          <c:showVal val="0"/>
          <c:showCatName val="0"/>
          <c:showSerName val="0"/>
          <c:showPercent val="0"/>
          <c:showBubbleSize val="0"/>
        </c:dLbls>
        <c:gapWidth val="135"/>
        <c:overlap val="-5"/>
        <c:axId val="189534640"/>
        <c:axId val="189535200"/>
      </c:barChart>
      <c:catAx>
        <c:axId val="189533520"/>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9534080"/>
        <c:crosses val="autoZero"/>
        <c:auto val="1"/>
        <c:lblAlgn val="ctr"/>
        <c:lblOffset val="100"/>
        <c:noMultiLvlLbl val="0"/>
      </c:catAx>
      <c:valAx>
        <c:axId val="189534080"/>
        <c:scaling>
          <c:orientation val="minMax"/>
          <c:max val="20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390601715"/>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533520"/>
        <c:crosses val="autoZero"/>
        <c:crossBetween val="between"/>
      </c:valAx>
      <c:catAx>
        <c:axId val="189534640"/>
        <c:scaling>
          <c:orientation val="minMax"/>
        </c:scaling>
        <c:delete val="1"/>
        <c:axPos val="l"/>
        <c:numFmt formatCode="General" sourceLinked="1"/>
        <c:majorTickMark val="out"/>
        <c:minorTickMark val="none"/>
        <c:tickLblPos val="nextTo"/>
        <c:crossAx val="189535200"/>
        <c:crosses val="autoZero"/>
        <c:auto val="1"/>
        <c:lblAlgn val="ctr"/>
        <c:lblOffset val="100"/>
        <c:noMultiLvlLbl val="0"/>
      </c:catAx>
      <c:valAx>
        <c:axId val="189535200"/>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6527285759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953464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3</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Valle de Aburra - Antiquia -Colombia 2019</a:t>
            </a:r>
          </a:p>
        </c:rich>
      </c:tx>
      <c:layout>
        <c:manualLayout>
          <c:xMode val="edge"/>
          <c:yMode val="edge"/>
          <c:x val="0.18485044699361819"/>
          <c:y val="1.1976017504581753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'CONSOLIDADO-ACUEDUCTOSRURALES2'!$B$23</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'CONSOLIDADO-ACUEDUCTOSRURALES2'!$A$24:$A$33</c:f>
              <c:strCache>
                <c:ptCount val="10"/>
                <c:pt idx="0">
                  <c:v>Medellín</c:v>
                </c:pt>
                <c:pt idx="1">
                  <c:v>Barbosa</c:v>
                </c:pt>
                <c:pt idx="2">
                  <c:v>Bello</c:v>
                </c:pt>
                <c:pt idx="3">
                  <c:v>Caldas</c:v>
                </c:pt>
                <c:pt idx="4">
                  <c:v>Copacabana</c:v>
                </c:pt>
                <c:pt idx="5">
                  <c:v>Girardota</c:v>
                </c:pt>
                <c:pt idx="6">
                  <c:v>Itagui</c:v>
                </c:pt>
                <c:pt idx="7">
                  <c:v>Envigado</c:v>
                </c:pt>
                <c:pt idx="8">
                  <c:v>Sabaneta</c:v>
                </c:pt>
                <c:pt idx="9">
                  <c:v>La Estrella</c:v>
                </c:pt>
              </c:strCache>
            </c:strRef>
          </c:cat>
          <c:val>
            <c:numRef>
              <c:f>'CONSOLIDADO-ACUEDUCTOSRURALES2'!$B$24:$B$33</c:f>
              <c:numCache>
                <c:formatCode>General</c:formatCode>
                <c:ptCount val="10"/>
                <c:pt idx="0">
                  <c:v>28</c:v>
                </c:pt>
                <c:pt idx="1">
                  <c:v>45</c:v>
                </c:pt>
                <c:pt idx="2">
                  <c:v>16</c:v>
                </c:pt>
                <c:pt idx="3">
                  <c:v>19</c:v>
                </c:pt>
                <c:pt idx="4">
                  <c:v>20</c:v>
                </c:pt>
                <c:pt idx="5">
                  <c:v>31</c:v>
                </c:pt>
                <c:pt idx="6">
                  <c:v>8</c:v>
                </c:pt>
                <c:pt idx="7">
                  <c:v>15</c:v>
                </c:pt>
                <c:pt idx="8">
                  <c:v>8</c:v>
                </c:pt>
                <c:pt idx="9">
                  <c:v>11</c:v>
                </c:pt>
              </c:numCache>
            </c:numRef>
          </c:val>
          <c:extLst>
            <c:ext xmlns:c16="http://schemas.microsoft.com/office/drawing/2014/chart" uri="{C3380CC4-5D6E-409C-BE32-E72D297353CC}">
              <c16:uniqueId val="{00000000-097C-46D8-B81D-4CF35D2432A4}"/>
            </c:ext>
          </c:extLst>
        </c:ser>
        <c:dLbls>
          <c:showLegendKey val="0"/>
          <c:showVal val="0"/>
          <c:showCatName val="0"/>
          <c:showSerName val="0"/>
          <c:showPercent val="0"/>
          <c:showBubbleSize val="0"/>
        </c:dLbls>
        <c:gapWidth val="168"/>
        <c:overlap val="-78"/>
        <c:axId val="94845344"/>
        <c:axId val="94842544"/>
      </c:barChart>
      <c:barChart>
        <c:barDir val="col"/>
        <c:grouping val="clustered"/>
        <c:varyColors val="0"/>
        <c:ser>
          <c:idx val="1"/>
          <c:order val="1"/>
          <c:tx>
            <c:strRef>
              <c:f>'CONSOLIDADO-ACUEDUCTOSRURALES2'!$C$23</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'CONSOLIDADO-ACUEDUCTOSRURALES2'!$C$24:$C$33</c:f>
              <c:numCache>
                <c:formatCode>0.0</c:formatCode>
                <c:ptCount val="10"/>
                <c:pt idx="0">
                  <c:v>13.930348258706468</c:v>
                </c:pt>
                <c:pt idx="1">
                  <c:v>22.388059701492537</c:v>
                </c:pt>
                <c:pt idx="2">
                  <c:v>7.9601990049751246</c:v>
                </c:pt>
                <c:pt idx="3">
                  <c:v>9.4527363184079594</c:v>
                </c:pt>
                <c:pt idx="4">
                  <c:v>9.9502487562189064</c:v>
                </c:pt>
                <c:pt idx="5">
                  <c:v>15.422885572139302</c:v>
                </c:pt>
                <c:pt idx="6">
                  <c:v>3.9800995024875623</c:v>
                </c:pt>
                <c:pt idx="7">
                  <c:v>7.4626865671641784</c:v>
                </c:pt>
                <c:pt idx="8">
                  <c:v>3.9800995024875623</c:v>
                </c:pt>
                <c:pt idx="9">
                  <c:v>5.4726368159203984</c:v>
                </c:pt>
              </c:numCache>
            </c:numRef>
          </c:val>
          <c:extLst>
            <c:ext xmlns:c16="http://schemas.microsoft.com/office/drawing/2014/chart" uri="{C3380CC4-5D6E-409C-BE32-E72D297353CC}">
              <c16:uniqueId val="{00000001-097C-46D8-B81D-4CF35D2432A4}"/>
            </c:ext>
          </c:extLst>
        </c:ser>
        <c:dLbls>
          <c:showLegendKey val="0"/>
          <c:showVal val="0"/>
          <c:showCatName val="0"/>
          <c:showSerName val="0"/>
          <c:showPercent val="0"/>
          <c:showBubbleSize val="0"/>
        </c:dLbls>
        <c:gapWidth val="216"/>
        <c:axId val="94841984"/>
        <c:axId val="94841424"/>
      </c:barChart>
      <c:catAx>
        <c:axId val="9484534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94842544"/>
        <c:crossesAt val="0"/>
        <c:auto val="1"/>
        <c:lblAlgn val="ctr"/>
        <c:lblOffset val="100"/>
        <c:noMultiLvlLbl val="0"/>
      </c:catAx>
      <c:valAx>
        <c:axId val="94842544"/>
        <c:scaling>
          <c:orientation val="minMax"/>
          <c:max val="5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94845344"/>
        <c:crosses val="autoZero"/>
        <c:crossBetween val="between"/>
        <c:majorUnit val="5"/>
      </c:valAx>
      <c:catAx>
        <c:axId val="94841984"/>
        <c:scaling>
          <c:orientation val="minMax"/>
        </c:scaling>
        <c:delete val="1"/>
        <c:axPos val="b"/>
        <c:numFmt formatCode="General" sourceLinked="1"/>
        <c:majorTickMark val="out"/>
        <c:minorTickMark val="none"/>
        <c:tickLblPos val="nextTo"/>
        <c:crossAx val="94841424"/>
        <c:crosses val="autoZero"/>
        <c:auto val="1"/>
        <c:lblAlgn val="ctr"/>
        <c:lblOffset val="100"/>
        <c:noMultiLvlLbl val="0"/>
      </c:catAx>
      <c:valAx>
        <c:axId val="94841424"/>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9484198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13719368244"/>
          <c:w val="0.4600726114819404"/>
          <c:h val="6.0105697619519005E-2"/>
        </c:manualLayout>
      </c:layout>
      <c:overlay val="0"/>
      <c:txPr>
        <a:bodyPr/>
        <a:lstStyle/>
        <a:p>
          <a:pPr>
            <a:defRPr sz="12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4</a:t>
            </a:r>
            <a:r>
              <a:rPr lang="es-CO" sz="1200" b="0" i="0" u="none" strike="noStrike" baseline="0">
                <a:solidFill>
                  <a:srgbClr val="000000"/>
                </a:solidFill>
                <a:latin typeface="Arial"/>
                <a:cs typeface="Arial"/>
              </a:rPr>
              <a:t>. Numero y porcentaje de acueductos rurales por  nivel de riesgo sanitario subregión </a:t>
            </a:r>
            <a:r>
              <a:rPr lang="es-CO" sz="1200" b="1" i="0" u="none" strike="noStrike" baseline="0">
                <a:solidFill>
                  <a:srgbClr val="000000"/>
                </a:solidFill>
                <a:latin typeface="Arial"/>
                <a:cs typeface="Arial"/>
              </a:rPr>
              <a:t>.</a:t>
            </a:r>
            <a:r>
              <a:rPr lang="es-CO" sz="1200" b="0" i="0" u="none" strike="noStrike" baseline="0">
                <a:solidFill>
                  <a:srgbClr val="000000"/>
                </a:solidFill>
                <a:latin typeface="Arial"/>
                <a:cs typeface="Arial"/>
              </a:rPr>
              <a:t>Valle de Aburra-  Antioquia - Colombia  2019</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'CONSOLIDADO-ACUEDUCTOSRURALES2'!$B$23</c:f>
              <c:strCache>
                <c:ptCount val="1"/>
                <c:pt idx="0">
                  <c:v>Número de Sistemas</c:v>
                </c:pt>
              </c:strCache>
            </c:strRef>
          </c:tx>
          <c:spPr>
            <a:solidFill>
              <a:schemeClr val="bg1">
                <a:lumMod val="85000"/>
              </a:schemeClr>
            </a:solidFill>
          </c:spPr>
          <c:invertIfNegative val="0"/>
          <c:dLbls>
            <c:dLbl>
              <c:idx val="0"/>
              <c:layout>
                <c:manualLayout>
                  <c:x val="0.35239305379076674"/>
                  <c:y val="-2.563698768423083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EC-4338-8B5E-7BD1F2E4B605}"/>
                </c:ext>
              </c:extLst>
            </c:dLbl>
            <c:dLbl>
              <c:idx val="1"/>
              <c:layout>
                <c:manualLayout>
                  <c:x val="0.13214712836880141"/>
                  <c:y val="4.037956793862305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EC-4338-8B5E-7BD1F2E4B605}"/>
                </c:ext>
              </c:extLst>
            </c:dLbl>
            <c:dLbl>
              <c:idx val="2"/>
              <c:layout>
                <c:manualLayout>
                  <c:x val="0.1355357899195257"/>
                  <c:y val="2.595598627094690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EC-4338-8B5E-7BD1F2E4B605}"/>
                </c:ext>
              </c:extLst>
            </c:dLbl>
            <c:dLbl>
              <c:idx val="3"/>
              <c:layout>
                <c:manualLayout>
                  <c:x val="0.19652689538331217"/>
                  <c:y val="2.2208762366242679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EC-4338-8B5E-7BD1F2E4B605}"/>
                </c:ext>
              </c:extLst>
            </c:dLbl>
            <c:dLbl>
              <c:idx val="4"/>
              <c:layout>
                <c:manualLayout>
                  <c:x val="0.16094875052943669"/>
                  <c:y val="-6.0569351907464507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EC-4338-8B5E-7BD1F2E4B605}"/>
                </c:ext>
              </c:extLst>
            </c:dLbl>
            <c:dLbl>
              <c:idx val="5"/>
              <c:layout>
                <c:manualLayout>
                  <c:x val="7.2981220422415435E-2"/>
                  <c:y val="2.543710882293559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EC-4338-8B5E-7BD1F2E4B605}"/>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('CONSOLIDADO-ACUEDUCTOSRURALES2'!$D$23,'CONSOLIDADO-ACUEDUCTOSRURALES2'!$F$23,'CONSOLIDADO-ACUEDUCTOSRURALES2'!$H$23,'CONSOLIDADO-ACUEDUCTOSRURALES2'!$J$23,'CONSOLIDADO-ACUEDUCTOSRURALES2'!$L$23,'CONSOLIDADO-ACUEDUCTOSRURALES2'!$N$23)</c:f>
              <c:strCache>
                <c:ptCount val="6"/>
                <c:pt idx="0">
                  <c:v>Sin Riesgo</c:v>
                </c:pt>
                <c:pt idx="1">
                  <c:v>Bajo</c:v>
                </c:pt>
                <c:pt idx="2">
                  <c:v>Medio</c:v>
                </c:pt>
                <c:pt idx="3">
                  <c:v>Alto</c:v>
                </c:pt>
                <c:pt idx="4">
                  <c:v>Inviable Sanitariamente</c:v>
                </c:pt>
                <c:pt idx="5">
                  <c:v>Sin Dato</c:v>
                </c:pt>
              </c:strCache>
            </c:strRef>
          </c:cat>
          <c:val>
            <c:numRef>
              <c:f>('CONSOLIDADO-ACUEDUCTOSRURALES2'!$D$34,'CONSOLIDADO-ACUEDUCTOSRURALES2'!$F$34,'CONSOLIDADO-ACUEDUCTOSRURALES2'!$H$34,'CONSOLIDADO-ACUEDUCTOSRURALES2'!$J$34,'CONSOLIDADO-ACUEDUCTOSRURALES2'!$L$34,'CONSOLIDADO-ACUEDUCTOSRURALES2'!$N$34)</c:f>
              <c:numCache>
                <c:formatCode>General</c:formatCode>
                <c:ptCount val="6"/>
                <c:pt idx="0">
                  <c:v>70</c:v>
                </c:pt>
                <c:pt idx="1">
                  <c:v>21</c:v>
                </c:pt>
                <c:pt idx="2">
                  <c:v>34</c:v>
                </c:pt>
                <c:pt idx="3">
                  <c:v>33</c:v>
                </c:pt>
                <c:pt idx="4">
                  <c:v>30</c:v>
                </c:pt>
                <c:pt idx="5">
                  <c:v>13</c:v>
                </c:pt>
              </c:numCache>
            </c:numRef>
          </c:val>
          <c:extLst>
            <c:ext xmlns:c16="http://schemas.microsoft.com/office/drawing/2014/chart" uri="{C3380CC4-5D6E-409C-BE32-E72D297353CC}">
              <c16:uniqueId val="{00000006-C2EC-4338-8B5E-7BD1F2E4B605}"/>
            </c:ext>
          </c:extLst>
        </c:ser>
        <c:dLbls>
          <c:showLegendKey val="0"/>
          <c:showVal val="0"/>
          <c:showCatName val="0"/>
          <c:showSerName val="0"/>
          <c:showPercent val="0"/>
          <c:showBubbleSize val="0"/>
        </c:dLbls>
        <c:gapWidth val="134"/>
        <c:overlap val="-5"/>
        <c:axId val="187070048"/>
        <c:axId val="187070608"/>
      </c:barChart>
      <c:barChart>
        <c:barDir val="bar"/>
        <c:grouping val="stacked"/>
        <c:varyColors val="0"/>
        <c:ser>
          <c:idx val="0"/>
          <c:order val="0"/>
          <c:tx>
            <c:strRef>
              <c:f>'CONSOLIDADO-ACUEDUCTOSRURALES2'!$C$23</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C2EC-4338-8B5E-7BD1F2E4B605}"/>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C2EC-4338-8B5E-7BD1F2E4B605}"/>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C2EC-4338-8B5E-7BD1F2E4B605}"/>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C2EC-4338-8B5E-7BD1F2E4B605}"/>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C2EC-4338-8B5E-7BD1F2E4B605}"/>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C2EC-4338-8B5E-7BD1F2E4B605}"/>
              </c:ext>
            </c:extLst>
          </c:dPt>
          <c:dLbls>
            <c:dLbl>
              <c:idx val="0"/>
              <c:layout>
                <c:manualLayout>
                  <c:x val="-1.7725840178490999E-2"/>
                  <c:y val="5.1706111855084752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EC-4338-8B5E-7BD1F2E4B605}"/>
                </c:ext>
              </c:extLst>
            </c:dLbl>
            <c:dLbl>
              <c:idx val="2"/>
              <c:layout>
                <c:manualLayout>
                  <c:x val="4.8370002034370859E-3"/>
                  <c:y val="-2.1330506763577628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2EC-4338-8B5E-7BD1F2E4B605}"/>
                </c:ext>
              </c:extLst>
            </c:dLbl>
            <c:dLbl>
              <c:idx val="3"/>
              <c:layout>
                <c:manualLayout>
                  <c:x val="-7.8153191460978745E-3"/>
                  <c:y val="-2.9133858267716534E-3"/>
                </c:manualLayout>
              </c:layout>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2EC-4338-8B5E-7BD1F2E4B605}"/>
                </c:ext>
              </c:extLst>
            </c:dLbl>
            <c:dLbl>
              <c:idx val="4"/>
              <c:layout>
                <c:manualLayout>
                  <c:x val="5.8401784910304564E-3"/>
                  <c:y val="1.7638599772729091E-3"/>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2EC-4338-8B5E-7BD1F2E4B605}"/>
                </c:ext>
              </c:extLst>
            </c:dLbl>
            <c:dLbl>
              <c:idx val="5"/>
              <c:layout>
                <c:manualLayout>
                  <c:x val="3.6961517040356938E-3"/>
                  <c:y val="-5.2392489400363419E-4"/>
                </c:manualLayout>
              </c:layout>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2EC-4338-8B5E-7BD1F2E4B605}"/>
                </c:ext>
              </c:extLst>
            </c:dLbl>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('CONSOLIDADO-ACUEDUCTOSRURALES2'!$D$23,'CONSOLIDADO-ACUEDUCTOSRURALES2'!$F$23,'CONSOLIDADO-ACUEDUCTOSRURALES2'!$H$23,'CONSOLIDADO-ACUEDUCTOSRURALES2'!$J$23,'CONSOLIDADO-ACUEDUCTOSRURALES2'!$L$23,'CONSOLIDADO-ACUEDUCTOSRURALES2'!$N$23)</c:f>
              <c:strCache>
                <c:ptCount val="6"/>
                <c:pt idx="0">
                  <c:v>Sin Riesgo</c:v>
                </c:pt>
                <c:pt idx="1">
                  <c:v>Bajo</c:v>
                </c:pt>
                <c:pt idx="2">
                  <c:v>Medio</c:v>
                </c:pt>
                <c:pt idx="3">
                  <c:v>Alto</c:v>
                </c:pt>
                <c:pt idx="4">
                  <c:v>Inviable Sanitariamente</c:v>
                </c:pt>
                <c:pt idx="5">
                  <c:v>Sin Dato</c:v>
                </c:pt>
              </c:strCache>
            </c:strRef>
          </c:cat>
          <c:val>
            <c:numRef>
              <c:f>('CONSOLIDADO-ACUEDUCTOSRURALES2'!$E$34,'CONSOLIDADO-ACUEDUCTOSRURALES2'!$G$34,'CONSOLIDADO-ACUEDUCTOSRURALES2'!$I$34,'CONSOLIDADO-ACUEDUCTOSRURALES2'!$K$34,'CONSOLIDADO-ACUEDUCTOSRURALES2'!$M$34,'CONSOLIDADO-ACUEDUCTOSRURALES2'!$O$34)</c:f>
              <c:numCache>
                <c:formatCode>0.0</c:formatCode>
                <c:ptCount val="6"/>
                <c:pt idx="0">
                  <c:v>34.82587064676617</c:v>
                </c:pt>
                <c:pt idx="1">
                  <c:v>10.44776119402985</c:v>
                </c:pt>
                <c:pt idx="2">
                  <c:v>16.915422885572141</c:v>
                </c:pt>
                <c:pt idx="3">
                  <c:v>16.417910447761194</c:v>
                </c:pt>
                <c:pt idx="4">
                  <c:v>14.925373134328357</c:v>
                </c:pt>
                <c:pt idx="5">
                  <c:v>6.467661691542288</c:v>
                </c:pt>
              </c:numCache>
            </c:numRef>
          </c:val>
          <c:extLst>
            <c:ext xmlns:c16="http://schemas.microsoft.com/office/drawing/2014/chart" uri="{C3380CC4-5D6E-409C-BE32-E72D297353CC}">
              <c16:uniqueId val="{00000013-C2EC-4338-8B5E-7BD1F2E4B605}"/>
            </c:ext>
          </c:extLst>
        </c:ser>
        <c:dLbls>
          <c:showLegendKey val="0"/>
          <c:showVal val="0"/>
          <c:showCatName val="0"/>
          <c:showSerName val="0"/>
          <c:showPercent val="0"/>
          <c:showBubbleSize val="0"/>
        </c:dLbls>
        <c:gapWidth val="137"/>
        <c:overlap val="-5"/>
        <c:axId val="187071168"/>
        <c:axId val="187071728"/>
      </c:barChart>
      <c:catAx>
        <c:axId val="1870700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070608"/>
        <c:crosses val="autoZero"/>
        <c:auto val="1"/>
        <c:lblAlgn val="ctr"/>
        <c:lblOffset val="100"/>
        <c:noMultiLvlLbl val="0"/>
      </c:catAx>
      <c:valAx>
        <c:axId val="187070608"/>
        <c:scaling>
          <c:orientation val="minMax"/>
          <c:max val="75"/>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030145503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070048"/>
        <c:crosses val="autoZero"/>
        <c:crossBetween val="between"/>
      </c:valAx>
      <c:catAx>
        <c:axId val="187071168"/>
        <c:scaling>
          <c:orientation val="minMax"/>
        </c:scaling>
        <c:delete val="1"/>
        <c:axPos val="l"/>
        <c:numFmt formatCode="General" sourceLinked="1"/>
        <c:majorTickMark val="out"/>
        <c:minorTickMark val="none"/>
        <c:tickLblPos val="nextTo"/>
        <c:crossAx val="187071728"/>
        <c:crosses val="autoZero"/>
        <c:auto val="1"/>
        <c:lblAlgn val="ctr"/>
        <c:lblOffset val="100"/>
        <c:noMultiLvlLbl val="0"/>
      </c:catAx>
      <c:valAx>
        <c:axId val="187071728"/>
        <c:scaling>
          <c:orientation val="minMax"/>
          <c:max val="5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68957521087"/>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07116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5</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Uraba- Antioquia - Colombia 2019</a:t>
            </a:r>
          </a:p>
        </c:rich>
      </c:tx>
      <c:layout>
        <c:manualLayout>
          <c:xMode val="edge"/>
          <c:yMode val="edge"/>
          <c:x val="0.17977430486163851"/>
          <c:y val="1.1975988550564127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'CONSOLIDADO-ACUEDUCTOSRURALES2'!$B$38</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'CONSOLIDADO-ACUEDUCTOSRURALES2'!$A$39:$A$49</c:f>
              <c:strCache>
                <c:ptCount val="11"/>
                <c:pt idx="0">
                  <c:v>Apartado</c:v>
                </c:pt>
                <c:pt idx="1">
                  <c:v>Arboletes</c:v>
                </c:pt>
                <c:pt idx="2">
                  <c:v>Carepa</c:v>
                </c:pt>
                <c:pt idx="3">
                  <c:v>Chigorodo</c:v>
                </c:pt>
                <c:pt idx="4">
                  <c:v>Murindo</c:v>
                </c:pt>
                <c:pt idx="5">
                  <c:v>Mutata</c:v>
                </c:pt>
                <c:pt idx="6">
                  <c:v>Necocli</c:v>
                </c:pt>
                <c:pt idx="7">
                  <c:v>San Juan de Urabá</c:v>
                </c:pt>
                <c:pt idx="8">
                  <c:v>San Pedro de Urabá</c:v>
                </c:pt>
                <c:pt idx="9">
                  <c:v>Vigía del Fuerte</c:v>
                </c:pt>
                <c:pt idx="10">
                  <c:v>Turbo</c:v>
                </c:pt>
              </c:strCache>
            </c:strRef>
          </c:cat>
          <c:val>
            <c:numRef>
              <c:f>'CONSOLIDADO-ACUEDUCTOSRURALES2'!$B$39:$B$49</c:f>
              <c:numCache>
                <c:formatCode>General</c:formatCode>
                <c:ptCount val="11"/>
                <c:pt idx="0">
                  <c:v>9</c:v>
                </c:pt>
                <c:pt idx="1">
                  <c:v>25</c:v>
                </c:pt>
                <c:pt idx="2">
                  <c:v>17</c:v>
                </c:pt>
                <c:pt idx="3">
                  <c:v>4</c:v>
                </c:pt>
                <c:pt idx="4">
                  <c:v>0</c:v>
                </c:pt>
                <c:pt idx="5">
                  <c:v>14</c:v>
                </c:pt>
                <c:pt idx="6">
                  <c:v>23</c:v>
                </c:pt>
                <c:pt idx="7">
                  <c:v>4</c:v>
                </c:pt>
                <c:pt idx="8">
                  <c:v>6</c:v>
                </c:pt>
                <c:pt idx="9">
                  <c:v>0</c:v>
                </c:pt>
                <c:pt idx="10">
                  <c:v>23</c:v>
                </c:pt>
              </c:numCache>
            </c:numRef>
          </c:val>
          <c:extLst>
            <c:ext xmlns:c16="http://schemas.microsoft.com/office/drawing/2014/chart" uri="{C3380CC4-5D6E-409C-BE32-E72D297353CC}">
              <c16:uniqueId val="{00000000-124F-406B-B7EA-AF45F6425FC4}"/>
            </c:ext>
          </c:extLst>
        </c:ser>
        <c:dLbls>
          <c:showLegendKey val="0"/>
          <c:showVal val="0"/>
          <c:showCatName val="0"/>
          <c:showSerName val="0"/>
          <c:showPercent val="0"/>
          <c:showBubbleSize val="0"/>
        </c:dLbls>
        <c:gapWidth val="164"/>
        <c:overlap val="-78"/>
        <c:axId val="187421584"/>
        <c:axId val="187422144"/>
      </c:barChart>
      <c:barChart>
        <c:barDir val="col"/>
        <c:grouping val="clustered"/>
        <c:varyColors val="0"/>
        <c:ser>
          <c:idx val="1"/>
          <c:order val="1"/>
          <c:tx>
            <c:strRef>
              <c:f>'CONSOLIDADO-ACUEDUCTOSRURALES2'!$C$38</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'CONSOLIDADO-ACUEDUCTOSRURALES2'!$A$8:$A$16</c:f>
              <c:strCache>
                <c:ptCount val="9"/>
                <c:pt idx="0">
                  <c:v>Valle de Aburra</c:v>
                </c:pt>
                <c:pt idx="1">
                  <c:v>Uraba</c:v>
                </c:pt>
                <c:pt idx="2">
                  <c:v>Norte</c:v>
                </c:pt>
                <c:pt idx="3">
                  <c:v>Occidente</c:v>
                </c:pt>
                <c:pt idx="4">
                  <c:v>Suroeste</c:v>
                </c:pt>
                <c:pt idx="5">
                  <c:v>Bajo Cauca</c:v>
                </c:pt>
                <c:pt idx="6">
                  <c:v>Magdalena Medio</c:v>
                </c:pt>
                <c:pt idx="7">
                  <c:v>Nordeste </c:v>
                </c:pt>
                <c:pt idx="8">
                  <c:v>Oriente</c:v>
                </c:pt>
              </c:strCache>
            </c:strRef>
          </c:cat>
          <c:val>
            <c:numRef>
              <c:f>'CONSOLIDADO-ACUEDUCTOSRURALES2'!$C$39:$C$49</c:f>
              <c:numCache>
                <c:formatCode>0.0</c:formatCode>
                <c:ptCount val="11"/>
                <c:pt idx="0">
                  <c:v>7.1999999999999993</c:v>
                </c:pt>
                <c:pt idx="1">
                  <c:v>20</c:v>
                </c:pt>
                <c:pt idx="2">
                  <c:v>13.600000000000001</c:v>
                </c:pt>
                <c:pt idx="3">
                  <c:v>3.2</c:v>
                </c:pt>
                <c:pt idx="4">
                  <c:v>0</c:v>
                </c:pt>
                <c:pt idx="5">
                  <c:v>11.200000000000001</c:v>
                </c:pt>
                <c:pt idx="6">
                  <c:v>18.399999999999999</c:v>
                </c:pt>
                <c:pt idx="7">
                  <c:v>3.2</c:v>
                </c:pt>
                <c:pt idx="8">
                  <c:v>4.8</c:v>
                </c:pt>
                <c:pt idx="9">
                  <c:v>0</c:v>
                </c:pt>
                <c:pt idx="10">
                  <c:v>18.399999999999999</c:v>
                </c:pt>
              </c:numCache>
            </c:numRef>
          </c:val>
          <c:extLst>
            <c:ext xmlns:c16="http://schemas.microsoft.com/office/drawing/2014/chart" uri="{C3380CC4-5D6E-409C-BE32-E72D297353CC}">
              <c16:uniqueId val="{00000001-124F-406B-B7EA-AF45F6425FC4}"/>
            </c:ext>
          </c:extLst>
        </c:ser>
        <c:dLbls>
          <c:showLegendKey val="0"/>
          <c:showVal val="0"/>
          <c:showCatName val="0"/>
          <c:showSerName val="0"/>
          <c:showPercent val="0"/>
          <c:showBubbleSize val="0"/>
        </c:dLbls>
        <c:gapWidth val="182"/>
        <c:axId val="187422704"/>
        <c:axId val="187423264"/>
      </c:barChart>
      <c:catAx>
        <c:axId val="187421584"/>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422144"/>
        <c:crossesAt val="0"/>
        <c:auto val="1"/>
        <c:lblAlgn val="ctr"/>
        <c:lblOffset val="100"/>
        <c:noMultiLvlLbl val="0"/>
      </c:catAx>
      <c:valAx>
        <c:axId val="187422144"/>
        <c:scaling>
          <c:orientation val="minMax"/>
          <c:max val="3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21584"/>
        <c:crosses val="autoZero"/>
        <c:crossBetween val="between"/>
        <c:majorUnit val="5"/>
      </c:valAx>
      <c:catAx>
        <c:axId val="187422704"/>
        <c:scaling>
          <c:orientation val="minMax"/>
        </c:scaling>
        <c:delete val="1"/>
        <c:axPos val="b"/>
        <c:numFmt formatCode="General" sourceLinked="1"/>
        <c:majorTickMark val="out"/>
        <c:minorTickMark val="none"/>
        <c:tickLblPos val="nextTo"/>
        <c:crossAx val="187423264"/>
        <c:crosses val="autoZero"/>
        <c:auto val="1"/>
        <c:lblAlgn val="ctr"/>
        <c:lblOffset val="100"/>
        <c:noMultiLvlLbl val="0"/>
      </c:catAx>
      <c:valAx>
        <c:axId val="187423264"/>
        <c:scaling>
          <c:orientation val="minMax"/>
          <c:max val="4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layout/>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22704"/>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454863142107235"/>
          <c:w val="0.4600726114819404"/>
          <c:h val="7.0264616922884646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6</a:t>
            </a:r>
            <a:r>
              <a:rPr lang="es-CO" sz="1200" b="0" i="0" u="none" strike="noStrike" baseline="0">
                <a:solidFill>
                  <a:srgbClr val="000000"/>
                </a:solidFill>
                <a:latin typeface="Arial"/>
                <a:cs typeface="Arial"/>
              </a:rPr>
              <a:t>. Numero y porcentaje de acueductos rurales por  nivel de riesgo sanitario  subregión Uraba - Antioquia - Colombia  2019</a:t>
            </a:r>
          </a:p>
        </c:rich>
      </c:tx>
      <c:layout/>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'CONSOLIDADO-ACUEDUCTOSRURALES2'!$B$38</c:f>
              <c:strCache>
                <c:ptCount val="1"/>
                <c:pt idx="0">
                  <c:v>Número de Sistemas</c:v>
                </c:pt>
              </c:strCache>
            </c:strRef>
          </c:tx>
          <c:spPr>
            <a:solidFill>
              <a:schemeClr val="bg1">
                <a:lumMod val="85000"/>
              </a:schemeClr>
            </a:solidFill>
          </c:spPr>
          <c:invertIfNegative val="0"/>
          <c:dLbls>
            <c:dLbl>
              <c:idx val="0"/>
              <c:layout>
                <c:manualLayout>
                  <c:x val="5.5908513341804321E-2"/>
                  <c:y val="5.126004271905609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AD-46E9-8A51-C478B93727B6}"/>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AD-46E9-8A51-C478B93727B6}"/>
                </c:ext>
              </c:extLst>
            </c:dLbl>
            <c:dLbl>
              <c:idx val="2"/>
              <c:layout>
                <c:manualLayout>
                  <c:x val="3.8966539601863616E-2"/>
                  <c:y val="2.59269315473496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3AD-46E9-8A51-C478B93727B6}"/>
                </c:ext>
              </c:extLst>
            </c:dLbl>
            <c:dLbl>
              <c:idx val="3"/>
              <c:layout>
                <c:manualLayout>
                  <c:x val="8.301567132570951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AD-46E9-8A51-C478B93727B6}"/>
                </c:ext>
              </c:extLst>
            </c:dLbl>
            <c:dLbl>
              <c:idx val="4"/>
              <c:layout>
                <c:manualLayout>
                  <c:x val="0.35069885641677256"/>
                  <c:y val="2.568155991995206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AD-46E9-8A51-C478B93727B6}"/>
                </c:ext>
              </c:extLst>
            </c:dLbl>
            <c:dLbl>
              <c:idx val="5"/>
              <c:layout>
                <c:manualLayout>
                  <c:x val="0.31703035214626124"/>
                  <c:y val="5.10493659556923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3AD-46E9-8A51-C478B93727B6}"/>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('CONSOLIDADO-ACUEDUCTOSRURALES2'!$D$38,'CONSOLIDADO-ACUEDUCTOSRURALES2'!$F$38,'CONSOLIDADO-ACUEDUCTOSRURALES2'!$H$38,'CONSOLIDADO-ACUEDUCTOSRURALES2'!$J$38,'CONSOLIDADO-ACUEDUCTOSRURALES2'!$L$38,'CONSOLIDADO-ACUEDUCTOSRURALES2'!$N$38)</c:f>
              <c:strCache>
                <c:ptCount val="6"/>
                <c:pt idx="0">
                  <c:v>Sin Riesgo</c:v>
                </c:pt>
                <c:pt idx="1">
                  <c:v>Bajo</c:v>
                </c:pt>
                <c:pt idx="2">
                  <c:v>Medio</c:v>
                </c:pt>
                <c:pt idx="3">
                  <c:v>Alto</c:v>
                </c:pt>
                <c:pt idx="4">
                  <c:v>Inviable Sanitariamente</c:v>
                </c:pt>
                <c:pt idx="5">
                  <c:v>Sin Dato</c:v>
                </c:pt>
              </c:strCache>
            </c:strRef>
          </c:cat>
          <c:val>
            <c:numRef>
              <c:f>('CONSOLIDADO-ACUEDUCTOSRURALES2'!$D$50,'CONSOLIDADO-ACUEDUCTOSRURALES2'!$F$50,'CONSOLIDADO-ACUEDUCTOSRURALES2'!$H$50,'CONSOLIDADO-ACUEDUCTOSRURALES2'!$J$50,'CONSOLIDADO-ACUEDUCTOSRURALES2'!$L$50,'CONSOLIDADO-ACUEDUCTOSRURALES2'!$N$50)</c:f>
              <c:numCache>
                <c:formatCode>General</c:formatCode>
                <c:ptCount val="6"/>
                <c:pt idx="0">
                  <c:v>12</c:v>
                </c:pt>
                <c:pt idx="1">
                  <c:v>2</c:v>
                </c:pt>
                <c:pt idx="2">
                  <c:v>5</c:v>
                </c:pt>
                <c:pt idx="3">
                  <c:v>18</c:v>
                </c:pt>
                <c:pt idx="4">
                  <c:v>56</c:v>
                </c:pt>
                <c:pt idx="5">
                  <c:v>32</c:v>
                </c:pt>
              </c:numCache>
            </c:numRef>
          </c:val>
          <c:extLst>
            <c:ext xmlns:c16="http://schemas.microsoft.com/office/drawing/2014/chart" uri="{C3380CC4-5D6E-409C-BE32-E72D297353CC}">
              <c16:uniqueId val="{00000006-E3AD-46E9-8A51-C478B93727B6}"/>
            </c:ext>
          </c:extLst>
        </c:ser>
        <c:dLbls>
          <c:showLegendKey val="0"/>
          <c:showVal val="0"/>
          <c:showCatName val="0"/>
          <c:showSerName val="0"/>
          <c:showPercent val="0"/>
          <c:showBubbleSize val="0"/>
        </c:dLbls>
        <c:gapWidth val="133"/>
        <c:overlap val="-5"/>
        <c:axId val="187456768"/>
        <c:axId val="187457328"/>
      </c:barChart>
      <c:barChart>
        <c:barDir val="bar"/>
        <c:grouping val="stacked"/>
        <c:varyColors val="0"/>
        <c:ser>
          <c:idx val="0"/>
          <c:order val="0"/>
          <c:tx>
            <c:strRef>
              <c:f>'CONSOLIDADO-ACUEDUCTOSRURALES2'!$C$38</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E3AD-46E9-8A51-C478B93727B6}"/>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E3AD-46E9-8A51-C478B93727B6}"/>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E3AD-46E9-8A51-C478B93727B6}"/>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E3AD-46E9-8A51-C478B93727B6}"/>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E3AD-46E9-8A51-C478B93727B6}"/>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E3AD-46E9-8A51-C478B93727B6}"/>
              </c:ext>
            </c:extLst>
          </c:dPt>
          <c:dLbls>
            <c:dLbl>
              <c:idx val="4"/>
              <c:spPr/>
              <c:txPr>
                <a:bodyPr/>
                <a:lstStyle/>
                <a:p>
                  <a:pPr>
                    <a:defRPr sz="16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10-E3AD-46E9-8A51-C478B93727B6}"/>
                </c:ext>
              </c:extLst>
            </c:dLbl>
            <c:dLbl>
              <c:idx val="5"/>
              <c:spPr/>
              <c:txPr>
                <a:bodyPr/>
                <a:lstStyle/>
                <a:p>
                  <a:pPr>
                    <a:defRPr sz="16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12-E3AD-46E9-8A51-C478B93727B6}"/>
                </c:ext>
              </c:extLst>
            </c:dLbl>
            <c:spPr>
              <a:noFill/>
              <a:ln>
                <a:noFill/>
              </a:ln>
              <a:effectLst/>
            </c:spPr>
            <c:txPr>
              <a:bodyPr/>
              <a:lstStyle/>
              <a:p>
                <a:pPr>
                  <a:defRPr sz="16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('CONSOLIDADO-ACUEDUCTOSRURALES2'!$E$50,'CONSOLIDADO-ACUEDUCTOSRURALES2'!$G$50,'CONSOLIDADO-ACUEDUCTOSRURALES2'!$I$50,'CONSOLIDADO-ACUEDUCTOSRURALES2'!$K$50,'CONSOLIDADO-ACUEDUCTOSRURALES2'!$M$50,'CONSOLIDADO-ACUEDUCTOSRURALES2'!$O$50)</c:f>
              <c:numCache>
                <c:formatCode>0.0</c:formatCode>
                <c:ptCount val="6"/>
                <c:pt idx="0">
                  <c:v>9.6</c:v>
                </c:pt>
                <c:pt idx="1">
                  <c:v>1.6</c:v>
                </c:pt>
                <c:pt idx="2">
                  <c:v>4</c:v>
                </c:pt>
                <c:pt idx="3">
                  <c:v>14.399999999999999</c:v>
                </c:pt>
                <c:pt idx="4">
                  <c:v>44.800000000000004</c:v>
                </c:pt>
                <c:pt idx="5">
                  <c:v>25.6</c:v>
                </c:pt>
              </c:numCache>
            </c:numRef>
          </c:val>
          <c:extLst>
            <c:ext xmlns:c16="http://schemas.microsoft.com/office/drawing/2014/chart" uri="{C3380CC4-5D6E-409C-BE32-E72D297353CC}">
              <c16:uniqueId val="{00000013-E3AD-46E9-8A51-C478B93727B6}"/>
            </c:ext>
          </c:extLst>
        </c:ser>
        <c:dLbls>
          <c:showLegendKey val="0"/>
          <c:showVal val="0"/>
          <c:showCatName val="0"/>
          <c:showSerName val="0"/>
          <c:showPercent val="0"/>
          <c:showBubbleSize val="0"/>
        </c:dLbls>
        <c:gapWidth val="133"/>
        <c:overlap val="-5"/>
        <c:axId val="187457888"/>
        <c:axId val="187458448"/>
      </c:barChart>
      <c:catAx>
        <c:axId val="18745676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457328"/>
        <c:crosses val="autoZero"/>
        <c:auto val="1"/>
        <c:lblAlgn val="ctr"/>
        <c:lblOffset val="100"/>
        <c:noMultiLvlLbl val="0"/>
      </c:catAx>
      <c:valAx>
        <c:axId val="187457328"/>
        <c:scaling>
          <c:orientation val="minMax"/>
          <c:max val="65"/>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8970884454"/>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456768"/>
        <c:crosses val="autoZero"/>
        <c:crossBetween val="between"/>
      </c:valAx>
      <c:catAx>
        <c:axId val="187457888"/>
        <c:scaling>
          <c:orientation val="minMax"/>
        </c:scaling>
        <c:delete val="1"/>
        <c:axPos val="l"/>
        <c:numFmt formatCode="General" sourceLinked="1"/>
        <c:majorTickMark val="out"/>
        <c:minorTickMark val="none"/>
        <c:tickLblPos val="nextTo"/>
        <c:crossAx val="187458448"/>
        <c:crosses val="autoZero"/>
        <c:auto val="1"/>
        <c:lblAlgn val="ctr"/>
        <c:lblOffset val="100"/>
        <c:noMultiLvlLbl val="0"/>
      </c:catAx>
      <c:valAx>
        <c:axId val="187458448"/>
        <c:scaling>
          <c:orientation val="minMax"/>
          <c:max val="65"/>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5999104763"/>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457888"/>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7</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Norte - Antioquia- Colombia 2019</a:t>
            </a:r>
          </a:p>
        </c:rich>
      </c:tx>
      <c:layout>
        <c:manualLayout>
          <c:xMode val="edge"/>
          <c:yMode val="edge"/>
          <c:x val="0.17977430486163851"/>
          <c:y val="1.1976061358088994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'CONSOLIDADO-ACUEDUCTOSRURALES2'!$B$55</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'CONSOLIDADO-ACUEDUCTOSRURALES2'!$B$56:$B$72</c:f>
              <c:numCache>
                <c:formatCode>General</c:formatCode>
                <c:ptCount val="17"/>
                <c:pt idx="0">
                  <c:v>24</c:v>
                </c:pt>
                <c:pt idx="1">
                  <c:v>9</c:v>
                </c:pt>
                <c:pt idx="2">
                  <c:v>13</c:v>
                </c:pt>
                <c:pt idx="3">
                  <c:v>17</c:v>
                </c:pt>
                <c:pt idx="4">
                  <c:v>7</c:v>
                </c:pt>
                <c:pt idx="5">
                  <c:v>5</c:v>
                </c:pt>
                <c:pt idx="6">
                  <c:v>11</c:v>
                </c:pt>
                <c:pt idx="7">
                  <c:v>21</c:v>
                </c:pt>
                <c:pt idx="8">
                  <c:v>14</c:v>
                </c:pt>
                <c:pt idx="9">
                  <c:v>38</c:v>
                </c:pt>
                <c:pt idx="10">
                  <c:v>18</c:v>
                </c:pt>
                <c:pt idx="11">
                  <c:v>4</c:v>
                </c:pt>
                <c:pt idx="12">
                  <c:v>16</c:v>
                </c:pt>
                <c:pt idx="13">
                  <c:v>30</c:v>
                </c:pt>
                <c:pt idx="14">
                  <c:v>12</c:v>
                </c:pt>
                <c:pt idx="15">
                  <c:v>8</c:v>
                </c:pt>
                <c:pt idx="16">
                  <c:v>12</c:v>
                </c:pt>
              </c:numCache>
            </c:numRef>
          </c:val>
          <c:extLst>
            <c:ext xmlns:c16="http://schemas.microsoft.com/office/drawing/2014/chart" uri="{C3380CC4-5D6E-409C-BE32-E72D297353CC}">
              <c16:uniqueId val="{00000000-DADD-47E2-93AD-3D8456511C5F}"/>
            </c:ext>
          </c:extLst>
        </c:ser>
        <c:dLbls>
          <c:showLegendKey val="0"/>
          <c:showVal val="0"/>
          <c:showCatName val="0"/>
          <c:showSerName val="0"/>
          <c:showPercent val="0"/>
          <c:showBubbleSize val="0"/>
        </c:dLbls>
        <c:gapWidth val="115"/>
        <c:overlap val="-73"/>
        <c:axId val="187461808"/>
        <c:axId val="187462368"/>
      </c:barChart>
      <c:barChart>
        <c:barDir val="col"/>
        <c:grouping val="clustered"/>
        <c:varyColors val="0"/>
        <c:ser>
          <c:idx val="1"/>
          <c:order val="1"/>
          <c:tx>
            <c:strRef>
              <c:f>'CONSOLIDADO-ACUEDUCTOSRURALES2'!$C$55</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'CONSOLIDADO-ACUEDUCTOSRURALES2'!$A$56:$A$72</c:f>
              <c:strCache>
                <c:ptCount val="17"/>
                <c:pt idx="0">
                  <c:v>Angostura</c:v>
                </c:pt>
                <c:pt idx="1">
                  <c:v>Belmira</c:v>
                </c:pt>
                <c:pt idx="2">
                  <c:v>Briceño</c:v>
                </c:pt>
                <c:pt idx="3">
                  <c:v>Campamento</c:v>
                </c:pt>
                <c:pt idx="4">
                  <c:v>Carolina del Príncipe</c:v>
                </c:pt>
                <c:pt idx="5">
                  <c:v>Don Matías</c:v>
                </c:pt>
                <c:pt idx="6">
                  <c:v>Entrerríos</c:v>
                </c:pt>
                <c:pt idx="7">
                  <c:v>Gómez Plata</c:v>
                </c:pt>
                <c:pt idx="8">
                  <c:v>Guadalupe</c:v>
                </c:pt>
                <c:pt idx="9">
                  <c:v>Ituango</c:v>
                </c:pt>
                <c:pt idx="10">
                  <c:v>San Andrés de Cuerquia</c:v>
                </c:pt>
                <c:pt idx="11">
                  <c:v>San José de la Montaña</c:v>
                </c:pt>
                <c:pt idx="12">
                  <c:v>San Pedro de los Milagros</c:v>
                </c:pt>
                <c:pt idx="13">
                  <c:v>Santa Rosa de Osos</c:v>
                </c:pt>
                <c:pt idx="14">
                  <c:v>Toledo</c:v>
                </c:pt>
                <c:pt idx="15">
                  <c:v>Valdivia</c:v>
                </c:pt>
                <c:pt idx="16">
                  <c:v>Yarumal</c:v>
                </c:pt>
              </c:strCache>
            </c:strRef>
          </c:cat>
          <c:val>
            <c:numRef>
              <c:f>'CONSOLIDADO-ACUEDUCTOSRURALES2'!$C$56:$C$72</c:f>
              <c:numCache>
                <c:formatCode>0.0</c:formatCode>
                <c:ptCount val="17"/>
                <c:pt idx="0">
                  <c:v>9.2664092664092657</c:v>
                </c:pt>
                <c:pt idx="1">
                  <c:v>3.4749034749034751</c:v>
                </c:pt>
                <c:pt idx="2">
                  <c:v>5.019305019305019</c:v>
                </c:pt>
                <c:pt idx="3">
                  <c:v>6.563706563706563</c:v>
                </c:pt>
                <c:pt idx="4">
                  <c:v>2.7027027027027026</c:v>
                </c:pt>
                <c:pt idx="5">
                  <c:v>1.9305019305019304</c:v>
                </c:pt>
                <c:pt idx="6">
                  <c:v>4.2471042471042466</c:v>
                </c:pt>
                <c:pt idx="7">
                  <c:v>8.1081081081081088</c:v>
                </c:pt>
                <c:pt idx="8">
                  <c:v>5.4054054054054053</c:v>
                </c:pt>
                <c:pt idx="9">
                  <c:v>14.671814671814673</c:v>
                </c:pt>
                <c:pt idx="10">
                  <c:v>6.9498069498069501</c:v>
                </c:pt>
                <c:pt idx="11">
                  <c:v>1.5444015444015444</c:v>
                </c:pt>
                <c:pt idx="12">
                  <c:v>6.1776061776061777</c:v>
                </c:pt>
                <c:pt idx="13">
                  <c:v>11.583011583011583</c:v>
                </c:pt>
                <c:pt idx="14">
                  <c:v>4.6332046332046328</c:v>
                </c:pt>
                <c:pt idx="15">
                  <c:v>3.0888030888030888</c:v>
                </c:pt>
                <c:pt idx="16">
                  <c:v>4.6332046332046328</c:v>
                </c:pt>
              </c:numCache>
            </c:numRef>
          </c:val>
          <c:extLst>
            <c:ext xmlns:c16="http://schemas.microsoft.com/office/drawing/2014/chart" uri="{C3380CC4-5D6E-409C-BE32-E72D297353CC}">
              <c16:uniqueId val="{00000001-DADD-47E2-93AD-3D8456511C5F}"/>
            </c:ext>
          </c:extLst>
        </c:ser>
        <c:dLbls>
          <c:showLegendKey val="0"/>
          <c:showVal val="0"/>
          <c:showCatName val="0"/>
          <c:showSerName val="0"/>
          <c:showPercent val="0"/>
          <c:showBubbleSize val="0"/>
        </c:dLbls>
        <c:gapWidth val="130"/>
        <c:axId val="187462928"/>
        <c:axId val="187463488"/>
      </c:barChart>
      <c:catAx>
        <c:axId val="187461808"/>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462368"/>
        <c:crossesAt val="0"/>
        <c:auto val="1"/>
        <c:lblAlgn val="ctr"/>
        <c:lblOffset val="100"/>
        <c:noMultiLvlLbl val="0"/>
      </c:catAx>
      <c:valAx>
        <c:axId val="187462368"/>
        <c:scaling>
          <c:orientation val="minMax"/>
          <c:max val="40"/>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overlay val="0"/>
        </c:title>
        <c:numFmt formatCode="#,##0" sourceLinked="0"/>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61808"/>
        <c:crosses val="autoZero"/>
        <c:crossBetween val="between"/>
        <c:majorUnit val="5"/>
      </c:valAx>
      <c:catAx>
        <c:axId val="187462928"/>
        <c:scaling>
          <c:orientation val="minMax"/>
        </c:scaling>
        <c:delete val="1"/>
        <c:axPos val="b"/>
        <c:numFmt formatCode="General" sourceLinked="1"/>
        <c:majorTickMark val="out"/>
        <c:minorTickMark val="none"/>
        <c:tickLblPos val="nextTo"/>
        <c:crossAx val="187463488"/>
        <c:crosses val="autoZero"/>
        <c:auto val="1"/>
        <c:lblAlgn val="ctr"/>
        <c:lblOffset val="100"/>
        <c:noMultiLvlLbl val="0"/>
      </c:catAx>
      <c:valAx>
        <c:axId val="187463488"/>
        <c:scaling>
          <c:orientation val="minMax"/>
          <c:max val="3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46292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821021885"/>
          <c:w val="0.4600726114819404"/>
          <c:h val="6.0105803895135645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8</a:t>
            </a:r>
            <a:r>
              <a:rPr lang="es-CO" sz="1200" b="0" i="0" u="none" strike="noStrike" baseline="0">
                <a:solidFill>
                  <a:srgbClr val="000000"/>
                </a:solidFill>
                <a:latin typeface="Arial"/>
                <a:cs typeface="Arial"/>
              </a:rPr>
              <a:t>. Numero y porcentaje de acueductos rurales por  nivel de riesgo sanitario  subregión Norte - Antioquia - Colombia  2019</a:t>
            </a:r>
          </a:p>
        </c:rich>
      </c:tx>
      <c:overlay val="1"/>
      <c:spPr>
        <a:scene3d>
          <a:camera prst="orthographicFront"/>
          <a:lightRig rig="threePt" dir="t"/>
        </a:scene3d>
        <a:sp3d>
          <a:bevelB/>
        </a:sp3d>
      </c:spPr>
    </c:title>
    <c:autoTitleDeleted val="0"/>
    <c:plotArea>
      <c:layout>
        <c:manualLayout>
          <c:layoutTarget val="inner"/>
          <c:xMode val="edge"/>
          <c:yMode val="edge"/>
          <c:x val="0.21014317301823926"/>
          <c:y val="0.2080573725184732"/>
          <c:w val="0.69094811687293856"/>
          <c:h val="0.66975581216643609"/>
        </c:manualLayout>
      </c:layout>
      <c:barChart>
        <c:barDir val="bar"/>
        <c:grouping val="stacked"/>
        <c:varyColors val="0"/>
        <c:ser>
          <c:idx val="1"/>
          <c:order val="1"/>
          <c:tx>
            <c:strRef>
              <c:f>'CONSOLIDADO-ACUEDUCTOSRURALES2'!$B$55</c:f>
              <c:strCache>
                <c:ptCount val="1"/>
                <c:pt idx="0">
                  <c:v>Número de Sistemas</c:v>
                </c:pt>
              </c:strCache>
            </c:strRef>
          </c:tx>
          <c:spPr>
            <a:solidFill>
              <a:schemeClr val="bg1">
                <a:lumMod val="85000"/>
              </a:schemeClr>
            </a:solidFill>
          </c:spPr>
          <c:invertIfNegative val="0"/>
          <c:dLbls>
            <c:dLbl>
              <c:idx val="0"/>
              <c:layout>
                <c:manualLayout>
                  <c:x val="0.16433701187605684"/>
                  <c:y val="2.57174298649809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4A-4247-A780-888D2B64B2DC}"/>
                </c:ext>
              </c:extLst>
            </c:dLbl>
            <c:dLbl>
              <c:idx val="1"/>
              <c:layout>
                <c:manualLayout>
                  <c:x val="4.5743195696471839E-2"/>
                  <c:y val="3.226819386650204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4A-4247-A780-888D2B64B2DC}"/>
                </c:ext>
              </c:extLst>
            </c:dLbl>
            <c:dLbl>
              <c:idx val="2"/>
              <c:layout>
                <c:manualLayout>
                  <c:x val="5.0825921219822143E-2"/>
                  <c:y val="5.14569692827962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4A-4247-A780-888D2B64B2DC}"/>
                </c:ext>
              </c:extLst>
            </c:dLbl>
            <c:dLbl>
              <c:idx val="3"/>
              <c:layout>
                <c:manualLayout>
                  <c:x val="0.21685726387124099"/>
                  <c:y val="2.55264837268666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A-4247-A780-888D2B64B2DC}"/>
                </c:ext>
              </c:extLst>
            </c:dLbl>
            <c:dLbl>
              <c:idx val="4"/>
              <c:layout>
                <c:manualLayout>
                  <c:x val="0.35408685096065645"/>
                  <c:y val="2.56832605560552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A-4247-A780-888D2B64B2DC}"/>
                </c:ext>
              </c:extLst>
            </c:dLbl>
            <c:dLbl>
              <c:idx val="5"/>
              <c:layout>
                <c:manualLayout>
                  <c:x val="0.3442610397969631"/>
                  <c:y val="-7.65834710992970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A-4247-A780-888D2B64B2DC}"/>
                </c:ext>
              </c:extLst>
            </c:dLbl>
            <c:spPr>
              <a:noFill/>
              <a:ln>
                <a:noFill/>
              </a:ln>
              <a:effectLst/>
            </c:spPr>
            <c:txPr>
              <a:bodyPr/>
              <a:lstStyle/>
              <a:p>
                <a:pPr>
                  <a:defRPr sz="1100" b="0"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('CONSOLIDADO-ACUEDUCTOSRURALES2'!$D$55,'CONSOLIDADO-ACUEDUCTOSRURALES2'!$F$55,'CONSOLIDADO-ACUEDUCTOSRURALES2'!$H$55,'CONSOLIDADO-ACUEDUCTOSRURALES2'!$J$55,'CONSOLIDADO-ACUEDUCTOSRURALES2'!$L$55,'CONSOLIDADO-ACUEDUCTOSRURALES2'!$N$55)</c:f>
              <c:strCache>
                <c:ptCount val="6"/>
                <c:pt idx="0">
                  <c:v>Sin Riesgo</c:v>
                </c:pt>
                <c:pt idx="1">
                  <c:v>Bajo</c:v>
                </c:pt>
                <c:pt idx="2">
                  <c:v>Medio</c:v>
                </c:pt>
                <c:pt idx="3">
                  <c:v>Alto</c:v>
                </c:pt>
                <c:pt idx="4">
                  <c:v>Inviable Sanitariamente</c:v>
                </c:pt>
                <c:pt idx="5">
                  <c:v>Sin Dato</c:v>
                </c:pt>
              </c:strCache>
            </c:strRef>
          </c:cat>
          <c:val>
            <c:numRef>
              <c:f>('CONSOLIDADO-ACUEDUCTOSRURALES2'!$D$73,'CONSOLIDADO-ACUEDUCTOSRURALES2'!$F$73,'CONSOLIDADO-ACUEDUCTOSRURALES2'!$H$73,'CONSOLIDADO-ACUEDUCTOSRURALES2'!$J$73,'CONSOLIDADO-ACUEDUCTOSRURALES2'!$L$73,'CONSOLIDADO-ACUEDUCTOSRURALES2'!$N$73)</c:f>
              <c:numCache>
                <c:formatCode>General</c:formatCode>
                <c:ptCount val="6"/>
                <c:pt idx="0">
                  <c:v>30</c:v>
                </c:pt>
                <c:pt idx="1">
                  <c:v>6</c:v>
                </c:pt>
                <c:pt idx="2">
                  <c:v>8</c:v>
                </c:pt>
                <c:pt idx="3">
                  <c:v>49</c:v>
                </c:pt>
                <c:pt idx="4">
                  <c:v>84</c:v>
                </c:pt>
                <c:pt idx="5">
                  <c:v>82</c:v>
                </c:pt>
              </c:numCache>
            </c:numRef>
          </c:val>
          <c:extLst>
            <c:ext xmlns:c16="http://schemas.microsoft.com/office/drawing/2014/chart" uri="{C3380CC4-5D6E-409C-BE32-E72D297353CC}">
              <c16:uniqueId val="{00000006-AD4A-4247-A780-888D2B64B2DC}"/>
            </c:ext>
          </c:extLst>
        </c:ser>
        <c:dLbls>
          <c:showLegendKey val="0"/>
          <c:showVal val="0"/>
          <c:showCatName val="0"/>
          <c:showSerName val="0"/>
          <c:showPercent val="0"/>
          <c:showBubbleSize val="0"/>
        </c:dLbls>
        <c:gapWidth val="136"/>
        <c:overlap val="-5"/>
        <c:axId val="187538720"/>
        <c:axId val="187539280"/>
      </c:barChart>
      <c:barChart>
        <c:barDir val="bar"/>
        <c:grouping val="stacked"/>
        <c:varyColors val="0"/>
        <c:ser>
          <c:idx val="0"/>
          <c:order val="0"/>
          <c:tx>
            <c:strRef>
              <c:f>'CONSOLIDADO-ACUEDUCTOSRURALES2'!$C$55</c:f>
              <c:strCache>
                <c:ptCount val="1"/>
                <c:pt idx="0">
                  <c:v>%</c:v>
                </c:pt>
              </c:strCache>
            </c:strRef>
          </c:tx>
          <c:spPr>
            <a:scene3d>
              <a:camera prst="orthographicFront"/>
              <a:lightRig rig="threePt" dir="t"/>
            </a:scene3d>
            <a:sp3d/>
          </c:spPr>
          <c:invertIfNegative val="0"/>
          <c:dPt>
            <c:idx val="0"/>
            <c:invertIfNegative val="0"/>
            <c:bubble3D val="0"/>
            <c:spPr>
              <a:solidFill>
                <a:schemeClr val="tx2">
                  <a:lumMod val="60000"/>
                  <a:lumOff val="40000"/>
                </a:schemeClr>
              </a:solidFill>
              <a:scene3d>
                <a:camera prst="orthographicFront"/>
                <a:lightRig rig="threePt" dir="t"/>
              </a:scene3d>
              <a:sp3d/>
            </c:spPr>
            <c:extLst>
              <c:ext xmlns:c16="http://schemas.microsoft.com/office/drawing/2014/chart" uri="{C3380CC4-5D6E-409C-BE32-E72D297353CC}">
                <c16:uniqueId val="{00000008-AD4A-4247-A780-888D2B64B2DC}"/>
              </c:ext>
            </c:extLst>
          </c:dPt>
          <c:dPt>
            <c:idx val="1"/>
            <c:invertIfNegative val="0"/>
            <c:bubble3D val="0"/>
            <c:spPr>
              <a:solidFill>
                <a:srgbClr val="92D050"/>
              </a:solidFill>
              <a:scene3d>
                <a:camera prst="orthographicFront"/>
                <a:lightRig rig="threePt" dir="t"/>
              </a:scene3d>
              <a:sp3d/>
            </c:spPr>
            <c:extLst>
              <c:ext xmlns:c16="http://schemas.microsoft.com/office/drawing/2014/chart" uri="{C3380CC4-5D6E-409C-BE32-E72D297353CC}">
                <c16:uniqueId val="{0000000A-AD4A-4247-A780-888D2B64B2DC}"/>
              </c:ext>
            </c:extLst>
          </c:dPt>
          <c:dPt>
            <c:idx val="2"/>
            <c:invertIfNegative val="0"/>
            <c:bubble3D val="0"/>
            <c:spPr>
              <a:solidFill>
                <a:srgbClr val="FFFF00"/>
              </a:solidFill>
              <a:scene3d>
                <a:camera prst="orthographicFront"/>
                <a:lightRig rig="threePt" dir="t"/>
              </a:scene3d>
              <a:sp3d/>
            </c:spPr>
            <c:extLst>
              <c:ext xmlns:c16="http://schemas.microsoft.com/office/drawing/2014/chart" uri="{C3380CC4-5D6E-409C-BE32-E72D297353CC}">
                <c16:uniqueId val="{0000000C-AD4A-4247-A780-888D2B64B2DC}"/>
              </c:ext>
            </c:extLst>
          </c:dPt>
          <c:dPt>
            <c:idx val="3"/>
            <c:invertIfNegative val="0"/>
            <c:bubble3D val="0"/>
            <c:spPr>
              <a:solidFill>
                <a:schemeClr val="accent6">
                  <a:lumMod val="75000"/>
                </a:schemeClr>
              </a:solidFill>
              <a:scene3d>
                <a:camera prst="orthographicFront"/>
                <a:lightRig rig="threePt" dir="t"/>
              </a:scene3d>
              <a:sp3d/>
            </c:spPr>
            <c:extLst>
              <c:ext xmlns:c16="http://schemas.microsoft.com/office/drawing/2014/chart" uri="{C3380CC4-5D6E-409C-BE32-E72D297353CC}">
                <c16:uniqueId val="{0000000E-AD4A-4247-A780-888D2B64B2DC}"/>
              </c:ext>
            </c:extLst>
          </c:dPt>
          <c:dPt>
            <c:idx val="4"/>
            <c:invertIfNegative val="0"/>
            <c:bubble3D val="0"/>
            <c:spPr>
              <a:solidFill>
                <a:srgbClr val="C00000"/>
              </a:solidFill>
              <a:scene3d>
                <a:camera prst="orthographicFront"/>
                <a:lightRig rig="threePt" dir="t"/>
              </a:scene3d>
              <a:sp3d/>
            </c:spPr>
            <c:extLst>
              <c:ext xmlns:c16="http://schemas.microsoft.com/office/drawing/2014/chart" uri="{C3380CC4-5D6E-409C-BE32-E72D297353CC}">
                <c16:uniqueId val="{00000010-AD4A-4247-A780-888D2B64B2DC}"/>
              </c:ext>
            </c:extLst>
          </c:dPt>
          <c:dPt>
            <c:idx val="5"/>
            <c:invertIfNegative val="0"/>
            <c:bubble3D val="0"/>
            <c:spPr>
              <a:solidFill>
                <a:schemeClr val="tx1">
                  <a:lumMod val="50000"/>
                  <a:lumOff val="50000"/>
                </a:schemeClr>
              </a:solidFill>
              <a:scene3d>
                <a:camera prst="orthographicFront"/>
                <a:lightRig rig="threePt" dir="t"/>
              </a:scene3d>
              <a:sp3d/>
            </c:spPr>
            <c:extLst>
              <c:ext xmlns:c16="http://schemas.microsoft.com/office/drawing/2014/chart" uri="{C3380CC4-5D6E-409C-BE32-E72D297353CC}">
                <c16:uniqueId val="{00000012-AD4A-4247-A780-888D2B64B2DC}"/>
              </c:ext>
            </c:extLst>
          </c:dPt>
          <c:dLbls>
            <c:dLbl>
              <c:idx val="0"/>
              <c:layout>
                <c:manualLayout>
                  <c:x val="-2.4780638125443976E-3"/>
                  <c:y val="5.1703730384718618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A-4247-A780-888D2B64B2DC}"/>
                </c:ext>
              </c:extLst>
            </c:dLbl>
            <c:dLbl>
              <c:idx val="2"/>
              <c:layout>
                <c:manualLayout>
                  <c:x val="-7.0223814145214062E-3"/>
                  <c:y val="2.9951698821339763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4A-4247-A780-888D2B64B2DC}"/>
                </c:ext>
              </c:extLst>
            </c:dLbl>
            <c:dLbl>
              <c:idx val="3"/>
              <c:layout>
                <c:manualLayout>
                  <c:x val="-3.1534082382014827E-2"/>
                  <c:y val="4.7559658105914811E-3"/>
                </c:manualLayout>
              </c:layout>
              <c:numFmt formatCode="#,##0.00" sourceLinked="0"/>
              <c:spPr/>
              <c:txPr>
                <a:bodyPr/>
                <a:lstStyle/>
                <a:p>
                  <a:pPr>
                    <a:defRPr sz="1200" b="1" i="0" u="none" strike="noStrike" baseline="0">
                      <a:solidFill>
                        <a:srgbClr val="000000"/>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D4A-4247-A780-888D2B64B2DC}"/>
                </c:ext>
              </c:extLst>
            </c:dLbl>
            <c:dLbl>
              <c:idx val="4"/>
              <c:layout>
                <c:manualLayout>
                  <c:x val="5.8401784910304564E-3"/>
                  <c:y val="1.7638599772729091E-3"/>
                </c:manualLayout>
              </c:layout>
              <c:numFmt formatCode="#,##0.00" sourceLinked="0"/>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D4A-4247-A780-888D2B64B2DC}"/>
                </c:ext>
              </c:extLst>
            </c:dLbl>
            <c:dLbl>
              <c:idx val="5"/>
              <c:layout>
                <c:manualLayout>
                  <c:x val="7.0845464520238651E-3"/>
                  <c:y val="4.5846280709164232E-3"/>
                </c:manualLayout>
              </c:layout>
              <c:numFmt formatCode="#,##0.00" sourceLinked="0"/>
              <c:spPr/>
              <c:txPr>
                <a:bodyPr/>
                <a:lstStyle/>
                <a:p>
                  <a:pPr>
                    <a:defRPr sz="1200" b="1" i="0" u="none" strike="noStrike" baseline="0">
                      <a:solidFill>
                        <a:srgbClr val="FFFFFF"/>
                      </a:solidFill>
                      <a:latin typeface="Verdana"/>
                      <a:ea typeface="Verdana"/>
                      <a:cs typeface="Verdana"/>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D4A-4247-A780-888D2B64B2DC}"/>
                </c:ext>
              </c:extLst>
            </c:dLbl>
            <c:numFmt formatCode="#,##0.00" sourceLinked="0"/>
            <c:spPr>
              <a:noFill/>
              <a:ln w="25400">
                <a:noFill/>
              </a:ln>
            </c:spPr>
            <c:txPr>
              <a:bodyPr/>
              <a:lstStyle/>
              <a:p>
                <a:pPr>
                  <a:defRPr sz="1200" b="1" i="0" u="none" strike="noStrike" baseline="0">
                    <a:solidFill>
                      <a:srgbClr val="000000"/>
                    </a:solidFill>
                    <a:latin typeface="Verdana"/>
                    <a:ea typeface="Verdana"/>
                    <a:cs typeface="Verdana"/>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('CONSOLIDADO-ACUEDUCTOSRURALES2'!$D$7,'CONSOLIDADO-ACUEDUCTOSRURALES2'!$F$7,'CONSOLIDADO-ACUEDUCTOSRURALES2'!$H$7,'CONSOLIDADO-ACUEDUCTOSRURALES2'!$J$7,'CONSOLIDADO-ACUEDUCTOSRURALES2'!$L$7,'CONSOLIDADO-ACUEDUCTOSRURALES2'!$N$7)</c:f>
              <c:strCache>
                <c:ptCount val="6"/>
                <c:pt idx="0">
                  <c:v>Sin Riesgo</c:v>
                </c:pt>
                <c:pt idx="1">
                  <c:v>Bajo</c:v>
                </c:pt>
                <c:pt idx="2">
                  <c:v>Medio</c:v>
                </c:pt>
                <c:pt idx="3">
                  <c:v>Alto</c:v>
                </c:pt>
                <c:pt idx="4">
                  <c:v>Inviable Sanitariamente</c:v>
                </c:pt>
                <c:pt idx="5">
                  <c:v>Sin Dato</c:v>
                </c:pt>
              </c:strCache>
            </c:strRef>
          </c:cat>
          <c:val>
            <c:numRef>
              <c:f>('CONSOLIDADO-ACUEDUCTOSRURALES2'!$E$73,'CONSOLIDADO-ACUEDUCTOSRURALES2'!$G$73,'CONSOLIDADO-ACUEDUCTOSRURALES2'!$I$73,'CONSOLIDADO-ACUEDUCTOSRURALES2'!$K$73,'CONSOLIDADO-ACUEDUCTOSRURALES2'!$M$73,'CONSOLIDADO-ACUEDUCTOSRURALES2'!$O$73)</c:f>
              <c:numCache>
                <c:formatCode>0.0</c:formatCode>
                <c:ptCount val="6"/>
                <c:pt idx="0">
                  <c:v>11.583011583011583</c:v>
                </c:pt>
                <c:pt idx="1">
                  <c:v>2.3166023166023164</c:v>
                </c:pt>
                <c:pt idx="2">
                  <c:v>3.0888030888030888</c:v>
                </c:pt>
                <c:pt idx="3">
                  <c:v>18.918918918918919</c:v>
                </c:pt>
                <c:pt idx="4">
                  <c:v>32.432432432432435</c:v>
                </c:pt>
                <c:pt idx="5">
                  <c:v>31.660231660231659</c:v>
                </c:pt>
              </c:numCache>
            </c:numRef>
          </c:val>
          <c:extLst>
            <c:ext xmlns:c16="http://schemas.microsoft.com/office/drawing/2014/chart" uri="{C3380CC4-5D6E-409C-BE32-E72D297353CC}">
              <c16:uniqueId val="{00000013-AD4A-4247-A780-888D2B64B2DC}"/>
            </c:ext>
          </c:extLst>
        </c:ser>
        <c:dLbls>
          <c:showLegendKey val="0"/>
          <c:showVal val="0"/>
          <c:showCatName val="0"/>
          <c:showSerName val="0"/>
          <c:showPercent val="0"/>
          <c:showBubbleSize val="0"/>
        </c:dLbls>
        <c:gapWidth val="135"/>
        <c:overlap val="-5"/>
        <c:axId val="187539840"/>
        <c:axId val="187540400"/>
      </c:barChart>
      <c:catAx>
        <c:axId val="187538720"/>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s-ES"/>
          </a:p>
        </c:txPr>
        <c:crossAx val="187539280"/>
        <c:crosses val="autoZero"/>
        <c:auto val="1"/>
        <c:lblAlgn val="ctr"/>
        <c:lblOffset val="100"/>
        <c:noMultiLvlLbl val="0"/>
      </c:catAx>
      <c:valAx>
        <c:axId val="187539280"/>
        <c:scaling>
          <c:orientation val="minMax"/>
          <c:max val="90"/>
          <c:min val="0"/>
        </c:scaling>
        <c:delete val="0"/>
        <c:axPos val="b"/>
        <c:majorGridlines/>
        <c:title>
          <c:tx>
            <c:rich>
              <a:bodyPr/>
              <a:lstStyle/>
              <a:p>
                <a:pPr>
                  <a:defRPr sz="1200" b="0" i="0" u="none" strike="noStrike" baseline="0">
                    <a:solidFill>
                      <a:srgbClr val="000000"/>
                    </a:solidFill>
                    <a:latin typeface="Arial"/>
                    <a:ea typeface="Arial"/>
                    <a:cs typeface="Arial"/>
                  </a:defRPr>
                </a:pPr>
                <a:r>
                  <a:rPr lang="es-CO"/>
                  <a:t>Numero  de Acueductos</a:t>
                </a:r>
              </a:p>
            </c:rich>
          </c:tx>
          <c:layout>
            <c:manualLayout>
              <c:xMode val="edge"/>
              <c:yMode val="edge"/>
              <c:x val="0.4403355044405981"/>
              <c:y val="0.9292419269509119"/>
            </c:manualLayout>
          </c:layout>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38720"/>
        <c:crosses val="autoZero"/>
        <c:crossBetween val="between"/>
      </c:valAx>
      <c:catAx>
        <c:axId val="187539840"/>
        <c:scaling>
          <c:orientation val="minMax"/>
        </c:scaling>
        <c:delete val="1"/>
        <c:axPos val="l"/>
        <c:numFmt formatCode="General" sourceLinked="1"/>
        <c:majorTickMark val="out"/>
        <c:minorTickMark val="none"/>
        <c:tickLblPos val="nextTo"/>
        <c:crossAx val="187540400"/>
        <c:crosses val="autoZero"/>
        <c:auto val="1"/>
        <c:lblAlgn val="ctr"/>
        <c:lblOffset val="100"/>
        <c:noMultiLvlLbl val="0"/>
      </c:catAx>
      <c:valAx>
        <c:axId val="187540400"/>
        <c:scaling>
          <c:orientation val="minMax"/>
          <c:max val="40"/>
          <c:min val="0"/>
        </c:scaling>
        <c:delete val="0"/>
        <c:axPos val="t"/>
        <c:title>
          <c:tx>
            <c:rich>
              <a:bodyPr/>
              <a:lstStyle/>
              <a:p>
                <a:pPr>
                  <a:defRPr sz="1200" b="0" i="0" u="none" strike="noStrike" baseline="0">
                    <a:solidFill>
                      <a:srgbClr val="000000"/>
                    </a:solidFill>
                    <a:latin typeface="Arial"/>
                    <a:ea typeface="Arial"/>
                    <a:cs typeface="Arial"/>
                  </a:defRPr>
                </a:pPr>
                <a:r>
                  <a:rPr lang="es-CO"/>
                  <a:t>Porcentaje</a:t>
                </a:r>
              </a:p>
            </c:rich>
          </c:tx>
          <c:layout>
            <c:manualLayout>
              <c:xMode val="edge"/>
              <c:yMode val="edge"/>
              <c:x val="0.49828972776115821"/>
              <c:y val="0.10547359662234002"/>
            </c:manualLayout>
          </c:layout>
          <c:overlay val="0"/>
        </c:title>
        <c:numFmt formatCode="0.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39840"/>
        <c:crosses val="max"/>
        <c:crossBetween val="between"/>
      </c:valAx>
      <c:spPr>
        <a:noFill/>
        <a:ln w="25400">
          <a:noFill/>
        </a:ln>
      </c:spPr>
    </c:plotArea>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Arial"/>
                <a:cs typeface="Arial"/>
              </a:rPr>
              <a:t>Gráfico  9</a:t>
            </a:r>
            <a:r>
              <a:rPr lang="es-CO" sz="1200" b="0" i="0" u="none" strike="noStrike" baseline="0">
                <a:solidFill>
                  <a:srgbClr val="000000"/>
                </a:solidFill>
                <a:latin typeface="Arial"/>
                <a:cs typeface="Arial"/>
              </a:rPr>
              <a:t>. Número y porcentaje de acueductos rurales  subregión </a:t>
            </a:r>
          </a:p>
          <a:p>
            <a:pPr>
              <a:defRPr sz="1000" b="0" i="0" u="none" strike="noStrike" baseline="0">
                <a:solidFill>
                  <a:srgbClr val="000000"/>
                </a:solidFill>
                <a:latin typeface="Calibri"/>
                <a:ea typeface="Calibri"/>
                <a:cs typeface="Calibri"/>
              </a:defRPr>
            </a:pPr>
            <a:r>
              <a:rPr lang="es-CO" sz="1200" b="0" i="0" u="none" strike="noStrike" baseline="0">
                <a:solidFill>
                  <a:srgbClr val="000000"/>
                </a:solidFill>
                <a:latin typeface="Arial"/>
                <a:cs typeface="Arial"/>
              </a:rPr>
              <a:t>Occidente - Antioquia- Colombia 2019</a:t>
            </a:r>
          </a:p>
        </c:rich>
      </c:tx>
      <c:layout>
        <c:manualLayout>
          <c:xMode val="edge"/>
          <c:yMode val="edge"/>
          <c:x val="0.17977430486163851"/>
          <c:y val="1.1976032065759222E-2"/>
        </c:manualLayout>
      </c:layout>
      <c:overlay val="0"/>
    </c:title>
    <c:autoTitleDeleted val="0"/>
    <c:plotArea>
      <c:layout>
        <c:manualLayout>
          <c:layoutTarget val="inner"/>
          <c:xMode val="edge"/>
          <c:yMode val="edge"/>
          <c:x val="0.16299738642606248"/>
          <c:y val="0.11739752530933634"/>
          <c:w val="0.71471119175642162"/>
          <c:h val="0.62037605299337584"/>
        </c:manualLayout>
      </c:layout>
      <c:barChart>
        <c:barDir val="col"/>
        <c:grouping val="clustered"/>
        <c:varyColors val="0"/>
        <c:ser>
          <c:idx val="0"/>
          <c:order val="0"/>
          <c:tx>
            <c:strRef>
              <c:f>'CONSOLIDADO-ACUEDUCTOSRURALES2'!$B$78</c:f>
              <c:strCache>
                <c:ptCount val="1"/>
                <c:pt idx="0">
                  <c:v>Número de Sistemas</c:v>
                </c:pt>
              </c:strCache>
            </c:strRef>
          </c:tx>
          <c:spPr>
            <a:solidFill>
              <a:schemeClr val="tx1">
                <a:lumMod val="65000"/>
                <a:lumOff val="35000"/>
              </a:schemeClr>
            </a:solid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'CONSOLIDADO-ACUEDUCTOSRURALES2'!$A$79:$A$97</c:f>
              <c:strCache>
                <c:ptCount val="19"/>
                <c:pt idx="0">
                  <c:v>Abriaqui</c:v>
                </c:pt>
                <c:pt idx="1">
                  <c:v>Anza</c:v>
                </c:pt>
                <c:pt idx="2">
                  <c:v>Armenia</c:v>
                </c:pt>
                <c:pt idx="3">
                  <c:v>Buritica</c:v>
                </c:pt>
                <c:pt idx="4">
                  <c:v>Caicedo</c:v>
                </c:pt>
                <c:pt idx="5">
                  <c:v>Cañas gordas</c:v>
                </c:pt>
                <c:pt idx="6">
                  <c:v>Dabeiba</c:v>
                </c:pt>
                <c:pt idx="7">
                  <c:v>Ebejico</c:v>
                </c:pt>
                <c:pt idx="8">
                  <c:v>Frontino</c:v>
                </c:pt>
                <c:pt idx="9">
                  <c:v>Giraldo</c:v>
                </c:pt>
                <c:pt idx="10">
                  <c:v>Heliconia</c:v>
                </c:pt>
                <c:pt idx="11">
                  <c:v>Liborina</c:v>
                </c:pt>
                <c:pt idx="12">
                  <c:v>Olaya</c:v>
                </c:pt>
                <c:pt idx="13">
                  <c:v>Peque</c:v>
                </c:pt>
                <c:pt idx="14">
                  <c:v>Sabanalarga</c:v>
                </c:pt>
                <c:pt idx="15">
                  <c:v>San Jerónimo</c:v>
                </c:pt>
                <c:pt idx="16">
                  <c:v>Santa Fe de Antioquia</c:v>
                </c:pt>
                <c:pt idx="17">
                  <c:v>Sopetran</c:v>
                </c:pt>
                <c:pt idx="18">
                  <c:v>Uramita</c:v>
                </c:pt>
              </c:strCache>
            </c:strRef>
          </c:cat>
          <c:val>
            <c:numRef>
              <c:f>'CONSOLIDADO-ACUEDUCTOSRURALES2'!$B$79:$B$97</c:f>
              <c:numCache>
                <c:formatCode>General</c:formatCode>
                <c:ptCount val="19"/>
                <c:pt idx="0">
                  <c:v>7</c:v>
                </c:pt>
                <c:pt idx="1">
                  <c:v>18</c:v>
                </c:pt>
                <c:pt idx="2">
                  <c:v>4</c:v>
                </c:pt>
                <c:pt idx="3">
                  <c:v>38</c:v>
                </c:pt>
                <c:pt idx="4">
                  <c:v>18</c:v>
                </c:pt>
                <c:pt idx="5">
                  <c:v>70</c:v>
                </c:pt>
                <c:pt idx="6">
                  <c:v>29</c:v>
                </c:pt>
                <c:pt idx="7">
                  <c:v>45</c:v>
                </c:pt>
                <c:pt idx="8">
                  <c:v>46</c:v>
                </c:pt>
                <c:pt idx="9">
                  <c:v>22</c:v>
                </c:pt>
                <c:pt idx="10">
                  <c:v>13</c:v>
                </c:pt>
                <c:pt idx="11">
                  <c:v>33</c:v>
                </c:pt>
                <c:pt idx="12">
                  <c:v>8</c:v>
                </c:pt>
                <c:pt idx="13">
                  <c:v>32</c:v>
                </c:pt>
                <c:pt idx="14">
                  <c:v>26</c:v>
                </c:pt>
                <c:pt idx="15">
                  <c:v>28</c:v>
                </c:pt>
                <c:pt idx="16">
                  <c:v>37</c:v>
                </c:pt>
                <c:pt idx="17">
                  <c:v>27</c:v>
                </c:pt>
                <c:pt idx="18">
                  <c:v>17</c:v>
                </c:pt>
              </c:numCache>
            </c:numRef>
          </c:val>
          <c:extLst>
            <c:ext xmlns:c16="http://schemas.microsoft.com/office/drawing/2014/chart" uri="{C3380CC4-5D6E-409C-BE32-E72D297353CC}">
              <c16:uniqueId val="{00000000-8EBA-4B19-B0D1-CA851B25B12A}"/>
            </c:ext>
          </c:extLst>
        </c:ser>
        <c:dLbls>
          <c:showLegendKey val="0"/>
          <c:showVal val="0"/>
          <c:showCatName val="0"/>
          <c:showSerName val="0"/>
          <c:showPercent val="0"/>
          <c:showBubbleSize val="0"/>
        </c:dLbls>
        <c:gapWidth val="148"/>
        <c:overlap val="-78"/>
        <c:axId val="187543760"/>
        <c:axId val="187934208"/>
      </c:barChart>
      <c:barChart>
        <c:barDir val="col"/>
        <c:grouping val="clustered"/>
        <c:varyColors val="0"/>
        <c:ser>
          <c:idx val="1"/>
          <c:order val="1"/>
          <c:tx>
            <c:strRef>
              <c:f>'CONSOLIDADO-ACUEDUCTOSRURALES2'!$C$78</c:f>
              <c:strCache>
                <c:ptCount val="1"/>
                <c:pt idx="0">
                  <c:v>%</c:v>
                </c:pt>
              </c:strCache>
            </c:strRef>
          </c:tx>
          <c:spPr>
            <a:pattFill prst="ltDnDiag">
              <a:fgClr>
                <a:schemeClr val="tx2">
                  <a:lumMod val="60000"/>
                  <a:lumOff val="40000"/>
                </a:schemeClr>
              </a:fgClr>
              <a:bgClr>
                <a:schemeClr val="bg1"/>
              </a:bgClr>
            </a:pattFill>
            <a:scene3d>
              <a:camera prst="orthographicFront"/>
              <a:lightRig rig="threePt" dir="t"/>
            </a:scene3d>
            <a:sp3d/>
          </c:spPr>
          <c:invertIfNegative val="0"/>
          <c:dLbls>
            <c:spPr>
              <a:noFill/>
              <a:ln w="25400">
                <a:noFill/>
              </a:ln>
            </c:spPr>
            <c:txPr>
              <a:bodyPr rot="-5400000" vert="horz"/>
              <a:lstStyle/>
              <a:p>
                <a:pPr>
                  <a:defRPr sz="1400" b="1" i="0" u="none" strike="noStrike" baseline="0">
                    <a:solidFill>
                      <a:srgbClr val="000000"/>
                    </a:solidFill>
                    <a:latin typeface="Calibri"/>
                    <a:ea typeface="Calibri"/>
                    <a:cs typeface="Calibri"/>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'CONSOLIDADO-ACUEDUCTOSRURALES2'!$A$79:$A$97</c:f>
              <c:strCache>
                <c:ptCount val="19"/>
                <c:pt idx="0">
                  <c:v>Abriaqui</c:v>
                </c:pt>
                <c:pt idx="1">
                  <c:v>Anza</c:v>
                </c:pt>
                <c:pt idx="2">
                  <c:v>Armenia</c:v>
                </c:pt>
                <c:pt idx="3">
                  <c:v>Buritica</c:v>
                </c:pt>
                <c:pt idx="4">
                  <c:v>Caicedo</c:v>
                </c:pt>
                <c:pt idx="5">
                  <c:v>Cañas gordas</c:v>
                </c:pt>
                <c:pt idx="6">
                  <c:v>Dabeiba</c:v>
                </c:pt>
                <c:pt idx="7">
                  <c:v>Ebejico</c:v>
                </c:pt>
                <c:pt idx="8">
                  <c:v>Frontino</c:v>
                </c:pt>
                <c:pt idx="9">
                  <c:v>Giraldo</c:v>
                </c:pt>
                <c:pt idx="10">
                  <c:v>Heliconia</c:v>
                </c:pt>
                <c:pt idx="11">
                  <c:v>Liborina</c:v>
                </c:pt>
                <c:pt idx="12">
                  <c:v>Olaya</c:v>
                </c:pt>
                <c:pt idx="13">
                  <c:v>Peque</c:v>
                </c:pt>
                <c:pt idx="14">
                  <c:v>Sabanalarga</c:v>
                </c:pt>
                <c:pt idx="15">
                  <c:v>San Jerónimo</c:v>
                </c:pt>
                <c:pt idx="16">
                  <c:v>Santa Fe de Antioquia</c:v>
                </c:pt>
                <c:pt idx="17">
                  <c:v>Sopetran</c:v>
                </c:pt>
                <c:pt idx="18">
                  <c:v>Uramita</c:v>
                </c:pt>
              </c:strCache>
            </c:strRef>
          </c:cat>
          <c:val>
            <c:numRef>
              <c:f>'CONSOLIDADO-ACUEDUCTOSRURALES2'!$C$79:$C$97</c:f>
              <c:numCache>
                <c:formatCode>0.0</c:formatCode>
                <c:ptCount val="19"/>
                <c:pt idx="0">
                  <c:v>1.3513513513513513</c:v>
                </c:pt>
                <c:pt idx="1">
                  <c:v>3.4749034749034751</c:v>
                </c:pt>
                <c:pt idx="2">
                  <c:v>0.77220077220077221</c:v>
                </c:pt>
                <c:pt idx="3">
                  <c:v>7.3359073359073363</c:v>
                </c:pt>
                <c:pt idx="4">
                  <c:v>3.4749034749034751</c:v>
                </c:pt>
                <c:pt idx="5">
                  <c:v>13.513513513513514</c:v>
                </c:pt>
                <c:pt idx="6">
                  <c:v>5.5984555984555984</c:v>
                </c:pt>
                <c:pt idx="7">
                  <c:v>8.6872586872586872</c:v>
                </c:pt>
                <c:pt idx="8">
                  <c:v>8.8803088803088812</c:v>
                </c:pt>
                <c:pt idx="9">
                  <c:v>4.2471042471042466</c:v>
                </c:pt>
                <c:pt idx="10">
                  <c:v>2.5096525096525095</c:v>
                </c:pt>
                <c:pt idx="11">
                  <c:v>6.3706563706563708</c:v>
                </c:pt>
                <c:pt idx="12">
                  <c:v>1.5444015444015444</c:v>
                </c:pt>
                <c:pt idx="13">
                  <c:v>6.1776061776061777</c:v>
                </c:pt>
                <c:pt idx="14">
                  <c:v>5.019305019305019</c:v>
                </c:pt>
                <c:pt idx="15">
                  <c:v>5.4054054054054053</c:v>
                </c:pt>
                <c:pt idx="16">
                  <c:v>7.1428571428571423</c:v>
                </c:pt>
                <c:pt idx="17">
                  <c:v>5.2123552123552122</c:v>
                </c:pt>
                <c:pt idx="18">
                  <c:v>3.2818532818532815</c:v>
                </c:pt>
              </c:numCache>
            </c:numRef>
          </c:val>
          <c:extLst>
            <c:ext xmlns:c16="http://schemas.microsoft.com/office/drawing/2014/chart" uri="{C3380CC4-5D6E-409C-BE32-E72D297353CC}">
              <c16:uniqueId val="{00000001-8EBA-4B19-B0D1-CA851B25B12A}"/>
            </c:ext>
          </c:extLst>
        </c:ser>
        <c:dLbls>
          <c:showLegendKey val="0"/>
          <c:showVal val="0"/>
          <c:showCatName val="0"/>
          <c:showSerName val="0"/>
          <c:showPercent val="0"/>
          <c:showBubbleSize val="0"/>
        </c:dLbls>
        <c:gapWidth val="150"/>
        <c:axId val="187934768"/>
        <c:axId val="187935328"/>
      </c:barChart>
      <c:catAx>
        <c:axId val="187543760"/>
        <c:scaling>
          <c:orientation val="minMax"/>
        </c:scaling>
        <c:delete val="0"/>
        <c:axPos val="b"/>
        <c:numFmt formatCode="General" sourceLinked="1"/>
        <c:majorTickMark val="none"/>
        <c:minorTickMark val="none"/>
        <c:tickLblPos val="nextTo"/>
        <c:txPr>
          <a:bodyPr rot="-3360000" vert="horz"/>
          <a:lstStyle/>
          <a:p>
            <a:pPr>
              <a:defRPr sz="1400" b="0" i="0" u="none" strike="noStrike" baseline="0">
                <a:solidFill>
                  <a:srgbClr val="000000"/>
                </a:solidFill>
                <a:latin typeface="Calibri"/>
                <a:ea typeface="Calibri"/>
                <a:cs typeface="Calibri"/>
              </a:defRPr>
            </a:pPr>
            <a:endParaRPr lang="es-ES"/>
          </a:p>
        </c:txPr>
        <c:crossAx val="187934208"/>
        <c:crossesAt val="0"/>
        <c:auto val="1"/>
        <c:lblAlgn val="ctr"/>
        <c:lblOffset val="100"/>
        <c:noMultiLvlLbl val="0"/>
      </c:catAx>
      <c:valAx>
        <c:axId val="187934208"/>
        <c:scaling>
          <c:orientation val="minMax"/>
          <c:max val="75"/>
          <c:min val="0"/>
        </c:scaling>
        <c:delete val="0"/>
        <c:axPos val="l"/>
        <c:majorGridlines/>
        <c:title>
          <c:tx>
            <c:rich>
              <a:bodyPr/>
              <a:lstStyle/>
              <a:p>
                <a:pPr>
                  <a:defRPr sz="1800" b="1" i="0" u="none" strike="noStrike" baseline="0">
                    <a:solidFill>
                      <a:srgbClr val="000000"/>
                    </a:solidFill>
                    <a:latin typeface="Calibri"/>
                    <a:ea typeface="Calibri"/>
                    <a:cs typeface="Calibri"/>
                  </a:defRPr>
                </a:pPr>
                <a:r>
                  <a:rPr lang="es-CO"/>
                  <a:t>Numero de Sistemas</a:t>
                </a:r>
              </a:p>
            </c:rich>
          </c:tx>
          <c:overlay val="0"/>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87543760"/>
        <c:crosses val="autoZero"/>
        <c:crossBetween val="between"/>
        <c:majorUnit val="5"/>
      </c:valAx>
      <c:catAx>
        <c:axId val="187934768"/>
        <c:scaling>
          <c:orientation val="minMax"/>
        </c:scaling>
        <c:delete val="1"/>
        <c:axPos val="b"/>
        <c:numFmt formatCode="General" sourceLinked="1"/>
        <c:majorTickMark val="out"/>
        <c:minorTickMark val="none"/>
        <c:tickLblPos val="nextTo"/>
        <c:crossAx val="187935328"/>
        <c:crosses val="autoZero"/>
        <c:auto val="1"/>
        <c:lblAlgn val="ctr"/>
        <c:lblOffset val="100"/>
        <c:noMultiLvlLbl val="0"/>
      </c:catAx>
      <c:valAx>
        <c:axId val="187935328"/>
        <c:scaling>
          <c:orientation val="minMax"/>
          <c:max val="30"/>
          <c:min val="0"/>
        </c:scaling>
        <c:delete val="0"/>
        <c:axPos val="r"/>
        <c:title>
          <c:tx>
            <c:rich>
              <a:bodyPr/>
              <a:lstStyle/>
              <a:p>
                <a:pPr>
                  <a:defRPr sz="2000" b="1" i="0" u="none" strike="noStrike" baseline="0">
                    <a:solidFill>
                      <a:srgbClr val="000000"/>
                    </a:solidFill>
                    <a:latin typeface="Calibri"/>
                    <a:ea typeface="Calibri"/>
                    <a:cs typeface="Calibri"/>
                  </a:defRPr>
                </a:pPr>
                <a:r>
                  <a:rPr lang="es-CO"/>
                  <a:t>Porcentaje</a:t>
                </a:r>
              </a:p>
            </c:rich>
          </c:tx>
          <c:overlay val="0"/>
        </c:title>
        <c:numFmt formatCode="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s-ES"/>
          </a:p>
        </c:txPr>
        <c:crossAx val="187934768"/>
        <c:crosses val="max"/>
        <c:crossBetween val="between"/>
      </c:valAx>
      <c:spPr>
        <a:solidFill>
          <a:sysClr val="window" lastClr="FFFFFF"/>
        </a:solidFill>
        <a:scene3d>
          <a:camera prst="orthographicFront"/>
          <a:lightRig rig="threePt" dir="t"/>
        </a:scene3d>
        <a:sp3d>
          <a:bevelT/>
          <a:bevelB/>
        </a:sp3d>
      </c:spPr>
    </c:plotArea>
    <c:legend>
      <c:legendPos val="t"/>
      <c:layout>
        <c:manualLayout>
          <c:xMode val="edge"/>
          <c:yMode val="edge"/>
          <c:x val="0.29130154415977189"/>
          <c:y val="0.92708824187674221"/>
          <c:w val="0.4600726114819404"/>
          <c:h val="6.0105800728397329E-2"/>
        </c:manualLayout>
      </c:layout>
      <c:overlay val="0"/>
      <c:txPr>
        <a:bodyPr/>
        <a:lstStyle/>
        <a:p>
          <a:pPr>
            <a:defRPr sz="1100" b="1" i="0" u="none" strike="noStrike" baseline="0">
              <a:solidFill>
                <a:srgbClr val="000000"/>
              </a:solidFill>
              <a:latin typeface="Arial"/>
              <a:ea typeface="Arial"/>
              <a:cs typeface="Arial"/>
            </a:defRPr>
          </a:pPr>
          <a:endParaRPr lang="es-ES"/>
        </a:p>
      </c:txPr>
    </c:legend>
    <c:plotVisOnly val="1"/>
    <c:dispBlanksAs val="gap"/>
    <c:showDLblsOverMax val="0"/>
  </c:chart>
  <c:spPr>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2.xml"/><Relationship Id="rId21" Type="http://schemas.openxmlformats.org/officeDocument/2006/relationships/chart" Target="../charts/chart20.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 Type="http://schemas.openxmlformats.org/officeDocument/2006/relationships/image" Target="../media/image2.png"/><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19" Type="http://schemas.openxmlformats.org/officeDocument/2006/relationships/chart" Target="../charts/chart18.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0</xdr:rowOff>
    </xdr:from>
    <xdr:to>
      <xdr:col>0</xdr:col>
      <xdr:colOff>2575001</xdr:colOff>
      <xdr:row>6</xdr:row>
      <xdr:rowOff>0</xdr:rowOff>
    </xdr:to>
    <xdr:pic>
      <xdr:nvPicPr>
        <xdr:cNvPr id="4880704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0"/>
          <a:ext cx="2527377"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219302</xdr:colOff>
      <xdr:row>0</xdr:row>
      <xdr:rowOff>47625</xdr:rowOff>
    </xdr:from>
    <xdr:to>
      <xdr:col>0</xdr:col>
      <xdr:colOff>2776310</xdr:colOff>
      <xdr:row>5</xdr:row>
      <xdr:rowOff>142875</xdr:rowOff>
    </xdr:to>
    <xdr:pic>
      <xdr:nvPicPr>
        <xdr:cNvPr id="4881830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302" y="47625"/>
          <a:ext cx="2557008"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704850</xdr:colOff>
      <xdr:row>0</xdr:row>
      <xdr:rowOff>28575</xdr:rowOff>
    </xdr:from>
    <xdr:to>
      <xdr:col>34</xdr:col>
      <xdr:colOff>581025</xdr:colOff>
      <xdr:row>17</xdr:row>
      <xdr:rowOff>0</xdr:rowOff>
    </xdr:to>
    <xdr:graphicFrame macro="">
      <xdr:nvGraphicFramePr>
        <xdr:cNvPr id="51162469"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27</xdr:col>
      <xdr:colOff>206375</xdr:colOff>
      <xdr:row>155</xdr:row>
      <xdr:rowOff>127000</xdr:rowOff>
    </xdr:from>
    <xdr:ext cx="184731" cy="264560"/>
    <xdr:sp macro="" textlink="">
      <xdr:nvSpPr>
        <xdr:cNvPr id="3" name="CuadroTexto 2"/>
        <xdr:cNvSpPr txBox="1"/>
      </xdr:nvSpPr>
      <xdr:spPr>
        <a:xfrm>
          <a:off x="20097750" y="461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238125</xdr:colOff>
      <xdr:row>160</xdr:row>
      <xdr:rowOff>127000</xdr:rowOff>
    </xdr:from>
    <xdr:ext cx="954898" cy="264560"/>
    <xdr:sp macro="" textlink="">
      <xdr:nvSpPr>
        <xdr:cNvPr id="4" name="CuadroTexto 3"/>
        <xdr:cNvSpPr txBox="1"/>
      </xdr:nvSpPr>
      <xdr:spPr>
        <a:xfrm>
          <a:off x="20129500" y="47132875"/>
          <a:ext cx="9548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a:p>
      </xdr:txBody>
    </xdr:sp>
    <xdr:clientData/>
  </xdr:oneCellAnchor>
  <xdr:oneCellAnchor>
    <xdr:from>
      <xdr:col>27</xdr:col>
      <xdr:colOff>381000</xdr:colOff>
      <xdr:row>179</xdr:row>
      <xdr:rowOff>95250</xdr:rowOff>
    </xdr:from>
    <xdr:ext cx="184731" cy="264560"/>
    <xdr:sp macro="" textlink="">
      <xdr:nvSpPr>
        <xdr:cNvPr id="7" name="CuadroTexto 6"/>
        <xdr:cNvSpPr txBox="1"/>
      </xdr:nvSpPr>
      <xdr:spPr>
        <a:xfrm>
          <a:off x="20272375" y="527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317500</xdr:colOff>
      <xdr:row>160</xdr:row>
      <xdr:rowOff>190501</xdr:rowOff>
    </xdr:from>
    <xdr:ext cx="1002523" cy="610952"/>
    <xdr:sp macro="" textlink="">
      <xdr:nvSpPr>
        <xdr:cNvPr id="5" name="CuadroTexto 4"/>
        <xdr:cNvSpPr txBox="1"/>
      </xdr:nvSpPr>
      <xdr:spPr>
        <a:xfrm>
          <a:off x="20208875" y="47196376"/>
          <a:ext cx="1002523" cy="610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oneCellAnchor>
    <xdr:from>
      <xdr:col>27</xdr:col>
      <xdr:colOff>333375</xdr:colOff>
      <xdr:row>161</xdr:row>
      <xdr:rowOff>15875</xdr:rowOff>
    </xdr:from>
    <xdr:ext cx="184731" cy="264560"/>
    <xdr:sp macro="" textlink="">
      <xdr:nvSpPr>
        <xdr:cNvPr id="6" name="CuadroTexto 5"/>
        <xdr:cNvSpPr txBox="1"/>
      </xdr:nvSpPr>
      <xdr:spPr>
        <a:xfrm>
          <a:off x="20224750" y="472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27</xdr:col>
      <xdr:colOff>492125</xdr:colOff>
      <xdr:row>179</xdr:row>
      <xdr:rowOff>95250</xdr:rowOff>
    </xdr:from>
    <xdr:ext cx="184731" cy="264560"/>
    <xdr:sp macro="" textlink="">
      <xdr:nvSpPr>
        <xdr:cNvPr id="2" name="CuadroTexto 1"/>
        <xdr:cNvSpPr txBox="1"/>
      </xdr:nvSpPr>
      <xdr:spPr>
        <a:xfrm>
          <a:off x="20383500" y="527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0</xdr:col>
      <xdr:colOff>142875</xdr:colOff>
      <xdr:row>0</xdr:row>
      <xdr:rowOff>85725</xdr:rowOff>
    </xdr:from>
    <xdr:to>
      <xdr:col>1</xdr:col>
      <xdr:colOff>825219</xdr:colOff>
      <xdr:row>5</xdr:row>
      <xdr:rowOff>269875</xdr:rowOff>
    </xdr:to>
    <xdr:pic>
      <xdr:nvPicPr>
        <xdr:cNvPr id="51162476" name="27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5725"/>
          <a:ext cx="2650844" cy="132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34925</xdr:colOff>
      <xdr:row>0</xdr:row>
      <xdr:rowOff>28575</xdr:rowOff>
    </xdr:from>
    <xdr:to>
      <xdr:col>24</xdr:col>
      <xdr:colOff>682625</xdr:colOff>
      <xdr:row>17</xdr:row>
      <xdr:rowOff>28575</xdr:rowOff>
    </xdr:to>
    <xdr:graphicFrame macro="">
      <xdr:nvGraphicFramePr>
        <xdr:cNvPr id="5116247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57150</xdr:colOff>
      <xdr:row>17</xdr:row>
      <xdr:rowOff>85725</xdr:rowOff>
    </xdr:from>
    <xdr:to>
      <xdr:col>24</xdr:col>
      <xdr:colOff>704850</xdr:colOff>
      <xdr:row>34</xdr:row>
      <xdr:rowOff>38100</xdr:rowOff>
    </xdr:to>
    <xdr:graphicFrame macro="">
      <xdr:nvGraphicFramePr>
        <xdr:cNvPr id="5116247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742950</xdr:colOff>
      <xdr:row>17</xdr:row>
      <xdr:rowOff>82550</xdr:rowOff>
    </xdr:from>
    <xdr:to>
      <xdr:col>34</xdr:col>
      <xdr:colOff>619125</xdr:colOff>
      <xdr:row>34</xdr:row>
      <xdr:rowOff>19050</xdr:rowOff>
    </xdr:to>
    <xdr:graphicFrame macro="">
      <xdr:nvGraphicFramePr>
        <xdr:cNvPr id="51162479"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79375</xdr:colOff>
      <xdr:row>34</xdr:row>
      <xdr:rowOff>127000</xdr:rowOff>
    </xdr:from>
    <xdr:to>
      <xdr:col>24</xdr:col>
      <xdr:colOff>727075</xdr:colOff>
      <xdr:row>52</xdr:row>
      <xdr:rowOff>111125</xdr:rowOff>
    </xdr:to>
    <xdr:graphicFrame macro="">
      <xdr:nvGraphicFramePr>
        <xdr:cNvPr id="5116248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0</xdr:colOff>
      <xdr:row>35</xdr:row>
      <xdr:rowOff>0</xdr:rowOff>
    </xdr:from>
    <xdr:to>
      <xdr:col>34</xdr:col>
      <xdr:colOff>638175</xdr:colOff>
      <xdr:row>52</xdr:row>
      <xdr:rowOff>114300</xdr:rowOff>
    </xdr:to>
    <xdr:graphicFrame macro="">
      <xdr:nvGraphicFramePr>
        <xdr:cNvPr id="51162481"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54</xdr:row>
      <xdr:rowOff>0</xdr:rowOff>
    </xdr:from>
    <xdr:to>
      <xdr:col>24</xdr:col>
      <xdr:colOff>666750</xdr:colOff>
      <xdr:row>71</xdr:row>
      <xdr:rowOff>161925</xdr:rowOff>
    </xdr:to>
    <xdr:graphicFrame macro="">
      <xdr:nvGraphicFramePr>
        <xdr:cNvPr id="5116248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54</xdr:row>
      <xdr:rowOff>0</xdr:rowOff>
    </xdr:from>
    <xdr:to>
      <xdr:col>34</xdr:col>
      <xdr:colOff>638175</xdr:colOff>
      <xdr:row>71</xdr:row>
      <xdr:rowOff>133350</xdr:rowOff>
    </xdr:to>
    <xdr:graphicFrame macro="">
      <xdr:nvGraphicFramePr>
        <xdr:cNvPr id="51162483"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76</xdr:row>
      <xdr:rowOff>0</xdr:rowOff>
    </xdr:from>
    <xdr:to>
      <xdr:col>24</xdr:col>
      <xdr:colOff>647700</xdr:colOff>
      <xdr:row>92</xdr:row>
      <xdr:rowOff>142875</xdr:rowOff>
    </xdr:to>
    <xdr:graphicFrame macro="">
      <xdr:nvGraphicFramePr>
        <xdr:cNvPr id="5116248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76</xdr:row>
      <xdr:rowOff>0</xdr:rowOff>
    </xdr:from>
    <xdr:to>
      <xdr:col>34</xdr:col>
      <xdr:colOff>638175</xdr:colOff>
      <xdr:row>92</xdr:row>
      <xdr:rowOff>114300</xdr:rowOff>
    </xdr:to>
    <xdr:graphicFrame macro="">
      <xdr:nvGraphicFramePr>
        <xdr:cNvPr id="51162485"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100</xdr:row>
      <xdr:rowOff>0</xdr:rowOff>
    </xdr:from>
    <xdr:to>
      <xdr:col>24</xdr:col>
      <xdr:colOff>647700</xdr:colOff>
      <xdr:row>116</xdr:row>
      <xdr:rowOff>123825</xdr:rowOff>
    </xdr:to>
    <xdr:graphicFrame macro="">
      <xdr:nvGraphicFramePr>
        <xdr:cNvPr id="5116248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25</xdr:col>
      <xdr:colOff>0</xdr:colOff>
      <xdr:row>100</xdr:row>
      <xdr:rowOff>0</xdr:rowOff>
    </xdr:from>
    <xdr:to>
      <xdr:col>34</xdr:col>
      <xdr:colOff>638175</xdr:colOff>
      <xdr:row>116</xdr:row>
      <xdr:rowOff>95250</xdr:rowOff>
    </xdr:to>
    <xdr:graphicFrame macro="">
      <xdr:nvGraphicFramePr>
        <xdr:cNvPr id="51162487"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117</xdr:row>
      <xdr:rowOff>76200</xdr:rowOff>
    </xdr:from>
    <xdr:to>
      <xdr:col>24</xdr:col>
      <xdr:colOff>676275</xdr:colOff>
      <xdr:row>133</xdr:row>
      <xdr:rowOff>123825</xdr:rowOff>
    </xdr:to>
    <xdr:graphicFrame macro="">
      <xdr:nvGraphicFramePr>
        <xdr:cNvPr id="5116248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733425</xdr:colOff>
      <xdr:row>117</xdr:row>
      <xdr:rowOff>114300</xdr:rowOff>
    </xdr:from>
    <xdr:to>
      <xdr:col>34</xdr:col>
      <xdr:colOff>609600</xdr:colOff>
      <xdr:row>133</xdr:row>
      <xdr:rowOff>133350</xdr:rowOff>
    </xdr:to>
    <xdr:graphicFrame macro="">
      <xdr:nvGraphicFramePr>
        <xdr:cNvPr id="51162489"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28575</xdr:colOff>
      <xdr:row>134</xdr:row>
      <xdr:rowOff>19050</xdr:rowOff>
    </xdr:from>
    <xdr:to>
      <xdr:col>24</xdr:col>
      <xdr:colOff>676275</xdr:colOff>
      <xdr:row>150</xdr:row>
      <xdr:rowOff>123825</xdr:rowOff>
    </xdr:to>
    <xdr:graphicFrame macro="">
      <xdr:nvGraphicFramePr>
        <xdr:cNvPr id="5116249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25</xdr:col>
      <xdr:colOff>0</xdr:colOff>
      <xdr:row>134</xdr:row>
      <xdr:rowOff>0</xdr:rowOff>
    </xdr:from>
    <xdr:to>
      <xdr:col>34</xdr:col>
      <xdr:colOff>638175</xdr:colOff>
      <xdr:row>150</xdr:row>
      <xdr:rowOff>85725</xdr:rowOff>
    </xdr:to>
    <xdr:graphicFrame macro="">
      <xdr:nvGraphicFramePr>
        <xdr:cNvPr id="51162491"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0</xdr:colOff>
      <xdr:row>152</xdr:row>
      <xdr:rowOff>0</xdr:rowOff>
    </xdr:from>
    <xdr:to>
      <xdr:col>24</xdr:col>
      <xdr:colOff>647700</xdr:colOff>
      <xdr:row>168</xdr:row>
      <xdr:rowOff>19050</xdr:rowOff>
    </xdr:to>
    <xdr:graphicFrame macro="">
      <xdr:nvGraphicFramePr>
        <xdr:cNvPr id="5116249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690563</xdr:colOff>
      <xdr:row>152</xdr:row>
      <xdr:rowOff>1</xdr:rowOff>
    </xdr:from>
    <xdr:to>
      <xdr:col>34</xdr:col>
      <xdr:colOff>566738</xdr:colOff>
      <xdr:row>167</xdr:row>
      <xdr:rowOff>142876</xdr:rowOff>
    </xdr:to>
    <xdr:graphicFrame macro="">
      <xdr:nvGraphicFramePr>
        <xdr:cNvPr id="51162493"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169</xdr:row>
      <xdr:rowOff>0</xdr:rowOff>
    </xdr:from>
    <xdr:to>
      <xdr:col>24</xdr:col>
      <xdr:colOff>647700</xdr:colOff>
      <xdr:row>185</xdr:row>
      <xdr:rowOff>142875</xdr:rowOff>
    </xdr:to>
    <xdr:graphicFrame macro="">
      <xdr:nvGraphicFramePr>
        <xdr:cNvPr id="5116249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25</xdr:col>
      <xdr:colOff>23813</xdr:colOff>
      <xdr:row>168</xdr:row>
      <xdr:rowOff>238125</xdr:rowOff>
    </xdr:from>
    <xdr:to>
      <xdr:col>34</xdr:col>
      <xdr:colOff>661988</xdr:colOff>
      <xdr:row>185</xdr:row>
      <xdr:rowOff>66675</xdr:rowOff>
    </xdr:to>
    <xdr:graphicFrame macro="">
      <xdr:nvGraphicFramePr>
        <xdr:cNvPr id="51162495" name="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3.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4.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5.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6.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7.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8.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19.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2270125</xdr:colOff>
      <xdr:row>5</xdr:row>
      <xdr:rowOff>142875</xdr:rowOff>
    </xdr:to>
    <xdr:pic>
      <xdr:nvPicPr>
        <xdr:cNvPr id="4881067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21932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21.xml><?xml version="1.0" encoding="utf-8"?>
<c:userShapes xmlns:c="http://schemas.openxmlformats.org/drawingml/2006/chart">
  <cdr:relSizeAnchor xmlns:cdr="http://schemas.openxmlformats.org/drawingml/2006/chartDrawing">
    <cdr:from>
      <cdr:x>0.88944</cdr:x>
      <cdr:y>0.83608</cdr:y>
    </cdr:from>
    <cdr:to>
      <cdr:x>1</cdr:x>
      <cdr:y>1</cdr:y>
    </cdr:to>
    <cdr:sp macro="" textlink="">
      <cdr:nvSpPr>
        <cdr:cNvPr id="2" name="1 CuadroTexto">
          <a:extLst xmlns:a="http://schemas.openxmlformats.org/drawingml/2006/main"/>
        </cdr:cNvPr>
        <cdr:cNvSpPr txBox="1"/>
      </cdr:nvSpPr>
      <cdr:spPr>
        <a:xfrm xmlns:a="http://schemas.openxmlformats.org/drawingml/2006/main">
          <a:off x="8108950" y="5267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0.8925</cdr:x>
      <cdr:y>0.83608</cdr:y>
    </cdr:from>
    <cdr:to>
      <cdr:x>1</cdr:x>
      <cdr:y>1</cdr:y>
    </cdr:to>
    <cdr:sp macro="" textlink="">
      <cdr:nvSpPr>
        <cdr:cNvPr id="3" name="2 CuadroTexto">
          <a:extLst xmlns:a="http://schemas.openxmlformats.org/drawingml/2006/main"/>
        </cdr:cNvPr>
        <cdr:cNvSpPr txBox="1"/>
      </cdr:nvSpPr>
      <cdr:spPr>
        <a:xfrm xmlns:a="http://schemas.openxmlformats.org/drawingml/2006/main">
          <a:off x="8474075" y="4806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0.7948</cdr:x>
      <cdr:y>0.4008</cdr:y>
    </cdr:from>
    <cdr:to>
      <cdr:x>0.96067</cdr:x>
      <cdr:y>0.6112</cdr:y>
    </cdr:to>
    <cdr:sp macro="" textlink="">
      <cdr:nvSpPr>
        <cdr:cNvPr id="5" name="4 CuadroTexto">
          <a:extLst xmlns:a="http://schemas.openxmlformats.org/drawingml/2006/main"/>
        </cdr:cNvPr>
        <cdr:cNvSpPr txBox="1"/>
      </cdr:nvSpPr>
      <cdr:spPr>
        <a:xfrm xmlns:a="http://schemas.openxmlformats.org/drawingml/2006/main">
          <a:off x="7378699" y="2340216"/>
          <a:ext cx="1539875" cy="12284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0.81532</cdr:x>
      <cdr:y>0.46388</cdr:y>
    </cdr:from>
    <cdr:to>
      <cdr:x>0.9788</cdr:x>
      <cdr:y>0.70642</cdr:y>
    </cdr:to>
    <cdr:sp macro="" textlink="">
      <cdr:nvSpPr>
        <cdr:cNvPr id="6" name="5 CuadroTexto">
          <a:extLst xmlns:a="http://schemas.openxmlformats.org/drawingml/2006/main"/>
        </cdr:cNvPr>
        <cdr:cNvSpPr txBox="1"/>
      </cdr:nvSpPr>
      <cdr:spPr>
        <a:xfrm xmlns:a="http://schemas.openxmlformats.org/drawingml/2006/main">
          <a:off x="7569200" y="2568574"/>
          <a:ext cx="1517650" cy="134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0.89398</cdr:x>
      <cdr:y>0.57855</cdr:y>
    </cdr:from>
    <cdr:to>
      <cdr:x>0.99248</cdr:x>
      <cdr:y>0.74369</cdr:y>
    </cdr:to>
    <cdr:sp macro="" textlink="">
      <cdr:nvSpPr>
        <cdr:cNvPr id="7" name="6 CuadroTexto">
          <a:extLst xmlns:a="http://schemas.openxmlformats.org/drawingml/2006/main"/>
        </cdr:cNvPr>
        <cdr:cNvSpPr txBox="1"/>
      </cdr:nvSpPr>
      <cdr:spPr>
        <a:xfrm xmlns:a="http://schemas.openxmlformats.org/drawingml/2006/main">
          <a:off x="8299450" y="320357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dr:relSizeAnchor xmlns:cdr="http://schemas.openxmlformats.org/drawingml/2006/chartDrawing">
    <cdr:from>
      <cdr:x>0.85294</cdr:x>
      <cdr:y>0.75344</cdr:y>
    </cdr:from>
    <cdr:to>
      <cdr:x>0.95144</cdr:x>
      <cdr:y>0.91858</cdr:y>
    </cdr:to>
    <cdr:sp macro="" textlink="">
      <cdr:nvSpPr>
        <cdr:cNvPr id="10" name="9 CuadroTexto">
          <a:extLst xmlns:a="http://schemas.openxmlformats.org/drawingml/2006/main"/>
        </cdr:cNvPr>
        <cdr:cNvSpPr txBox="1"/>
      </cdr:nvSpPr>
      <cdr:spPr>
        <a:xfrm xmlns:a="http://schemas.openxmlformats.org/drawingml/2006/main">
          <a:off x="7918450" y="417194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drawings/drawing3.xml><?xml version="1.0" encoding="utf-8"?>
<xdr:wsDr xmlns:xdr="http://schemas.openxmlformats.org/drawingml/2006/spreadsheetDrawing" xmlns:a="http://schemas.openxmlformats.org/drawingml/2006/main">
  <xdr:oneCellAnchor>
    <xdr:from>
      <xdr:col>11</xdr:col>
      <xdr:colOff>263525</xdr:colOff>
      <xdr:row>133</xdr:row>
      <xdr:rowOff>76200</xdr:rowOff>
    </xdr:from>
    <xdr:ext cx="184731" cy="264560"/>
    <xdr:sp macro="" textlink="">
      <xdr:nvSpPr>
        <xdr:cNvPr id="2" name="1 CuadroTexto"/>
        <xdr:cNvSpPr txBox="1"/>
      </xdr:nvSpPr>
      <xdr:spPr>
        <a:xfrm>
          <a:off x="16856075" y="514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31750</xdr:colOff>
      <xdr:row>0</xdr:row>
      <xdr:rowOff>0</xdr:rowOff>
    </xdr:from>
    <xdr:to>
      <xdr:col>0</xdr:col>
      <xdr:colOff>2524125</xdr:colOff>
      <xdr:row>6</xdr:row>
      <xdr:rowOff>38866</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0"/>
          <a:ext cx="2492375" cy="132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263525</xdr:colOff>
      <xdr:row>145</xdr:row>
      <xdr:rowOff>76200</xdr:rowOff>
    </xdr:from>
    <xdr:ext cx="184731" cy="264560"/>
    <xdr:sp macro="" textlink="">
      <xdr:nvSpPr>
        <xdr:cNvPr id="4" name="3 CuadroTexto"/>
        <xdr:cNvSpPr txBox="1"/>
      </xdr:nvSpPr>
      <xdr:spPr>
        <a:xfrm>
          <a:off x="14376400" y="5751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111124</xdr:colOff>
      <xdr:row>0</xdr:row>
      <xdr:rowOff>0</xdr:rowOff>
    </xdr:from>
    <xdr:to>
      <xdr:col>0</xdr:col>
      <xdr:colOff>2476500</xdr:colOff>
      <xdr:row>6</xdr:row>
      <xdr:rowOff>25861</xdr:rowOff>
    </xdr:to>
    <xdr:pic>
      <xdr:nvPicPr>
        <xdr:cNvPr id="4881126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4" y="0"/>
          <a:ext cx="2365376" cy="131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0</xdr:col>
      <xdr:colOff>2219325</xdr:colOff>
      <xdr:row>5</xdr:row>
      <xdr:rowOff>161925</xdr:rowOff>
    </xdr:to>
    <xdr:pic>
      <xdr:nvPicPr>
        <xdr:cNvPr id="4881318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
          <a:ext cx="21050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98425</xdr:colOff>
      <xdr:row>0</xdr:row>
      <xdr:rowOff>66675</xdr:rowOff>
    </xdr:from>
    <xdr:to>
      <xdr:col>0</xdr:col>
      <xdr:colOff>2441575</xdr:colOff>
      <xdr:row>7</xdr:row>
      <xdr:rowOff>15875</xdr:rowOff>
    </xdr:to>
    <xdr:pic>
      <xdr:nvPicPr>
        <xdr:cNvPr id="48814207"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66675"/>
          <a:ext cx="23431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98424</xdr:colOff>
      <xdr:row>0</xdr:row>
      <xdr:rowOff>50800</xdr:rowOff>
    </xdr:from>
    <xdr:to>
      <xdr:col>0</xdr:col>
      <xdr:colOff>2339974</xdr:colOff>
      <xdr:row>7</xdr:row>
      <xdr:rowOff>75744</xdr:rowOff>
    </xdr:to>
    <xdr:pic>
      <xdr:nvPicPr>
        <xdr:cNvPr id="4881523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4" y="50800"/>
          <a:ext cx="2241550" cy="134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82550</xdr:colOff>
      <xdr:row>0</xdr:row>
      <xdr:rowOff>66675</xdr:rowOff>
    </xdr:from>
    <xdr:to>
      <xdr:col>0</xdr:col>
      <xdr:colOff>2333625</xdr:colOff>
      <xdr:row>7</xdr:row>
      <xdr:rowOff>15875</xdr:rowOff>
    </xdr:to>
    <xdr:pic>
      <xdr:nvPicPr>
        <xdr:cNvPr id="4881625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66675"/>
          <a:ext cx="2251075" cy="129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79375</xdr:colOff>
      <xdr:row>0</xdr:row>
      <xdr:rowOff>82550</xdr:rowOff>
    </xdr:from>
    <xdr:to>
      <xdr:col>0</xdr:col>
      <xdr:colOff>2289175</xdr:colOff>
      <xdr:row>6</xdr:row>
      <xdr:rowOff>111125</xdr:rowOff>
    </xdr:to>
    <xdr:pic>
      <xdr:nvPicPr>
        <xdr:cNvPr id="48817409"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 y="82550"/>
          <a:ext cx="22098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drawing" Target="../drawings/drawing10.xml"/><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printerSettings" Target="../printerSettings/printerSettings53.bin"/><Relationship Id="rId7" Type="http://schemas.openxmlformats.org/officeDocument/2006/relationships/vmlDrawing" Target="../drawings/vmlDrawing9.v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drawing" Target="../drawings/drawing11.xml"/><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8.bin"/><Relationship Id="rId7"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13.bin"/><Relationship Id="rId7"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18.bin"/><Relationship Id="rId7" Type="http://schemas.openxmlformats.org/officeDocument/2006/relationships/vmlDrawing" Target="../drawings/vmlDrawing4.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printerSettings" Target="../printerSettings/printerSettings23.bin"/><Relationship Id="rId7" Type="http://schemas.openxmlformats.org/officeDocument/2006/relationships/vmlDrawing" Target="../drawings/vmlDrawing5.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33.bin"/><Relationship Id="rId7" Type="http://schemas.openxmlformats.org/officeDocument/2006/relationships/vmlDrawing" Target="../drawings/vmlDrawing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7.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printerSettings" Target="../printerSettings/printerSettings38.bin"/><Relationship Id="rId7" Type="http://schemas.openxmlformats.org/officeDocument/2006/relationships/vmlDrawing" Target="../drawings/vmlDrawing7.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8.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printerSettings" Target="../printerSettings/printerSettings43.bin"/><Relationship Id="rId7" Type="http://schemas.openxmlformats.org/officeDocument/2006/relationships/vmlDrawing" Target="../drawings/vmlDrawing8.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drawing" Target="../drawings/drawing9.x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238"/>
  <sheetViews>
    <sheetView zoomScale="60" zoomScaleNormal="60" workbookViewId="0">
      <pane xSplit="3" ySplit="10" topLeftCell="D11" activePane="bottomRight" state="frozenSplit"/>
      <selection pane="topRight" activeCell="D1" sqref="D1"/>
      <selection pane="bottomLeft" activeCell="A11" sqref="A11"/>
      <selection pane="bottomRight" activeCell="A11" sqref="A11"/>
    </sheetView>
  </sheetViews>
  <sheetFormatPr baseColWidth="10" defaultColWidth="0" defaultRowHeight="36.75" customHeight="1"/>
  <cols>
    <col min="1" max="1" width="39" style="321" customWidth="1"/>
    <col min="2" max="2" width="42" style="13" customWidth="1"/>
    <col min="3" max="3" width="55.28515625" style="13" customWidth="1"/>
    <col min="4" max="4" width="24.85546875" style="109" customWidth="1"/>
    <col min="5" max="18" width="10.7109375" style="13" customWidth="1"/>
    <col min="19" max="19" width="42.42578125" style="13" bestFit="1" customWidth="1"/>
    <col min="20" max="20" width="9.85546875" style="13" hidden="1" customWidth="1"/>
    <col min="21" max="16384" width="11.42578125" style="13" hidden="1"/>
  </cols>
  <sheetData>
    <row r="1" spans="1:23" s="7" customFormat="1" ht="18" customHeight="1">
      <c r="A1" s="129"/>
      <c r="B1" s="551" t="s">
        <v>258</v>
      </c>
      <c r="C1" s="551"/>
      <c r="D1" s="551"/>
      <c r="E1" s="100"/>
      <c r="F1" s="100"/>
      <c r="G1" s="100"/>
      <c r="H1" s="100"/>
      <c r="I1" s="100"/>
      <c r="J1" s="100"/>
      <c r="K1" s="100"/>
      <c r="L1" s="100"/>
      <c r="M1" s="100"/>
      <c r="N1" s="100"/>
      <c r="O1" s="100"/>
      <c r="P1" s="100"/>
      <c r="Q1" s="100"/>
      <c r="R1" s="101"/>
      <c r="S1" s="39" t="s">
        <v>546</v>
      </c>
      <c r="T1" s="3"/>
      <c r="U1" s="5"/>
      <c r="V1" s="6"/>
      <c r="W1" s="6"/>
    </row>
    <row r="2" spans="1:23" s="9" customFormat="1" ht="18" customHeight="1">
      <c r="A2" s="129"/>
      <c r="B2" s="552" t="s">
        <v>259</v>
      </c>
      <c r="C2" s="552"/>
      <c r="D2" s="552"/>
      <c r="E2" s="99"/>
      <c r="F2" s="99"/>
      <c r="G2" s="99"/>
      <c r="H2" s="99"/>
      <c r="I2" s="99"/>
      <c r="J2" s="99"/>
      <c r="K2" s="99"/>
      <c r="L2" s="99"/>
      <c r="M2" s="99"/>
      <c r="N2" s="99"/>
      <c r="O2" s="99"/>
      <c r="P2" s="99"/>
      <c r="Q2" s="99"/>
      <c r="R2" s="102"/>
      <c r="S2" s="40" t="s">
        <v>260</v>
      </c>
      <c r="T2" s="3"/>
      <c r="U2" s="8"/>
      <c r="V2" s="6"/>
      <c r="W2" s="6"/>
    </row>
    <row r="3" spans="1:23" s="7" customFormat="1" ht="18" customHeight="1">
      <c r="A3" s="129"/>
      <c r="B3" s="10" t="s">
        <v>4367</v>
      </c>
      <c r="D3" s="107"/>
      <c r="E3" s="69"/>
      <c r="F3" s="69"/>
      <c r="G3" s="69"/>
      <c r="H3" s="69"/>
      <c r="I3" s="69"/>
      <c r="J3" s="69"/>
      <c r="K3" s="69"/>
      <c r="L3" s="69"/>
      <c r="M3" s="69"/>
      <c r="N3" s="69"/>
      <c r="O3" s="69"/>
      <c r="P3" s="69"/>
      <c r="Q3" s="69"/>
      <c r="R3" s="103"/>
      <c r="S3" s="40" t="s">
        <v>547</v>
      </c>
      <c r="T3" s="3"/>
      <c r="U3" s="5"/>
      <c r="V3" s="6"/>
      <c r="W3" s="6"/>
    </row>
    <row r="4" spans="1:23" s="7" customFormat="1" ht="18" customHeight="1">
      <c r="A4" s="129"/>
      <c r="B4" s="551" t="s">
        <v>4569</v>
      </c>
      <c r="C4" s="551"/>
      <c r="D4" s="551"/>
      <c r="E4" s="37"/>
      <c r="F4" s="37"/>
      <c r="G4" s="37"/>
      <c r="H4" s="37"/>
      <c r="I4" s="37"/>
      <c r="J4" s="37"/>
      <c r="K4" s="37"/>
      <c r="L4" s="37"/>
      <c r="M4" s="37"/>
      <c r="N4" s="37"/>
      <c r="O4" s="37"/>
      <c r="P4" s="37"/>
      <c r="Q4" s="37"/>
      <c r="R4" s="38"/>
      <c r="S4" s="40" t="s">
        <v>261</v>
      </c>
      <c r="T4" s="3"/>
      <c r="U4" s="5"/>
      <c r="V4" s="6"/>
      <c r="W4" s="6"/>
    </row>
    <row r="5" spans="1:23" s="32" customFormat="1" ht="15" customHeight="1">
      <c r="A5" s="130"/>
      <c r="B5" s="558"/>
      <c r="C5" s="553"/>
      <c r="D5" s="557" t="s">
        <v>266</v>
      </c>
      <c r="E5" s="544" t="s">
        <v>255</v>
      </c>
      <c r="F5" s="544"/>
      <c r="G5" s="544"/>
      <c r="H5" s="539" t="s">
        <v>263</v>
      </c>
      <c r="I5" s="539"/>
      <c r="J5" s="539"/>
      <c r="K5" s="546" t="s">
        <v>545</v>
      </c>
      <c r="L5" s="546"/>
      <c r="M5" s="546"/>
      <c r="N5" s="543" t="s">
        <v>474</v>
      </c>
      <c r="O5" s="543"/>
      <c r="P5" s="543"/>
      <c r="Q5" s="562" t="s">
        <v>265</v>
      </c>
      <c r="R5" s="562"/>
      <c r="S5" s="538" t="s">
        <v>267</v>
      </c>
    </row>
    <row r="6" spans="1:23" s="32" customFormat="1" ht="16.5" customHeight="1">
      <c r="A6" s="130"/>
      <c r="B6" s="558"/>
      <c r="C6" s="553"/>
      <c r="D6" s="557"/>
      <c r="E6" s="544"/>
      <c r="F6" s="544"/>
      <c r="G6" s="544"/>
      <c r="H6" s="539"/>
      <c r="I6" s="539"/>
      <c r="J6" s="539"/>
      <c r="K6" s="546"/>
      <c r="L6" s="546"/>
      <c r="M6" s="546"/>
      <c r="N6" s="543"/>
      <c r="O6" s="543"/>
      <c r="P6" s="543"/>
      <c r="Q6" s="562"/>
      <c r="R6" s="562"/>
      <c r="S6" s="538"/>
    </row>
    <row r="7" spans="1:23" s="32" customFormat="1" ht="12" customHeight="1">
      <c r="A7" s="555"/>
      <c r="B7" s="555"/>
      <c r="C7" s="43"/>
      <c r="D7" s="106"/>
      <c r="E7" s="44"/>
      <c r="F7" s="44"/>
      <c r="G7" s="44"/>
      <c r="H7" s="44"/>
      <c r="I7" s="44"/>
      <c r="J7" s="44"/>
      <c r="K7" s="44"/>
      <c r="L7" s="44"/>
      <c r="M7" s="44"/>
      <c r="N7" s="44"/>
      <c r="O7" s="44"/>
      <c r="P7" s="44"/>
      <c r="Q7" s="44"/>
      <c r="R7" s="44"/>
      <c r="S7" s="41"/>
    </row>
    <row r="8" spans="1:23" s="32" customFormat="1" ht="27" customHeight="1">
      <c r="A8" s="322" t="s">
        <v>455</v>
      </c>
      <c r="B8" s="53"/>
      <c r="C8" s="51"/>
      <c r="D8" s="319"/>
      <c r="E8" s="51"/>
      <c r="F8" s="51"/>
      <c r="G8" s="51"/>
      <c r="H8" s="51"/>
      <c r="I8" s="51"/>
      <c r="J8" s="51"/>
      <c r="K8" s="51"/>
      <c r="L8" s="51"/>
      <c r="M8" s="51"/>
      <c r="N8" s="51"/>
      <c r="O8" s="51"/>
      <c r="P8" s="51"/>
      <c r="Q8" s="51"/>
      <c r="R8" s="51"/>
      <c r="S8" s="50"/>
    </row>
    <row r="9" spans="1:23" s="10" customFormat="1" ht="18" customHeight="1">
      <c r="A9" s="556" t="s">
        <v>37</v>
      </c>
      <c r="B9" s="554" t="s">
        <v>38</v>
      </c>
      <c r="C9" s="554" t="s">
        <v>262</v>
      </c>
      <c r="D9" s="559" t="s">
        <v>454</v>
      </c>
      <c r="E9" s="540" t="s">
        <v>33</v>
      </c>
      <c r="F9" s="540"/>
      <c r="G9" s="540"/>
      <c r="H9" s="540"/>
      <c r="I9" s="540"/>
      <c r="J9" s="540"/>
      <c r="K9" s="540"/>
      <c r="L9" s="540"/>
      <c r="M9" s="540"/>
      <c r="N9" s="540"/>
      <c r="O9" s="540"/>
      <c r="P9" s="540"/>
      <c r="Q9" s="545" t="s">
        <v>34</v>
      </c>
      <c r="R9" s="541" t="s">
        <v>36</v>
      </c>
      <c r="S9" s="554" t="s">
        <v>35</v>
      </c>
      <c r="T9" s="11"/>
    </row>
    <row r="10" spans="1:23" s="10" customFormat="1" ht="24" customHeight="1">
      <c r="A10" s="556"/>
      <c r="B10" s="554"/>
      <c r="C10" s="554"/>
      <c r="D10" s="560"/>
      <c r="E10" s="327" t="s">
        <v>21</v>
      </c>
      <c r="F10" s="327" t="s">
        <v>22</v>
      </c>
      <c r="G10" s="327" t="s">
        <v>23</v>
      </c>
      <c r="H10" s="327" t="s">
        <v>24</v>
      </c>
      <c r="I10" s="327" t="s">
        <v>25</v>
      </c>
      <c r="J10" s="327" t="s">
        <v>26</v>
      </c>
      <c r="K10" s="327" t="s">
        <v>27</v>
      </c>
      <c r="L10" s="327" t="s">
        <v>28</v>
      </c>
      <c r="M10" s="327" t="s">
        <v>29</v>
      </c>
      <c r="N10" s="327" t="s">
        <v>30</v>
      </c>
      <c r="O10" s="327" t="s">
        <v>31</v>
      </c>
      <c r="P10" s="327" t="s">
        <v>32</v>
      </c>
      <c r="Q10" s="545"/>
      <c r="R10" s="542"/>
      <c r="S10" s="561"/>
      <c r="T10" s="11"/>
    </row>
    <row r="11" spans="1:23" s="163" customFormat="1" ht="32.1" customHeight="1">
      <c r="A11" s="125" t="s">
        <v>79</v>
      </c>
      <c r="B11" s="294" t="s">
        <v>4130</v>
      </c>
      <c r="C11" s="328" t="s">
        <v>4131</v>
      </c>
      <c r="D11" s="119">
        <v>600</v>
      </c>
      <c r="E11" s="140"/>
      <c r="F11" s="140"/>
      <c r="G11" s="140"/>
      <c r="H11" s="140"/>
      <c r="I11" s="140">
        <v>78.7</v>
      </c>
      <c r="J11" s="140"/>
      <c r="K11" s="140"/>
      <c r="L11" s="140"/>
      <c r="M11" s="140"/>
      <c r="N11" s="140"/>
      <c r="O11" s="140"/>
      <c r="P11" s="140">
        <v>90.3</v>
      </c>
      <c r="Q11" s="139">
        <f t="shared" ref="Q11:Q42" si="0">AVERAGE(E11:P11)</f>
        <v>84.5</v>
      </c>
      <c r="R11" s="144" t="str">
        <f t="shared" ref="R11:R42" si="1">IF(Q11&lt;5,"SI","NO")</f>
        <v>NO</v>
      </c>
      <c r="S11" s="145" t="str">
        <f t="shared" ref="S11:S74" si="2">IF(Q11&lt;5,"Sin Riesgo",IF(Q11 &lt;=14,"Bajo",IF(Q11&lt;=35,"Medio",IF(Q11&lt;=80,"Alto","Inviable Sanitariamente"))))</f>
        <v>Inviable Sanitariamente</v>
      </c>
      <c r="T11" s="230"/>
    </row>
    <row r="12" spans="1:23" s="163" customFormat="1" ht="32.1" customHeight="1">
      <c r="A12" s="125" t="s">
        <v>79</v>
      </c>
      <c r="B12" s="294" t="s">
        <v>272</v>
      </c>
      <c r="C12" s="294" t="s">
        <v>4132</v>
      </c>
      <c r="D12" s="119">
        <v>32</v>
      </c>
      <c r="E12" s="140"/>
      <c r="F12" s="140"/>
      <c r="G12" s="140"/>
      <c r="H12" s="140"/>
      <c r="I12" s="140"/>
      <c r="J12" s="140">
        <v>98.1</v>
      </c>
      <c r="K12" s="140"/>
      <c r="L12" s="140"/>
      <c r="M12" s="140"/>
      <c r="N12" s="140"/>
      <c r="O12" s="140">
        <v>98.1</v>
      </c>
      <c r="P12" s="140"/>
      <c r="Q12" s="139">
        <f t="shared" si="0"/>
        <v>98.1</v>
      </c>
      <c r="R12" s="144" t="str">
        <f t="shared" si="1"/>
        <v>NO</v>
      </c>
      <c r="S12" s="145" t="str">
        <f t="shared" si="2"/>
        <v>Inviable Sanitariamente</v>
      </c>
      <c r="T12" s="230"/>
    </row>
    <row r="13" spans="1:23" s="163" customFormat="1" ht="32.1" customHeight="1">
      <c r="A13" s="125" t="s">
        <v>79</v>
      </c>
      <c r="B13" s="294" t="s">
        <v>3468</v>
      </c>
      <c r="C13" s="294" t="s">
        <v>4133</v>
      </c>
      <c r="D13" s="114">
        <v>636</v>
      </c>
      <c r="E13" s="140"/>
      <c r="F13" s="140"/>
      <c r="G13" s="140"/>
      <c r="H13" s="140"/>
      <c r="I13" s="140">
        <v>98.1</v>
      </c>
      <c r="J13" s="140"/>
      <c r="K13" s="140"/>
      <c r="L13" s="140"/>
      <c r="M13" s="140"/>
      <c r="N13" s="140"/>
      <c r="O13" s="140"/>
      <c r="P13" s="140"/>
      <c r="Q13" s="139">
        <f t="shared" si="0"/>
        <v>98.1</v>
      </c>
      <c r="R13" s="144" t="str">
        <f t="shared" si="1"/>
        <v>NO</v>
      </c>
      <c r="S13" s="145" t="str">
        <f t="shared" si="2"/>
        <v>Inviable Sanitariamente</v>
      </c>
      <c r="T13" s="230"/>
    </row>
    <row r="14" spans="1:23" s="163" customFormat="1" ht="32.1" customHeight="1">
      <c r="A14" s="125" t="s">
        <v>79</v>
      </c>
      <c r="B14" s="294" t="s">
        <v>4134</v>
      </c>
      <c r="C14" s="294" t="s">
        <v>277</v>
      </c>
      <c r="D14" s="119">
        <v>140</v>
      </c>
      <c r="E14" s="140"/>
      <c r="F14" s="140"/>
      <c r="G14" s="140"/>
      <c r="H14" s="140"/>
      <c r="I14" s="140">
        <v>27</v>
      </c>
      <c r="J14" s="140"/>
      <c r="K14" s="140"/>
      <c r="L14" s="140"/>
      <c r="M14" s="140"/>
      <c r="N14" s="140"/>
      <c r="O14" s="140"/>
      <c r="P14" s="140">
        <v>19.399999999999999</v>
      </c>
      <c r="Q14" s="139">
        <f t="shared" si="0"/>
        <v>23.2</v>
      </c>
      <c r="R14" s="144" t="str">
        <f t="shared" si="1"/>
        <v>NO</v>
      </c>
      <c r="S14" s="145" t="str">
        <f t="shared" si="2"/>
        <v>Medio</v>
      </c>
      <c r="T14" s="230"/>
    </row>
    <row r="15" spans="1:23" s="163" customFormat="1" ht="32.1" customHeight="1">
      <c r="A15" s="125" t="s">
        <v>79</v>
      </c>
      <c r="B15" s="294" t="s">
        <v>275</v>
      </c>
      <c r="C15" s="294" t="s">
        <v>4135</v>
      </c>
      <c r="D15" s="119">
        <v>400</v>
      </c>
      <c r="E15" s="140"/>
      <c r="F15" s="140">
        <v>98.1</v>
      </c>
      <c r="G15" s="140"/>
      <c r="H15" s="140"/>
      <c r="I15" s="140"/>
      <c r="J15" s="140">
        <v>90.3</v>
      </c>
      <c r="K15" s="140"/>
      <c r="L15" s="140"/>
      <c r="M15" s="140"/>
      <c r="N15" s="140"/>
      <c r="O15" s="140"/>
      <c r="P15" s="140"/>
      <c r="Q15" s="139">
        <f t="shared" si="0"/>
        <v>94.199999999999989</v>
      </c>
      <c r="R15" s="144" t="str">
        <f t="shared" si="1"/>
        <v>NO</v>
      </c>
      <c r="S15" s="145" t="str">
        <f t="shared" si="2"/>
        <v>Inviable Sanitariamente</v>
      </c>
      <c r="T15" s="230"/>
    </row>
    <row r="16" spans="1:23" s="163" customFormat="1" ht="32.1" customHeight="1">
      <c r="A16" s="125" t="s">
        <v>79</v>
      </c>
      <c r="B16" s="294" t="s">
        <v>2348</v>
      </c>
      <c r="C16" s="294" t="s">
        <v>274</v>
      </c>
      <c r="D16" s="119">
        <v>162</v>
      </c>
      <c r="E16" s="140"/>
      <c r="F16" s="140"/>
      <c r="G16" s="140"/>
      <c r="H16" s="140"/>
      <c r="I16" s="140"/>
      <c r="J16" s="140">
        <v>38.700000000000003</v>
      </c>
      <c r="K16" s="140"/>
      <c r="L16" s="140"/>
      <c r="M16" s="140"/>
      <c r="N16" s="140"/>
      <c r="O16" s="140">
        <v>71</v>
      </c>
      <c r="P16" s="140"/>
      <c r="Q16" s="139">
        <f t="shared" si="0"/>
        <v>54.85</v>
      </c>
      <c r="R16" s="144" t="str">
        <f t="shared" si="1"/>
        <v>NO</v>
      </c>
      <c r="S16" s="145" t="str">
        <f t="shared" si="2"/>
        <v>Alto</v>
      </c>
      <c r="T16" s="230"/>
    </row>
    <row r="17" spans="1:20" s="163" customFormat="1" ht="32.1" customHeight="1">
      <c r="A17" s="125" t="s">
        <v>79</v>
      </c>
      <c r="B17" s="294" t="s">
        <v>278</v>
      </c>
      <c r="C17" s="294" t="s">
        <v>279</v>
      </c>
      <c r="D17" s="119">
        <v>52</v>
      </c>
      <c r="E17" s="140"/>
      <c r="F17" s="140"/>
      <c r="G17" s="140"/>
      <c r="H17" s="140"/>
      <c r="I17" s="140"/>
      <c r="J17" s="140"/>
      <c r="K17" s="140"/>
      <c r="L17" s="140"/>
      <c r="M17" s="140"/>
      <c r="N17" s="140"/>
      <c r="O17" s="140"/>
      <c r="P17" s="140"/>
      <c r="Q17" s="139" t="e">
        <f t="shared" si="0"/>
        <v>#DIV/0!</v>
      </c>
      <c r="R17" s="144" t="e">
        <f t="shared" si="1"/>
        <v>#DIV/0!</v>
      </c>
      <c r="S17" s="145" t="e">
        <f t="shared" si="2"/>
        <v>#DIV/0!</v>
      </c>
      <c r="T17" s="230"/>
    </row>
    <row r="18" spans="1:20" s="163" customFormat="1" ht="32.1" customHeight="1">
      <c r="A18" s="125" t="s">
        <v>79</v>
      </c>
      <c r="B18" s="294" t="s">
        <v>276</v>
      </c>
      <c r="C18" s="294" t="s">
        <v>277</v>
      </c>
      <c r="D18" s="119">
        <v>140</v>
      </c>
      <c r="E18" s="140"/>
      <c r="F18" s="140">
        <v>71</v>
      </c>
      <c r="G18" s="140"/>
      <c r="H18" s="140"/>
      <c r="I18" s="140"/>
      <c r="J18" s="140"/>
      <c r="K18" s="140">
        <v>98.1</v>
      </c>
      <c r="L18" s="140"/>
      <c r="M18" s="140"/>
      <c r="N18" s="140"/>
      <c r="O18" s="140"/>
      <c r="P18" s="140"/>
      <c r="Q18" s="139">
        <f t="shared" si="0"/>
        <v>84.55</v>
      </c>
      <c r="R18" s="144" t="str">
        <f t="shared" si="1"/>
        <v>NO</v>
      </c>
      <c r="S18" s="145" t="str">
        <f t="shared" si="2"/>
        <v>Inviable Sanitariamente</v>
      </c>
      <c r="T18" s="230"/>
    </row>
    <row r="19" spans="1:20" s="163" customFormat="1" ht="32.1" customHeight="1">
      <c r="A19" s="125" t="s">
        <v>79</v>
      </c>
      <c r="B19" s="294" t="s">
        <v>39</v>
      </c>
      <c r="C19" s="294" t="s">
        <v>4136</v>
      </c>
      <c r="D19" s="119">
        <v>16</v>
      </c>
      <c r="E19" s="140"/>
      <c r="F19" s="140"/>
      <c r="G19" s="140"/>
      <c r="H19" s="140"/>
      <c r="I19" s="140">
        <v>65.8</v>
      </c>
      <c r="J19" s="140"/>
      <c r="K19" s="140"/>
      <c r="L19" s="140"/>
      <c r="M19" s="140"/>
      <c r="N19" s="140">
        <v>72.900000000000006</v>
      </c>
      <c r="O19" s="140"/>
      <c r="P19" s="140"/>
      <c r="Q19" s="139">
        <f t="shared" si="0"/>
        <v>69.349999999999994</v>
      </c>
      <c r="R19" s="144" t="str">
        <f t="shared" si="1"/>
        <v>NO</v>
      </c>
      <c r="S19" s="145" t="str">
        <f t="shared" si="2"/>
        <v>Alto</v>
      </c>
      <c r="T19" s="230"/>
    </row>
    <row r="20" spans="1:20" s="163" customFormat="1" ht="32.1" customHeight="1">
      <c r="A20" s="125" t="s">
        <v>79</v>
      </c>
      <c r="B20" s="294" t="s">
        <v>540</v>
      </c>
      <c r="C20" s="294" t="s">
        <v>280</v>
      </c>
      <c r="D20" s="119">
        <v>85</v>
      </c>
      <c r="E20" s="140"/>
      <c r="F20" s="140"/>
      <c r="G20" s="140"/>
      <c r="H20" s="140">
        <v>71</v>
      </c>
      <c r="I20" s="140"/>
      <c r="J20" s="140"/>
      <c r="K20" s="140"/>
      <c r="L20" s="140"/>
      <c r="M20" s="140">
        <v>90.3</v>
      </c>
      <c r="N20" s="140"/>
      <c r="O20" s="140"/>
      <c r="P20" s="140"/>
      <c r="Q20" s="139">
        <f t="shared" si="0"/>
        <v>80.650000000000006</v>
      </c>
      <c r="R20" s="144" t="str">
        <f t="shared" si="1"/>
        <v>NO</v>
      </c>
      <c r="S20" s="145" t="str">
        <f t="shared" si="2"/>
        <v>Inviable Sanitariamente</v>
      </c>
      <c r="T20" s="230"/>
    </row>
    <row r="21" spans="1:20" s="163" customFormat="1" ht="32.1" customHeight="1">
      <c r="A21" s="125" t="s">
        <v>79</v>
      </c>
      <c r="B21" s="294" t="s">
        <v>272</v>
      </c>
      <c r="C21" s="294" t="s">
        <v>4137</v>
      </c>
      <c r="D21" s="119"/>
      <c r="E21" s="140"/>
      <c r="F21" s="140"/>
      <c r="G21" s="140"/>
      <c r="H21" s="140"/>
      <c r="I21" s="140"/>
      <c r="J21" s="140"/>
      <c r="K21" s="140"/>
      <c r="L21" s="140"/>
      <c r="M21" s="140"/>
      <c r="N21" s="140"/>
      <c r="O21" s="140"/>
      <c r="P21" s="140"/>
      <c r="Q21" s="139" t="e">
        <f t="shared" si="0"/>
        <v>#DIV/0!</v>
      </c>
      <c r="R21" s="144" t="e">
        <f t="shared" si="1"/>
        <v>#DIV/0!</v>
      </c>
      <c r="S21" s="145" t="e">
        <f t="shared" si="2"/>
        <v>#DIV/0!</v>
      </c>
      <c r="T21" s="230"/>
    </row>
    <row r="22" spans="1:20" s="163" customFormat="1" ht="32.1" customHeight="1">
      <c r="A22" s="125" t="s">
        <v>79</v>
      </c>
      <c r="B22" s="294" t="s">
        <v>281</v>
      </c>
      <c r="C22" s="328" t="s">
        <v>282</v>
      </c>
      <c r="D22" s="119">
        <v>48</v>
      </c>
      <c r="E22" s="140"/>
      <c r="F22" s="140"/>
      <c r="G22" s="140"/>
      <c r="H22" s="140"/>
      <c r="I22" s="140"/>
      <c r="J22" s="140">
        <v>38.700000000000003</v>
      </c>
      <c r="K22" s="140"/>
      <c r="L22" s="140"/>
      <c r="M22" s="140"/>
      <c r="N22" s="140"/>
      <c r="O22" s="140">
        <v>38.700000000000003</v>
      </c>
      <c r="P22" s="140"/>
      <c r="Q22" s="139">
        <f t="shared" si="0"/>
        <v>38.700000000000003</v>
      </c>
      <c r="R22" s="144" t="str">
        <f t="shared" si="1"/>
        <v>NO</v>
      </c>
      <c r="S22" s="145" t="str">
        <f t="shared" si="2"/>
        <v>Alto</v>
      </c>
      <c r="T22" s="230"/>
    </row>
    <row r="23" spans="1:20" s="163" customFormat="1" ht="32.1" customHeight="1">
      <c r="A23" s="125" t="s">
        <v>79</v>
      </c>
      <c r="B23" s="294" t="s">
        <v>12</v>
      </c>
      <c r="C23" s="328" t="s">
        <v>283</v>
      </c>
      <c r="D23" s="119">
        <v>27</v>
      </c>
      <c r="E23" s="140"/>
      <c r="F23" s="140"/>
      <c r="G23" s="140">
        <v>90.3</v>
      </c>
      <c r="H23" s="140"/>
      <c r="I23" s="140"/>
      <c r="J23" s="140"/>
      <c r="K23" s="140"/>
      <c r="L23" s="140">
        <v>90.3</v>
      </c>
      <c r="M23" s="140"/>
      <c r="N23" s="140"/>
      <c r="O23" s="140"/>
      <c r="P23" s="140"/>
      <c r="Q23" s="139">
        <f t="shared" si="0"/>
        <v>90.3</v>
      </c>
      <c r="R23" s="144" t="str">
        <f t="shared" si="1"/>
        <v>NO</v>
      </c>
      <c r="S23" s="145" t="str">
        <f t="shared" si="2"/>
        <v>Inviable Sanitariamente</v>
      </c>
      <c r="T23" s="230"/>
    </row>
    <row r="24" spans="1:20" s="163" customFormat="1" ht="32.1" customHeight="1">
      <c r="A24" s="125" t="s">
        <v>79</v>
      </c>
      <c r="B24" s="294" t="s">
        <v>4138</v>
      </c>
      <c r="C24" s="294" t="s">
        <v>4139</v>
      </c>
      <c r="D24" s="119">
        <v>421</v>
      </c>
      <c r="E24" s="140"/>
      <c r="F24" s="140"/>
      <c r="G24" s="140"/>
      <c r="H24" s="140"/>
      <c r="I24" s="140"/>
      <c r="J24" s="140"/>
      <c r="K24" s="140"/>
      <c r="L24" s="140"/>
      <c r="M24" s="140">
        <v>90.3</v>
      </c>
      <c r="N24" s="140">
        <v>98.1</v>
      </c>
      <c r="O24" s="140"/>
      <c r="P24" s="140"/>
      <c r="Q24" s="139">
        <f t="shared" si="0"/>
        <v>94.199999999999989</v>
      </c>
      <c r="R24" s="144" t="str">
        <f t="shared" si="1"/>
        <v>NO</v>
      </c>
      <c r="S24" s="145" t="str">
        <f t="shared" si="2"/>
        <v>Inviable Sanitariamente</v>
      </c>
      <c r="T24" s="230"/>
    </row>
    <row r="25" spans="1:20" s="163" customFormat="1" ht="32.1" customHeight="1">
      <c r="A25" s="125" t="s">
        <v>79</v>
      </c>
      <c r="B25" s="294" t="s">
        <v>240</v>
      </c>
      <c r="C25" s="294" t="s">
        <v>284</v>
      </c>
      <c r="D25" s="119">
        <v>119</v>
      </c>
      <c r="E25" s="140"/>
      <c r="F25" s="140"/>
      <c r="G25" s="140">
        <v>71</v>
      </c>
      <c r="H25" s="140"/>
      <c r="I25" s="140"/>
      <c r="J25" s="140"/>
      <c r="K25" s="140"/>
      <c r="L25" s="140"/>
      <c r="M25" s="140"/>
      <c r="N25" s="140"/>
      <c r="O25" s="140">
        <v>71</v>
      </c>
      <c r="P25" s="140"/>
      <c r="Q25" s="139">
        <f t="shared" si="0"/>
        <v>71</v>
      </c>
      <c r="R25" s="144" t="str">
        <f t="shared" si="1"/>
        <v>NO</v>
      </c>
      <c r="S25" s="145" t="str">
        <f t="shared" si="2"/>
        <v>Alto</v>
      </c>
      <c r="T25" s="230"/>
    </row>
    <row r="26" spans="1:20" s="163" customFormat="1" ht="32.1" customHeight="1">
      <c r="A26" s="125" t="s">
        <v>79</v>
      </c>
      <c r="B26" s="294" t="s">
        <v>72</v>
      </c>
      <c r="C26" s="294" t="s">
        <v>4140</v>
      </c>
      <c r="D26" s="119">
        <v>95</v>
      </c>
      <c r="E26" s="140"/>
      <c r="F26" s="140"/>
      <c r="G26" s="140">
        <v>90.3</v>
      </c>
      <c r="H26" s="140"/>
      <c r="I26" s="140"/>
      <c r="J26" s="140"/>
      <c r="K26" s="140"/>
      <c r="L26" s="140">
        <v>71</v>
      </c>
      <c r="M26" s="140"/>
      <c r="N26" s="140"/>
      <c r="O26" s="140"/>
      <c r="P26" s="140"/>
      <c r="Q26" s="139">
        <f t="shared" si="0"/>
        <v>80.650000000000006</v>
      </c>
      <c r="R26" s="144" t="str">
        <f t="shared" si="1"/>
        <v>NO</v>
      </c>
      <c r="S26" s="145" t="str">
        <f t="shared" si="2"/>
        <v>Inviable Sanitariamente</v>
      </c>
      <c r="T26" s="230"/>
    </row>
    <row r="27" spans="1:20" s="163" customFormat="1" ht="32.1" customHeight="1">
      <c r="A27" s="125" t="s">
        <v>79</v>
      </c>
      <c r="B27" s="294" t="s">
        <v>4141</v>
      </c>
      <c r="C27" s="294" t="s">
        <v>4142</v>
      </c>
      <c r="D27" s="119">
        <v>42</v>
      </c>
      <c r="E27" s="140"/>
      <c r="F27" s="140"/>
      <c r="G27" s="140"/>
      <c r="H27" s="140"/>
      <c r="I27" s="140">
        <v>46.5</v>
      </c>
      <c r="J27" s="140"/>
      <c r="K27" s="140"/>
      <c r="L27" s="140"/>
      <c r="M27" s="140"/>
      <c r="N27" s="140">
        <v>19.399999999999999</v>
      </c>
      <c r="O27" s="140"/>
      <c r="P27" s="140"/>
      <c r="Q27" s="139">
        <f t="shared" si="0"/>
        <v>32.950000000000003</v>
      </c>
      <c r="R27" s="144" t="str">
        <f t="shared" si="1"/>
        <v>NO</v>
      </c>
      <c r="S27" s="145" t="str">
        <f t="shared" si="2"/>
        <v>Medio</v>
      </c>
      <c r="T27" s="230"/>
    </row>
    <row r="28" spans="1:20" s="163" customFormat="1" ht="32.1" customHeight="1">
      <c r="A28" s="125" t="s">
        <v>79</v>
      </c>
      <c r="B28" s="294" t="s">
        <v>503</v>
      </c>
      <c r="C28" s="294" t="s">
        <v>285</v>
      </c>
      <c r="D28" s="119">
        <v>351</v>
      </c>
      <c r="E28" s="140"/>
      <c r="F28" s="140">
        <v>19.399999999999999</v>
      </c>
      <c r="G28" s="140"/>
      <c r="H28" s="140"/>
      <c r="I28" s="140"/>
      <c r="J28" s="140"/>
      <c r="K28" s="140">
        <v>19.399999999999999</v>
      </c>
      <c r="L28" s="140"/>
      <c r="M28" s="140"/>
      <c r="N28" s="140"/>
      <c r="O28" s="140"/>
      <c r="P28" s="140"/>
      <c r="Q28" s="139">
        <f t="shared" si="0"/>
        <v>19.399999999999999</v>
      </c>
      <c r="R28" s="144" t="str">
        <f t="shared" si="1"/>
        <v>NO</v>
      </c>
      <c r="S28" s="145" t="str">
        <f t="shared" si="2"/>
        <v>Medio</v>
      </c>
      <c r="T28" s="230"/>
    </row>
    <row r="29" spans="1:20" s="163" customFormat="1" ht="32.1" customHeight="1">
      <c r="A29" s="125" t="s">
        <v>79</v>
      </c>
      <c r="B29" s="294" t="s">
        <v>286</v>
      </c>
      <c r="C29" s="328" t="s">
        <v>4143</v>
      </c>
      <c r="D29" s="119">
        <v>45</v>
      </c>
      <c r="E29" s="140"/>
      <c r="F29" s="140"/>
      <c r="G29" s="140"/>
      <c r="H29" s="140">
        <v>38.700000000000003</v>
      </c>
      <c r="I29" s="140"/>
      <c r="J29" s="140"/>
      <c r="K29" s="140"/>
      <c r="L29" s="140"/>
      <c r="M29" s="140">
        <v>90.3</v>
      </c>
      <c r="N29" s="140"/>
      <c r="O29" s="140"/>
      <c r="P29" s="140"/>
      <c r="Q29" s="139">
        <f t="shared" si="0"/>
        <v>64.5</v>
      </c>
      <c r="R29" s="144" t="str">
        <f t="shared" si="1"/>
        <v>NO</v>
      </c>
      <c r="S29" s="145" t="str">
        <f t="shared" si="2"/>
        <v>Alto</v>
      </c>
      <c r="T29" s="230"/>
    </row>
    <row r="30" spans="1:20" s="163" customFormat="1" ht="32.1" customHeight="1">
      <c r="A30" s="125" t="s">
        <v>79</v>
      </c>
      <c r="B30" s="294" t="s">
        <v>287</v>
      </c>
      <c r="C30" s="328" t="s">
        <v>288</v>
      </c>
      <c r="D30" s="119">
        <v>172</v>
      </c>
      <c r="E30" s="140"/>
      <c r="F30" s="140"/>
      <c r="G30" s="140"/>
      <c r="H30" s="140"/>
      <c r="I30" s="140"/>
      <c r="J30" s="140"/>
      <c r="K30" s="140"/>
      <c r="L30" s="140"/>
      <c r="M30" s="140"/>
      <c r="N30" s="140"/>
      <c r="O30" s="140"/>
      <c r="P30" s="140">
        <v>0</v>
      </c>
      <c r="Q30" s="139">
        <f t="shared" si="0"/>
        <v>0</v>
      </c>
      <c r="R30" s="144" t="str">
        <f t="shared" si="1"/>
        <v>SI</v>
      </c>
      <c r="S30" s="145" t="str">
        <f t="shared" si="2"/>
        <v>Sin Riesgo</v>
      </c>
      <c r="T30" s="230"/>
    </row>
    <row r="31" spans="1:20" s="163" customFormat="1" ht="32.1" customHeight="1">
      <c r="A31" s="125" t="s">
        <v>79</v>
      </c>
      <c r="B31" s="294" t="s">
        <v>40</v>
      </c>
      <c r="C31" s="328" t="s">
        <v>289</v>
      </c>
      <c r="D31" s="119">
        <v>85</v>
      </c>
      <c r="E31" s="140"/>
      <c r="F31" s="140"/>
      <c r="G31" s="140"/>
      <c r="H31" s="140"/>
      <c r="I31" s="140">
        <v>27.1</v>
      </c>
      <c r="J31" s="140"/>
      <c r="K31" s="140"/>
      <c r="L31" s="140"/>
      <c r="M31" s="140"/>
      <c r="N31" s="140">
        <v>72</v>
      </c>
      <c r="O31" s="140"/>
      <c r="P31" s="140"/>
      <c r="Q31" s="139">
        <f t="shared" si="0"/>
        <v>49.55</v>
      </c>
      <c r="R31" s="144" t="str">
        <f t="shared" si="1"/>
        <v>NO</v>
      </c>
      <c r="S31" s="145" t="str">
        <f t="shared" si="2"/>
        <v>Alto</v>
      </c>
      <c r="T31" s="230"/>
    </row>
    <row r="32" spans="1:20" s="163" customFormat="1" ht="32.1" customHeight="1">
      <c r="A32" s="125" t="s">
        <v>79</v>
      </c>
      <c r="B32" s="294" t="s">
        <v>55</v>
      </c>
      <c r="C32" s="294" t="s">
        <v>4144</v>
      </c>
      <c r="D32" s="119">
        <v>65</v>
      </c>
      <c r="E32" s="140"/>
      <c r="F32" s="140"/>
      <c r="G32" s="140"/>
      <c r="H32" s="140"/>
      <c r="I32" s="140"/>
      <c r="J32" s="140"/>
      <c r="K32" s="140"/>
      <c r="L32" s="140"/>
      <c r="M32" s="140">
        <v>90.3</v>
      </c>
      <c r="N32" s="140"/>
      <c r="O32" s="140"/>
      <c r="P32" s="140">
        <v>98.1</v>
      </c>
      <c r="Q32" s="139">
        <f t="shared" si="0"/>
        <v>94.199999999999989</v>
      </c>
      <c r="R32" s="144" t="str">
        <f t="shared" si="1"/>
        <v>NO</v>
      </c>
      <c r="S32" s="145" t="str">
        <f t="shared" si="2"/>
        <v>Inviable Sanitariamente</v>
      </c>
      <c r="T32" s="230"/>
    </row>
    <row r="33" spans="1:23" s="163" customFormat="1" ht="32.1" customHeight="1">
      <c r="A33" s="125" t="s">
        <v>79</v>
      </c>
      <c r="B33" s="294" t="s">
        <v>4145</v>
      </c>
      <c r="C33" s="294" t="s">
        <v>4146</v>
      </c>
      <c r="D33" s="119"/>
      <c r="E33" s="140"/>
      <c r="F33" s="140"/>
      <c r="G33" s="140"/>
      <c r="H33" s="140"/>
      <c r="I33" s="140"/>
      <c r="J33" s="140"/>
      <c r="K33" s="140"/>
      <c r="L33" s="140"/>
      <c r="M33" s="140"/>
      <c r="N33" s="140"/>
      <c r="O33" s="140"/>
      <c r="P33" s="140"/>
      <c r="Q33" s="139" t="e">
        <f t="shared" si="0"/>
        <v>#DIV/0!</v>
      </c>
      <c r="R33" s="144" t="e">
        <f t="shared" si="1"/>
        <v>#DIV/0!</v>
      </c>
      <c r="S33" s="145" t="e">
        <f t="shared" si="2"/>
        <v>#DIV/0!</v>
      </c>
      <c r="T33" s="230"/>
    </row>
    <row r="34" spans="1:23" s="163" customFormat="1" ht="32.1" customHeight="1">
      <c r="A34" s="125" t="s">
        <v>79</v>
      </c>
      <c r="B34" s="294" t="s">
        <v>4147</v>
      </c>
      <c r="C34" s="294" t="s">
        <v>4148</v>
      </c>
      <c r="D34" s="119">
        <v>20</v>
      </c>
      <c r="E34" s="140"/>
      <c r="F34" s="140"/>
      <c r="G34" s="140"/>
      <c r="H34" s="140"/>
      <c r="I34" s="140">
        <v>98.1</v>
      </c>
      <c r="J34" s="140"/>
      <c r="K34" s="140"/>
      <c r="L34" s="140"/>
      <c r="M34" s="140"/>
      <c r="N34" s="140">
        <v>78.7</v>
      </c>
      <c r="O34" s="140"/>
      <c r="P34" s="140"/>
      <c r="Q34" s="139">
        <f t="shared" si="0"/>
        <v>88.4</v>
      </c>
      <c r="R34" s="144" t="str">
        <f t="shared" si="1"/>
        <v>NO</v>
      </c>
      <c r="S34" s="145" t="str">
        <f t="shared" si="2"/>
        <v>Inviable Sanitariamente</v>
      </c>
      <c r="T34" s="230"/>
    </row>
    <row r="35" spans="1:23" s="163" customFormat="1" ht="32.1" customHeight="1">
      <c r="A35" s="125" t="s">
        <v>79</v>
      </c>
      <c r="B35" s="294" t="s">
        <v>4149</v>
      </c>
      <c r="C35" s="294" t="s">
        <v>4150</v>
      </c>
      <c r="D35" s="119">
        <v>25</v>
      </c>
      <c r="E35" s="140"/>
      <c r="F35" s="140"/>
      <c r="G35" s="140">
        <v>71</v>
      </c>
      <c r="H35" s="140"/>
      <c r="I35" s="140"/>
      <c r="J35" s="140"/>
      <c r="K35" s="140"/>
      <c r="L35" s="140">
        <v>71</v>
      </c>
      <c r="M35" s="140"/>
      <c r="N35" s="140"/>
      <c r="O35" s="140"/>
      <c r="P35" s="140"/>
      <c r="Q35" s="139">
        <f t="shared" si="0"/>
        <v>71</v>
      </c>
      <c r="R35" s="144" t="str">
        <f t="shared" si="1"/>
        <v>NO</v>
      </c>
      <c r="S35" s="145" t="str">
        <f t="shared" si="2"/>
        <v>Alto</v>
      </c>
      <c r="T35" s="230"/>
    </row>
    <row r="36" spans="1:23" s="163" customFormat="1" ht="32.1" customHeight="1">
      <c r="A36" s="125" t="s">
        <v>79</v>
      </c>
      <c r="B36" s="294" t="s">
        <v>4151</v>
      </c>
      <c r="C36" s="294" t="s">
        <v>4152</v>
      </c>
      <c r="D36" s="119">
        <v>530</v>
      </c>
      <c r="E36" s="140"/>
      <c r="F36" s="140">
        <v>19.399999999999999</v>
      </c>
      <c r="G36" s="140"/>
      <c r="H36" s="140"/>
      <c r="I36" s="140"/>
      <c r="J36" s="140"/>
      <c r="K36" s="140">
        <v>19.399999999999999</v>
      </c>
      <c r="L36" s="140"/>
      <c r="M36" s="140"/>
      <c r="N36" s="140"/>
      <c r="O36" s="140"/>
      <c r="P36" s="140"/>
      <c r="Q36" s="139">
        <f t="shared" si="0"/>
        <v>19.399999999999999</v>
      </c>
      <c r="R36" s="144" t="str">
        <f t="shared" si="1"/>
        <v>NO</v>
      </c>
      <c r="S36" s="145" t="str">
        <f t="shared" si="2"/>
        <v>Medio</v>
      </c>
      <c r="T36" s="230"/>
    </row>
    <row r="37" spans="1:23" s="163" customFormat="1" ht="32.1" customHeight="1">
      <c r="A37" s="125" t="s">
        <v>79</v>
      </c>
      <c r="B37" s="294" t="s">
        <v>41</v>
      </c>
      <c r="C37" s="328" t="s">
        <v>4153</v>
      </c>
      <c r="D37" s="119">
        <v>8</v>
      </c>
      <c r="E37" s="140"/>
      <c r="F37" s="140"/>
      <c r="G37" s="140"/>
      <c r="H37" s="140"/>
      <c r="I37" s="140"/>
      <c r="J37" s="140">
        <v>38.700000000000003</v>
      </c>
      <c r="K37" s="140"/>
      <c r="L37" s="140"/>
      <c r="M37" s="140"/>
      <c r="N37" s="140"/>
      <c r="O37" s="140">
        <v>38.71</v>
      </c>
      <c r="P37" s="140"/>
      <c r="Q37" s="139">
        <f t="shared" si="0"/>
        <v>38.704999999999998</v>
      </c>
      <c r="R37" s="144" t="str">
        <f t="shared" si="1"/>
        <v>NO</v>
      </c>
      <c r="S37" s="145" t="str">
        <f t="shared" si="2"/>
        <v>Alto</v>
      </c>
      <c r="T37" s="230"/>
    </row>
    <row r="38" spans="1:23" s="163" customFormat="1" ht="45" customHeight="1">
      <c r="A38" s="125" t="s">
        <v>79</v>
      </c>
      <c r="B38" s="294" t="s">
        <v>541</v>
      </c>
      <c r="C38" s="294" t="s">
        <v>4154</v>
      </c>
      <c r="D38" s="119">
        <v>170</v>
      </c>
      <c r="E38" s="140"/>
      <c r="F38" s="140"/>
      <c r="G38" s="140">
        <v>0</v>
      </c>
      <c r="H38" s="140"/>
      <c r="I38" s="140"/>
      <c r="J38" s="140"/>
      <c r="K38" s="140"/>
      <c r="L38" s="140"/>
      <c r="M38" s="140"/>
      <c r="N38" s="140"/>
      <c r="O38" s="140">
        <v>19.399999999999999</v>
      </c>
      <c r="P38" s="140"/>
      <c r="Q38" s="139">
        <f t="shared" si="0"/>
        <v>9.6999999999999993</v>
      </c>
      <c r="R38" s="144" t="str">
        <f t="shared" si="1"/>
        <v>NO</v>
      </c>
      <c r="S38" s="145" t="str">
        <f t="shared" si="2"/>
        <v>Bajo</v>
      </c>
      <c r="T38" s="230"/>
    </row>
    <row r="39" spans="1:23" s="163" customFormat="1" ht="32.1" customHeight="1">
      <c r="A39" s="125" t="s">
        <v>79</v>
      </c>
      <c r="B39" s="294" t="s">
        <v>4155</v>
      </c>
      <c r="C39" s="294" t="s">
        <v>4156</v>
      </c>
      <c r="D39" s="119">
        <v>307</v>
      </c>
      <c r="E39" s="140"/>
      <c r="F39" s="140"/>
      <c r="G39" s="140"/>
      <c r="H39" s="140">
        <v>90.3</v>
      </c>
      <c r="I39" s="140"/>
      <c r="J39" s="140"/>
      <c r="K39" s="140"/>
      <c r="L39" s="140"/>
      <c r="M39" s="140">
        <v>90.3</v>
      </c>
      <c r="N39" s="140"/>
      <c r="O39" s="140"/>
      <c r="P39" s="140"/>
      <c r="Q39" s="139">
        <f t="shared" si="0"/>
        <v>90.3</v>
      </c>
      <c r="R39" s="144" t="str">
        <f t="shared" si="1"/>
        <v>NO</v>
      </c>
      <c r="S39" s="145" t="str">
        <f t="shared" si="2"/>
        <v>Inviable Sanitariamente</v>
      </c>
      <c r="T39" s="230"/>
    </row>
    <row r="40" spans="1:23" s="163" customFormat="1" ht="32.1" customHeight="1">
      <c r="A40" s="125" t="s">
        <v>79</v>
      </c>
      <c r="B40" s="294" t="s">
        <v>42</v>
      </c>
      <c r="C40" s="294" t="s">
        <v>4157</v>
      </c>
      <c r="D40" s="119">
        <v>57</v>
      </c>
      <c r="E40" s="140"/>
      <c r="F40" s="140"/>
      <c r="G40" s="140">
        <v>71</v>
      </c>
      <c r="H40" s="140"/>
      <c r="I40" s="140"/>
      <c r="J40" s="140"/>
      <c r="K40" s="140"/>
      <c r="L40" s="140"/>
      <c r="M40" s="140"/>
      <c r="N40" s="140"/>
      <c r="O40" s="140">
        <v>90.3</v>
      </c>
      <c r="P40" s="140"/>
      <c r="Q40" s="139">
        <f t="shared" si="0"/>
        <v>80.650000000000006</v>
      </c>
      <c r="R40" s="144" t="str">
        <f t="shared" si="1"/>
        <v>NO</v>
      </c>
      <c r="S40" s="145" t="str">
        <f t="shared" si="2"/>
        <v>Inviable Sanitariamente</v>
      </c>
      <c r="T40" s="230"/>
    </row>
    <row r="41" spans="1:23" s="163" customFormat="1" ht="32.1" customHeight="1">
      <c r="A41" s="125" t="s">
        <v>79</v>
      </c>
      <c r="B41" s="294" t="s">
        <v>290</v>
      </c>
      <c r="C41" s="294" t="s">
        <v>291</v>
      </c>
      <c r="D41" s="119">
        <v>31</v>
      </c>
      <c r="E41" s="140"/>
      <c r="F41" s="140"/>
      <c r="G41" s="140"/>
      <c r="H41" s="140"/>
      <c r="I41" s="140"/>
      <c r="J41" s="140"/>
      <c r="K41" s="140"/>
      <c r="L41" s="140"/>
      <c r="M41" s="140"/>
      <c r="N41" s="140"/>
      <c r="O41" s="140"/>
      <c r="P41" s="140"/>
      <c r="Q41" s="139" t="e">
        <f t="shared" si="0"/>
        <v>#DIV/0!</v>
      </c>
      <c r="R41" s="144" t="e">
        <f t="shared" si="1"/>
        <v>#DIV/0!</v>
      </c>
      <c r="S41" s="145" t="e">
        <f t="shared" si="2"/>
        <v>#DIV/0!</v>
      </c>
      <c r="T41" s="230"/>
    </row>
    <row r="42" spans="1:23" s="163" customFormat="1" ht="47.25" customHeight="1">
      <c r="A42" s="125" t="s">
        <v>79</v>
      </c>
      <c r="B42" s="294" t="s">
        <v>10</v>
      </c>
      <c r="C42" s="294" t="s">
        <v>4158</v>
      </c>
      <c r="D42" s="119">
        <v>247</v>
      </c>
      <c r="E42" s="140"/>
      <c r="F42" s="140"/>
      <c r="G42" s="140">
        <v>0</v>
      </c>
      <c r="H42" s="140"/>
      <c r="I42" s="140"/>
      <c r="J42" s="140"/>
      <c r="K42" s="140"/>
      <c r="L42" s="140">
        <v>0</v>
      </c>
      <c r="M42" s="140"/>
      <c r="N42" s="140"/>
      <c r="O42" s="140"/>
      <c r="P42" s="140"/>
      <c r="Q42" s="139">
        <f t="shared" si="0"/>
        <v>0</v>
      </c>
      <c r="R42" s="144" t="str">
        <f t="shared" si="1"/>
        <v>SI</v>
      </c>
      <c r="S42" s="145" t="str">
        <f t="shared" si="2"/>
        <v>Sin Riesgo</v>
      </c>
      <c r="T42" s="230"/>
    </row>
    <row r="43" spans="1:23" s="163" customFormat="1" ht="32.1" customHeight="1">
      <c r="A43" s="125" t="s">
        <v>79</v>
      </c>
      <c r="B43" s="294" t="s">
        <v>43</v>
      </c>
      <c r="C43" s="328" t="s">
        <v>4159</v>
      </c>
      <c r="D43" s="119">
        <v>57</v>
      </c>
      <c r="E43" s="140"/>
      <c r="F43" s="140"/>
      <c r="G43" s="140"/>
      <c r="H43" s="140"/>
      <c r="I43" s="140">
        <v>98.1</v>
      </c>
      <c r="J43" s="140"/>
      <c r="K43" s="140"/>
      <c r="L43" s="140"/>
      <c r="M43" s="140"/>
      <c r="N43" s="140"/>
      <c r="O43" s="140"/>
      <c r="P43" s="140">
        <v>97.6</v>
      </c>
      <c r="Q43" s="139">
        <f t="shared" ref="Q43:Q74" si="3">AVERAGE(E43:P43)</f>
        <v>97.85</v>
      </c>
      <c r="R43" s="144" t="str">
        <f t="shared" ref="R43:R74" si="4">IF(Q43&lt;5,"SI","NO")</f>
        <v>NO</v>
      </c>
      <c r="S43" s="145" t="str">
        <f t="shared" si="2"/>
        <v>Inviable Sanitariamente</v>
      </c>
      <c r="T43" s="357"/>
      <c r="U43" s="358"/>
      <c r="V43" s="358"/>
      <c r="W43" s="358"/>
    </row>
    <row r="44" spans="1:23" s="163" customFormat="1" ht="32.1" customHeight="1">
      <c r="A44" s="125" t="s">
        <v>79</v>
      </c>
      <c r="B44" s="294" t="s">
        <v>44</v>
      </c>
      <c r="C44" s="294" t="s">
        <v>4160</v>
      </c>
      <c r="D44" s="119">
        <v>104</v>
      </c>
      <c r="E44" s="140"/>
      <c r="F44" s="140"/>
      <c r="G44" s="140"/>
      <c r="H44" s="140">
        <v>71</v>
      </c>
      <c r="I44" s="140"/>
      <c r="J44" s="140"/>
      <c r="K44" s="140"/>
      <c r="L44" s="140"/>
      <c r="M44" s="140">
        <v>71</v>
      </c>
      <c r="N44" s="140"/>
      <c r="O44" s="140"/>
      <c r="P44" s="140"/>
      <c r="Q44" s="139">
        <f t="shared" si="3"/>
        <v>71</v>
      </c>
      <c r="R44" s="144" t="str">
        <f t="shared" si="4"/>
        <v>NO</v>
      </c>
      <c r="S44" s="145" t="str">
        <f t="shared" si="2"/>
        <v>Alto</v>
      </c>
      <c r="T44" s="230"/>
    </row>
    <row r="45" spans="1:23" s="163" customFormat="1" ht="32.1" customHeight="1">
      <c r="A45" s="125" t="s">
        <v>79</v>
      </c>
      <c r="B45" s="294" t="s">
        <v>4161</v>
      </c>
      <c r="C45" s="294" t="s">
        <v>4162</v>
      </c>
      <c r="D45" s="119">
        <v>742</v>
      </c>
      <c r="E45" s="140"/>
      <c r="F45" s="140"/>
      <c r="G45" s="140">
        <v>90.3</v>
      </c>
      <c r="H45" s="140"/>
      <c r="I45" s="140"/>
      <c r="J45" s="140"/>
      <c r="K45" s="140"/>
      <c r="L45" s="140"/>
      <c r="M45" s="140"/>
      <c r="N45" s="140"/>
      <c r="O45" s="140">
        <v>98.1</v>
      </c>
      <c r="P45" s="140"/>
      <c r="Q45" s="139">
        <f t="shared" si="3"/>
        <v>94.199999999999989</v>
      </c>
      <c r="R45" s="144" t="str">
        <f t="shared" si="4"/>
        <v>NO</v>
      </c>
      <c r="S45" s="145" t="str">
        <f t="shared" si="2"/>
        <v>Inviable Sanitariamente</v>
      </c>
      <c r="T45" s="230"/>
    </row>
    <row r="46" spans="1:23" s="163" customFormat="1" ht="32.1" customHeight="1">
      <c r="A46" s="125" t="s">
        <v>79</v>
      </c>
      <c r="B46" s="294" t="s">
        <v>4163</v>
      </c>
      <c r="C46" s="294" t="s">
        <v>292</v>
      </c>
      <c r="D46" s="119">
        <v>57</v>
      </c>
      <c r="E46" s="140"/>
      <c r="F46" s="140"/>
      <c r="G46" s="140"/>
      <c r="H46" s="140"/>
      <c r="I46" s="140"/>
      <c r="J46" s="140"/>
      <c r="K46" s="140"/>
      <c r="L46" s="140">
        <v>90.3</v>
      </c>
      <c r="M46" s="140">
        <v>71</v>
      </c>
      <c r="N46" s="140"/>
      <c r="O46" s="140"/>
      <c r="P46" s="140">
        <v>97.4</v>
      </c>
      <c r="Q46" s="139">
        <f t="shared" si="3"/>
        <v>86.233333333333348</v>
      </c>
      <c r="R46" s="144" t="str">
        <f t="shared" si="4"/>
        <v>NO</v>
      </c>
      <c r="S46" s="145" t="str">
        <f t="shared" si="2"/>
        <v>Inviable Sanitariamente</v>
      </c>
      <c r="T46" s="230"/>
    </row>
    <row r="47" spans="1:23" s="163" customFormat="1" ht="32.1" customHeight="1">
      <c r="A47" s="125" t="s">
        <v>79</v>
      </c>
      <c r="B47" s="294" t="s">
        <v>67</v>
      </c>
      <c r="C47" s="328" t="s">
        <v>293</v>
      </c>
      <c r="D47" s="119">
        <v>100</v>
      </c>
      <c r="E47" s="140"/>
      <c r="F47" s="140"/>
      <c r="G47" s="140">
        <v>90.3</v>
      </c>
      <c r="H47" s="140"/>
      <c r="I47" s="140"/>
      <c r="J47" s="140"/>
      <c r="K47" s="140"/>
      <c r="L47" s="140"/>
      <c r="M47" s="140"/>
      <c r="N47" s="140"/>
      <c r="O47" s="140"/>
      <c r="P47" s="140"/>
      <c r="Q47" s="139">
        <f t="shared" si="3"/>
        <v>90.3</v>
      </c>
      <c r="R47" s="144" t="str">
        <f t="shared" si="4"/>
        <v>NO</v>
      </c>
      <c r="S47" s="145" t="str">
        <f t="shared" si="2"/>
        <v>Inviable Sanitariamente</v>
      </c>
      <c r="T47" s="230"/>
    </row>
    <row r="48" spans="1:23" s="163" customFormat="1" ht="32.1" customHeight="1">
      <c r="A48" s="125" t="s">
        <v>79</v>
      </c>
      <c r="B48" s="294" t="s">
        <v>277</v>
      </c>
      <c r="C48" s="294" t="s">
        <v>294</v>
      </c>
      <c r="D48" s="119">
        <v>151</v>
      </c>
      <c r="E48" s="140"/>
      <c r="F48" s="140"/>
      <c r="G48" s="140"/>
      <c r="H48" s="140">
        <v>71</v>
      </c>
      <c r="I48" s="140"/>
      <c r="J48" s="140"/>
      <c r="K48" s="140"/>
      <c r="L48" s="140"/>
      <c r="M48" s="140">
        <v>38.700000000000003</v>
      </c>
      <c r="N48" s="140"/>
      <c r="O48" s="140"/>
      <c r="P48" s="140">
        <v>70.900000000000006</v>
      </c>
      <c r="Q48" s="139">
        <f t="shared" si="3"/>
        <v>60.20000000000001</v>
      </c>
      <c r="R48" s="144" t="str">
        <f t="shared" si="4"/>
        <v>NO</v>
      </c>
      <c r="S48" s="145" t="str">
        <f t="shared" si="2"/>
        <v>Alto</v>
      </c>
      <c r="T48" s="230"/>
    </row>
    <row r="49" spans="1:20" s="163" customFormat="1" ht="32.1" customHeight="1">
      <c r="A49" s="125" t="s">
        <v>79</v>
      </c>
      <c r="B49" s="294" t="s">
        <v>539</v>
      </c>
      <c r="C49" s="294" t="s">
        <v>4164</v>
      </c>
      <c r="D49" s="119">
        <v>41</v>
      </c>
      <c r="E49" s="140"/>
      <c r="F49" s="140"/>
      <c r="G49" s="140"/>
      <c r="H49" s="140"/>
      <c r="I49" s="140"/>
      <c r="J49" s="140"/>
      <c r="K49" s="140"/>
      <c r="L49" s="140"/>
      <c r="M49" s="140">
        <v>98.1</v>
      </c>
      <c r="N49" s="140"/>
      <c r="O49" s="140"/>
      <c r="P49" s="140">
        <v>70.900000000000006</v>
      </c>
      <c r="Q49" s="139">
        <f t="shared" si="3"/>
        <v>84.5</v>
      </c>
      <c r="R49" s="144" t="str">
        <f t="shared" si="4"/>
        <v>NO</v>
      </c>
      <c r="S49" s="145" t="str">
        <f t="shared" si="2"/>
        <v>Inviable Sanitariamente</v>
      </c>
      <c r="T49" s="230"/>
    </row>
    <row r="50" spans="1:20" s="163" customFormat="1" ht="32.1" customHeight="1">
      <c r="A50" s="125" t="s">
        <v>79</v>
      </c>
      <c r="B50" s="294" t="s">
        <v>68</v>
      </c>
      <c r="C50" s="294" t="s">
        <v>4165</v>
      </c>
      <c r="D50" s="119">
        <v>205</v>
      </c>
      <c r="E50" s="140"/>
      <c r="F50" s="140"/>
      <c r="G50" s="140"/>
      <c r="H50" s="140"/>
      <c r="I50" s="140"/>
      <c r="J50" s="140">
        <v>90.3</v>
      </c>
      <c r="K50" s="140"/>
      <c r="L50" s="140"/>
      <c r="M50" s="140"/>
      <c r="N50" s="140">
        <v>71</v>
      </c>
      <c r="O50" s="140"/>
      <c r="P50" s="140"/>
      <c r="Q50" s="139">
        <f t="shared" si="3"/>
        <v>80.650000000000006</v>
      </c>
      <c r="R50" s="144" t="str">
        <f t="shared" si="4"/>
        <v>NO</v>
      </c>
      <c r="S50" s="145" t="str">
        <f t="shared" si="2"/>
        <v>Inviable Sanitariamente</v>
      </c>
      <c r="T50" s="230"/>
    </row>
    <row r="51" spans="1:20" s="163" customFormat="1" ht="32.1" customHeight="1">
      <c r="A51" s="125" t="s">
        <v>79</v>
      </c>
      <c r="B51" s="294" t="s">
        <v>62</v>
      </c>
      <c r="C51" s="328" t="s">
        <v>295</v>
      </c>
      <c r="D51" s="119">
        <v>160</v>
      </c>
      <c r="E51" s="140"/>
      <c r="F51" s="140"/>
      <c r="G51" s="140"/>
      <c r="H51" s="140"/>
      <c r="I51" s="140">
        <v>90.3</v>
      </c>
      <c r="J51" s="140"/>
      <c r="K51" s="140"/>
      <c r="L51" s="140"/>
      <c r="M51" s="140"/>
      <c r="N51" s="140"/>
      <c r="O51" s="140"/>
      <c r="P51" s="140">
        <v>71</v>
      </c>
      <c r="Q51" s="139">
        <f t="shared" si="3"/>
        <v>80.650000000000006</v>
      </c>
      <c r="R51" s="144" t="str">
        <f t="shared" si="4"/>
        <v>NO</v>
      </c>
      <c r="S51" s="145" t="str">
        <f t="shared" si="2"/>
        <v>Inviable Sanitariamente</v>
      </c>
      <c r="T51" s="230"/>
    </row>
    <row r="52" spans="1:20" s="163" customFormat="1" ht="32.1" customHeight="1">
      <c r="A52" s="125" t="s">
        <v>79</v>
      </c>
      <c r="B52" s="294" t="s">
        <v>1061</v>
      </c>
      <c r="C52" s="328" t="s">
        <v>4166</v>
      </c>
      <c r="D52" s="119">
        <v>72</v>
      </c>
      <c r="E52" s="140"/>
      <c r="F52" s="140"/>
      <c r="G52" s="140"/>
      <c r="H52" s="140"/>
      <c r="I52" s="140"/>
      <c r="J52" s="140"/>
      <c r="K52" s="140"/>
      <c r="L52" s="140"/>
      <c r="M52" s="140"/>
      <c r="N52" s="140"/>
      <c r="O52" s="140">
        <v>38.700000000000003</v>
      </c>
      <c r="P52" s="140"/>
      <c r="Q52" s="139">
        <f t="shared" si="3"/>
        <v>38.700000000000003</v>
      </c>
      <c r="R52" s="144" t="str">
        <f t="shared" si="4"/>
        <v>NO</v>
      </c>
      <c r="S52" s="145" t="str">
        <f t="shared" si="2"/>
        <v>Alto</v>
      </c>
      <c r="T52" s="230"/>
    </row>
    <row r="53" spans="1:20" s="163" customFormat="1" ht="32.1" customHeight="1">
      <c r="A53" s="125" t="s">
        <v>79</v>
      </c>
      <c r="B53" s="294" t="s">
        <v>2708</v>
      </c>
      <c r="C53" s="328" t="s">
        <v>4167</v>
      </c>
      <c r="D53" s="119">
        <v>145</v>
      </c>
      <c r="E53" s="140"/>
      <c r="F53" s="140"/>
      <c r="G53" s="140"/>
      <c r="H53" s="140"/>
      <c r="I53" s="140"/>
      <c r="J53" s="140">
        <v>38.700000000000003</v>
      </c>
      <c r="K53" s="140"/>
      <c r="L53" s="140"/>
      <c r="M53" s="140"/>
      <c r="N53" s="140"/>
      <c r="O53" s="140"/>
      <c r="P53" s="140"/>
      <c r="Q53" s="139">
        <f t="shared" si="3"/>
        <v>38.700000000000003</v>
      </c>
      <c r="R53" s="144" t="str">
        <f t="shared" si="4"/>
        <v>NO</v>
      </c>
      <c r="S53" s="145" t="str">
        <f t="shared" si="2"/>
        <v>Alto</v>
      </c>
      <c r="T53" s="230"/>
    </row>
    <row r="54" spans="1:20" s="163" customFormat="1" ht="32.1" customHeight="1">
      <c r="A54" s="125" t="s">
        <v>79</v>
      </c>
      <c r="B54" s="294" t="s">
        <v>4168</v>
      </c>
      <c r="C54" s="328" t="s">
        <v>4169</v>
      </c>
      <c r="D54" s="119">
        <v>9</v>
      </c>
      <c r="E54" s="140"/>
      <c r="F54" s="140"/>
      <c r="G54" s="140">
        <v>71</v>
      </c>
      <c r="H54" s="140"/>
      <c r="I54" s="140"/>
      <c r="J54" s="140"/>
      <c r="K54" s="140"/>
      <c r="L54" s="140"/>
      <c r="M54" s="140"/>
      <c r="N54" s="140"/>
      <c r="O54" s="140"/>
      <c r="P54" s="140"/>
      <c r="Q54" s="139">
        <f t="shared" si="3"/>
        <v>71</v>
      </c>
      <c r="R54" s="144" t="str">
        <f t="shared" si="4"/>
        <v>NO</v>
      </c>
      <c r="S54" s="145" t="str">
        <f t="shared" si="2"/>
        <v>Alto</v>
      </c>
      <c r="T54" s="230"/>
    </row>
    <row r="55" spans="1:20" s="163" customFormat="1" ht="32.1" customHeight="1">
      <c r="A55" s="125" t="s">
        <v>79</v>
      </c>
      <c r="B55" s="294" t="s">
        <v>4170</v>
      </c>
      <c r="C55" s="294" t="s">
        <v>4171</v>
      </c>
      <c r="D55" s="119">
        <v>68</v>
      </c>
      <c r="E55" s="140"/>
      <c r="F55" s="140"/>
      <c r="G55" s="140"/>
      <c r="H55" s="140"/>
      <c r="I55" s="140"/>
      <c r="J55" s="140"/>
      <c r="K55" s="140"/>
      <c r="L55" s="140"/>
      <c r="M55" s="140">
        <v>0</v>
      </c>
      <c r="N55" s="140"/>
      <c r="O55" s="140"/>
      <c r="P55" s="140">
        <v>0</v>
      </c>
      <c r="Q55" s="139">
        <f t="shared" si="3"/>
        <v>0</v>
      </c>
      <c r="R55" s="144" t="str">
        <f t="shared" si="4"/>
        <v>SI</v>
      </c>
      <c r="S55" s="145" t="str">
        <f t="shared" si="2"/>
        <v>Sin Riesgo</v>
      </c>
      <c r="T55" s="230"/>
    </row>
    <row r="56" spans="1:20" s="163" customFormat="1" ht="32.1" customHeight="1">
      <c r="A56" s="125" t="s">
        <v>80</v>
      </c>
      <c r="B56" s="294" t="s">
        <v>296</v>
      </c>
      <c r="C56" s="294" t="s">
        <v>297</v>
      </c>
      <c r="D56" s="119">
        <v>650</v>
      </c>
      <c r="E56" s="140"/>
      <c r="F56" s="140"/>
      <c r="G56" s="140"/>
      <c r="H56" s="140">
        <v>8.2799999999999994</v>
      </c>
      <c r="I56" s="140">
        <v>0</v>
      </c>
      <c r="J56" s="140"/>
      <c r="K56" s="140">
        <v>0</v>
      </c>
      <c r="L56" s="140">
        <v>0</v>
      </c>
      <c r="M56" s="140"/>
      <c r="N56" s="140"/>
      <c r="O56" s="140"/>
      <c r="P56" s="140"/>
      <c r="Q56" s="139">
        <f t="shared" si="3"/>
        <v>2.0699999999999998</v>
      </c>
      <c r="R56" s="144" t="str">
        <f t="shared" si="4"/>
        <v>SI</v>
      </c>
      <c r="S56" s="145" t="str">
        <f t="shared" si="2"/>
        <v>Sin Riesgo</v>
      </c>
      <c r="T56" s="230"/>
    </row>
    <row r="57" spans="1:20" s="163" customFormat="1" ht="32.1" customHeight="1">
      <c r="A57" s="125" t="s">
        <v>80</v>
      </c>
      <c r="B57" s="294" t="s">
        <v>76</v>
      </c>
      <c r="C57" s="294" t="s">
        <v>298</v>
      </c>
      <c r="D57" s="119">
        <v>300</v>
      </c>
      <c r="E57" s="140"/>
      <c r="F57" s="140"/>
      <c r="G57" s="140"/>
      <c r="H57" s="140"/>
      <c r="I57" s="140">
        <v>46.45</v>
      </c>
      <c r="J57" s="140"/>
      <c r="K57" s="140">
        <v>0</v>
      </c>
      <c r="L57" s="140">
        <v>0</v>
      </c>
      <c r="M57" s="140"/>
      <c r="N57" s="140"/>
      <c r="O57" s="140"/>
      <c r="P57" s="140"/>
      <c r="Q57" s="139">
        <f t="shared" si="3"/>
        <v>15.483333333333334</v>
      </c>
      <c r="R57" s="144" t="str">
        <f t="shared" si="4"/>
        <v>NO</v>
      </c>
      <c r="S57" s="145" t="str">
        <f t="shared" si="2"/>
        <v>Medio</v>
      </c>
      <c r="T57" s="230"/>
    </row>
    <row r="58" spans="1:20" s="163" customFormat="1" ht="32.1" customHeight="1">
      <c r="A58" s="125" t="s">
        <v>80</v>
      </c>
      <c r="B58" s="294" t="s">
        <v>4172</v>
      </c>
      <c r="C58" s="294" t="s">
        <v>4173</v>
      </c>
      <c r="D58" s="119">
        <v>187</v>
      </c>
      <c r="E58" s="140">
        <v>0</v>
      </c>
      <c r="F58" s="140">
        <v>0</v>
      </c>
      <c r="G58" s="140">
        <v>0</v>
      </c>
      <c r="H58" s="140">
        <v>16.850000000000001</v>
      </c>
      <c r="I58" s="140"/>
      <c r="J58" s="140"/>
      <c r="K58" s="140">
        <v>70.97</v>
      </c>
      <c r="L58" s="140"/>
      <c r="M58" s="140"/>
      <c r="N58" s="140"/>
      <c r="O58" s="140"/>
      <c r="P58" s="140"/>
      <c r="Q58" s="139">
        <f t="shared" si="3"/>
        <v>17.564</v>
      </c>
      <c r="R58" s="144" t="str">
        <f t="shared" si="4"/>
        <v>NO</v>
      </c>
      <c r="S58" s="145" t="str">
        <f t="shared" si="2"/>
        <v>Medio</v>
      </c>
      <c r="T58" s="230"/>
    </row>
    <row r="59" spans="1:20" s="163" customFormat="1" ht="32.1" customHeight="1">
      <c r="A59" s="125" t="s">
        <v>80</v>
      </c>
      <c r="B59" s="294" t="s">
        <v>77</v>
      </c>
      <c r="C59" s="294" t="s">
        <v>299</v>
      </c>
      <c r="D59" s="119">
        <v>398</v>
      </c>
      <c r="E59" s="140"/>
      <c r="F59" s="140"/>
      <c r="G59" s="140"/>
      <c r="H59" s="140">
        <v>70.22</v>
      </c>
      <c r="I59" s="140">
        <v>7.74</v>
      </c>
      <c r="J59" s="140"/>
      <c r="K59" s="140">
        <v>70.97</v>
      </c>
      <c r="L59" s="140">
        <v>0</v>
      </c>
      <c r="M59" s="140"/>
      <c r="N59" s="140"/>
      <c r="O59" s="140"/>
      <c r="P59" s="140"/>
      <c r="Q59" s="139">
        <f t="shared" si="3"/>
        <v>37.232500000000002</v>
      </c>
      <c r="R59" s="144" t="str">
        <f t="shared" si="4"/>
        <v>NO</v>
      </c>
      <c r="S59" s="145" t="str">
        <f t="shared" si="2"/>
        <v>Alto</v>
      </c>
      <c r="T59" s="230"/>
    </row>
    <row r="60" spans="1:20" s="163" customFormat="1" ht="32.1" customHeight="1">
      <c r="A60" s="125" t="s">
        <v>80</v>
      </c>
      <c r="B60" s="294" t="s">
        <v>70</v>
      </c>
      <c r="C60" s="294" t="s">
        <v>300</v>
      </c>
      <c r="D60" s="119">
        <v>210</v>
      </c>
      <c r="E60" s="140"/>
      <c r="F60" s="140"/>
      <c r="G60" s="140"/>
      <c r="H60" s="140">
        <v>48.39</v>
      </c>
      <c r="I60" s="140">
        <v>90.32</v>
      </c>
      <c r="J60" s="140"/>
      <c r="K60" s="140"/>
      <c r="L60" s="140"/>
      <c r="M60" s="140"/>
      <c r="N60" s="140"/>
      <c r="O60" s="140"/>
      <c r="P60" s="140"/>
      <c r="Q60" s="139">
        <f t="shared" si="3"/>
        <v>69.35499999999999</v>
      </c>
      <c r="R60" s="144" t="str">
        <f t="shared" si="4"/>
        <v>NO</v>
      </c>
      <c r="S60" s="145" t="str">
        <f t="shared" si="2"/>
        <v>Alto</v>
      </c>
      <c r="T60" s="230"/>
    </row>
    <row r="61" spans="1:20" s="163" customFormat="1" ht="32.1" customHeight="1">
      <c r="A61" s="125" t="s">
        <v>80</v>
      </c>
      <c r="B61" s="294" t="s">
        <v>12</v>
      </c>
      <c r="C61" s="294" t="s">
        <v>301</v>
      </c>
      <c r="D61" s="119">
        <v>290</v>
      </c>
      <c r="E61" s="140"/>
      <c r="F61" s="140"/>
      <c r="G61" s="140"/>
      <c r="H61" s="140">
        <v>27.1</v>
      </c>
      <c r="I61" s="140">
        <v>46.45</v>
      </c>
      <c r="J61" s="140"/>
      <c r="K61" s="140"/>
      <c r="L61" s="140"/>
      <c r="M61" s="140"/>
      <c r="N61" s="140"/>
      <c r="O61" s="140"/>
      <c r="P61" s="140"/>
      <c r="Q61" s="139">
        <f t="shared" si="3"/>
        <v>36.775000000000006</v>
      </c>
      <c r="R61" s="144" t="str">
        <f t="shared" si="4"/>
        <v>NO</v>
      </c>
      <c r="S61" s="145" t="str">
        <f t="shared" si="2"/>
        <v>Alto</v>
      </c>
      <c r="T61" s="230"/>
    </row>
    <row r="62" spans="1:20" s="163" customFormat="1" ht="32.1" customHeight="1">
      <c r="A62" s="125" t="s">
        <v>80</v>
      </c>
      <c r="B62" s="294" t="s">
        <v>302</v>
      </c>
      <c r="C62" s="294" t="s">
        <v>303</v>
      </c>
      <c r="D62" s="119"/>
      <c r="E62" s="140"/>
      <c r="F62" s="140"/>
      <c r="G62" s="140"/>
      <c r="H62" s="140"/>
      <c r="I62" s="140"/>
      <c r="J62" s="140"/>
      <c r="K62" s="140"/>
      <c r="L62" s="140"/>
      <c r="M62" s="140"/>
      <c r="N62" s="140"/>
      <c r="O62" s="140"/>
      <c r="P62" s="140"/>
      <c r="Q62" s="139" t="e">
        <f t="shared" si="3"/>
        <v>#DIV/0!</v>
      </c>
      <c r="R62" s="144" t="e">
        <f t="shared" si="4"/>
        <v>#DIV/0!</v>
      </c>
      <c r="S62" s="145" t="e">
        <f t="shared" si="2"/>
        <v>#DIV/0!</v>
      </c>
      <c r="T62" s="230"/>
    </row>
    <row r="63" spans="1:20" s="163" customFormat="1" ht="32.1" customHeight="1">
      <c r="A63" s="125" t="s">
        <v>80</v>
      </c>
      <c r="B63" s="294" t="s">
        <v>304</v>
      </c>
      <c r="C63" s="294" t="s">
        <v>305</v>
      </c>
      <c r="D63" s="114"/>
      <c r="E63" s="140"/>
      <c r="F63" s="140"/>
      <c r="G63" s="140"/>
      <c r="H63" s="140"/>
      <c r="I63" s="140"/>
      <c r="J63" s="140"/>
      <c r="K63" s="140"/>
      <c r="L63" s="140"/>
      <c r="M63" s="140"/>
      <c r="N63" s="140"/>
      <c r="O63" s="140"/>
      <c r="P63" s="140"/>
      <c r="Q63" s="139" t="e">
        <f t="shared" si="3"/>
        <v>#DIV/0!</v>
      </c>
      <c r="R63" s="144" t="e">
        <f t="shared" si="4"/>
        <v>#DIV/0!</v>
      </c>
      <c r="S63" s="145" t="e">
        <f t="shared" si="2"/>
        <v>#DIV/0!</v>
      </c>
      <c r="T63" s="230"/>
    </row>
    <row r="64" spans="1:20" s="163" customFormat="1" ht="32.1" customHeight="1">
      <c r="A64" s="125" t="s">
        <v>80</v>
      </c>
      <c r="B64" s="294" t="s">
        <v>3</v>
      </c>
      <c r="C64" s="294" t="s">
        <v>310</v>
      </c>
      <c r="D64" s="119"/>
      <c r="E64" s="140"/>
      <c r="F64" s="140"/>
      <c r="G64" s="140"/>
      <c r="H64" s="140"/>
      <c r="I64" s="140"/>
      <c r="J64" s="140"/>
      <c r="K64" s="140"/>
      <c r="L64" s="140"/>
      <c r="M64" s="140"/>
      <c r="N64" s="140"/>
      <c r="O64" s="140"/>
      <c r="P64" s="140"/>
      <c r="Q64" s="139" t="e">
        <f t="shared" si="3"/>
        <v>#DIV/0!</v>
      </c>
      <c r="R64" s="144" t="e">
        <f t="shared" si="4"/>
        <v>#DIV/0!</v>
      </c>
      <c r="S64" s="145" t="e">
        <f t="shared" si="2"/>
        <v>#DIV/0!</v>
      </c>
      <c r="T64" s="230"/>
    </row>
    <row r="65" spans="1:23" s="163" customFormat="1" ht="32.1" customHeight="1">
      <c r="A65" s="125" t="s">
        <v>80</v>
      </c>
      <c r="B65" s="294" t="s">
        <v>4174</v>
      </c>
      <c r="C65" s="294" t="s">
        <v>4175</v>
      </c>
      <c r="D65" s="119"/>
      <c r="E65" s="140"/>
      <c r="F65" s="140"/>
      <c r="G65" s="140"/>
      <c r="H65" s="140"/>
      <c r="I65" s="140"/>
      <c r="J65" s="140"/>
      <c r="K65" s="140"/>
      <c r="L65" s="140"/>
      <c r="M65" s="140"/>
      <c r="N65" s="140"/>
      <c r="O65" s="140"/>
      <c r="P65" s="140"/>
      <c r="Q65" s="139" t="e">
        <f t="shared" si="3"/>
        <v>#DIV/0!</v>
      </c>
      <c r="R65" s="144" t="e">
        <f t="shared" si="4"/>
        <v>#DIV/0!</v>
      </c>
      <c r="S65" s="145" t="e">
        <f t="shared" si="2"/>
        <v>#DIV/0!</v>
      </c>
      <c r="T65" s="230"/>
    </row>
    <row r="66" spans="1:23" s="163" customFormat="1" ht="32.1" customHeight="1">
      <c r="A66" s="125" t="s">
        <v>80</v>
      </c>
      <c r="B66" s="294" t="s">
        <v>4176</v>
      </c>
      <c r="C66" s="294" t="s">
        <v>4177</v>
      </c>
      <c r="D66" s="114"/>
      <c r="E66" s="140"/>
      <c r="F66" s="140"/>
      <c r="G66" s="140"/>
      <c r="H66" s="140"/>
      <c r="I66" s="140"/>
      <c r="J66" s="140"/>
      <c r="K66" s="140"/>
      <c r="L66" s="140"/>
      <c r="M66" s="140"/>
      <c r="N66" s="140"/>
      <c r="O66" s="140"/>
      <c r="P66" s="140"/>
      <c r="Q66" s="139" t="e">
        <f t="shared" si="3"/>
        <v>#DIV/0!</v>
      </c>
      <c r="R66" s="144" t="e">
        <f t="shared" si="4"/>
        <v>#DIV/0!</v>
      </c>
      <c r="S66" s="145" t="e">
        <f t="shared" si="2"/>
        <v>#DIV/0!</v>
      </c>
      <c r="T66" s="230"/>
    </row>
    <row r="67" spans="1:23" s="163" customFormat="1" ht="32.1" customHeight="1">
      <c r="A67" s="125" t="s">
        <v>80</v>
      </c>
      <c r="B67" s="294" t="s">
        <v>306</v>
      </c>
      <c r="C67" s="294" t="s">
        <v>307</v>
      </c>
      <c r="D67" s="119"/>
      <c r="E67" s="140"/>
      <c r="F67" s="140"/>
      <c r="G67" s="140"/>
      <c r="H67" s="140"/>
      <c r="I67" s="140"/>
      <c r="J67" s="140"/>
      <c r="K67" s="140"/>
      <c r="L67" s="140"/>
      <c r="M67" s="140"/>
      <c r="N67" s="140"/>
      <c r="O67" s="140"/>
      <c r="P67" s="140"/>
      <c r="Q67" s="139" t="e">
        <f t="shared" si="3"/>
        <v>#DIV/0!</v>
      </c>
      <c r="R67" s="144" t="e">
        <f t="shared" si="4"/>
        <v>#DIV/0!</v>
      </c>
      <c r="S67" s="145" t="e">
        <f t="shared" si="2"/>
        <v>#DIV/0!</v>
      </c>
      <c r="T67" s="230"/>
    </row>
    <row r="68" spans="1:23" s="163" customFormat="1" ht="32.1" customHeight="1">
      <c r="A68" s="125" t="s">
        <v>80</v>
      </c>
      <c r="B68" s="294" t="s">
        <v>315</v>
      </c>
      <c r="C68" s="294" t="s">
        <v>316</v>
      </c>
      <c r="D68" s="119">
        <v>126</v>
      </c>
      <c r="E68" s="140"/>
      <c r="F68" s="140"/>
      <c r="G68" s="140"/>
      <c r="H68" s="140">
        <v>0</v>
      </c>
      <c r="I68" s="140">
        <v>0</v>
      </c>
      <c r="J68" s="140"/>
      <c r="K68" s="140">
        <v>0</v>
      </c>
      <c r="L68" s="140">
        <v>0</v>
      </c>
      <c r="M68" s="140"/>
      <c r="N68" s="140"/>
      <c r="O68" s="140"/>
      <c r="P68" s="140"/>
      <c r="Q68" s="139">
        <f t="shared" si="3"/>
        <v>0</v>
      </c>
      <c r="R68" s="144" t="str">
        <f t="shared" si="4"/>
        <v>SI</v>
      </c>
      <c r="S68" s="145" t="str">
        <f t="shared" si="2"/>
        <v>Sin Riesgo</v>
      </c>
      <c r="T68" s="230"/>
    </row>
    <row r="69" spans="1:23" s="163" customFormat="1" ht="32.1" customHeight="1">
      <c r="A69" s="125" t="s">
        <v>80</v>
      </c>
      <c r="B69" s="294" t="s">
        <v>313</v>
      </c>
      <c r="C69" s="294" t="s">
        <v>314</v>
      </c>
      <c r="D69" s="114">
        <v>96</v>
      </c>
      <c r="E69" s="140"/>
      <c r="F69" s="140"/>
      <c r="G69" s="140">
        <v>0</v>
      </c>
      <c r="H69" s="140">
        <v>42.13</v>
      </c>
      <c r="I69" s="140"/>
      <c r="J69" s="140"/>
      <c r="K69" s="140"/>
      <c r="L69" s="140"/>
      <c r="M69" s="140"/>
      <c r="N69" s="140"/>
      <c r="O69" s="140"/>
      <c r="P69" s="140"/>
      <c r="Q69" s="139">
        <f t="shared" si="3"/>
        <v>21.065000000000001</v>
      </c>
      <c r="R69" s="144" t="str">
        <f t="shared" si="4"/>
        <v>NO</v>
      </c>
      <c r="S69" s="145" t="str">
        <f t="shared" si="2"/>
        <v>Medio</v>
      </c>
      <c r="T69" s="230"/>
    </row>
    <row r="70" spans="1:23" s="163" customFormat="1" ht="32.1" customHeight="1">
      <c r="A70" s="125" t="s">
        <v>80</v>
      </c>
      <c r="B70" s="294" t="s">
        <v>308</v>
      </c>
      <c r="C70" s="294" t="s">
        <v>309</v>
      </c>
      <c r="D70" s="119">
        <v>235</v>
      </c>
      <c r="E70" s="140"/>
      <c r="F70" s="140"/>
      <c r="G70" s="140"/>
      <c r="H70" s="140"/>
      <c r="I70" s="140"/>
      <c r="J70" s="140"/>
      <c r="K70" s="140"/>
      <c r="L70" s="140"/>
      <c r="M70" s="140"/>
      <c r="N70" s="140"/>
      <c r="O70" s="140"/>
      <c r="P70" s="140"/>
      <c r="Q70" s="139" t="e">
        <f t="shared" si="3"/>
        <v>#DIV/0!</v>
      </c>
      <c r="R70" s="144" t="e">
        <f t="shared" si="4"/>
        <v>#DIV/0!</v>
      </c>
      <c r="S70" s="145" t="e">
        <f t="shared" si="2"/>
        <v>#DIV/0!</v>
      </c>
    </row>
    <row r="71" spans="1:23" s="358" customFormat="1" ht="32.1" customHeight="1">
      <c r="A71" s="125" t="s">
        <v>80</v>
      </c>
      <c r="B71" s="294" t="s">
        <v>311</v>
      </c>
      <c r="C71" s="294" t="s">
        <v>312</v>
      </c>
      <c r="D71" s="119">
        <v>53</v>
      </c>
      <c r="E71" s="140"/>
      <c r="F71" s="140"/>
      <c r="G71" s="140"/>
      <c r="H71" s="140">
        <v>0</v>
      </c>
      <c r="I71" s="140"/>
      <c r="J71" s="140"/>
      <c r="K71" s="140">
        <v>0</v>
      </c>
      <c r="L71" s="140">
        <v>0</v>
      </c>
      <c r="M71" s="140"/>
      <c r="N71" s="140"/>
      <c r="O71" s="140"/>
      <c r="P71" s="140"/>
      <c r="Q71" s="139">
        <f t="shared" si="3"/>
        <v>0</v>
      </c>
      <c r="R71" s="144" t="str">
        <f t="shared" si="4"/>
        <v>SI</v>
      </c>
      <c r="S71" s="145" t="str">
        <f t="shared" si="2"/>
        <v>Sin Riesgo</v>
      </c>
      <c r="T71" s="163"/>
      <c r="U71" s="163"/>
      <c r="V71" s="163"/>
      <c r="W71" s="163"/>
    </row>
    <row r="72" spans="1:23" s="163" customFormat="1" ht="32.1" customHeight="1">
      <c r="A72" s="474" t="s">
        <v>108</v>
      </c>
      <c r="B72" s="328" t="s">
        <v>69</v>
      </c>
      <c r="C72" s="328" t="s">
        <v>4196</v>
      </c>
      <c r="D72" s="119">
        <v>180</v>
      </c>
      <c r="E72" s="140"/>
      <c r="F72" s="140"/>
      <c r="G72" s="140"/>
      <c r="H72" s="140">
        <v>17.399999999999999</v>
      </c>
      <c r="I72" s="140"/>
      <c r="J72" s="140"/>
      <c r="K72" s="140">
        <v>19.3</v>
      </c>
      <c r="L72" s="140"/>
      <c r="M72" s="140"/>
      <c r="N72" s="140"/>
      <c r="O72" s="140"/>
      <c r="P72" s="140"/>
      <c r="Q72" s="139">
        <f t="shared" si="3"/>
        <v>18.350000000000001</v>
      </c>
      <c r="R72" s="144" t="str">
        <f t="shared" si="4"/>
        <v>NO</v>
      </c>
      <c r="S72" s="145" t="str">
        <f t="shared" si="2"/>
        <v>Medio</v>
      </c>
    </row>
    <row r="73" spans="1:23" s="163" customFormat="1" ht="32.1" customHeight="1">
      <c r="A73" s="474" t="s">
        <v>108</v>
      </c>
      <c r="B73" s="328" t="s">
        <v>4197</v>
      </c>
      <c r="C73" s="328" t="s">
        <v>344</v>
      </c>
      <c r="D73" s="119">
        <v>906</v>
      </c>
      <c r="E73" s="140"/>
      <c r="F73" s="140">
        <v>0</v>
      </c>
      <c r="G73" s="140">
        <v>3.9</v>
      </c>
      <c r="H73" s="140">
        <v>0</v>
      </c>
      <c r="I73" s="140">
        <v>0</v>
      </c>
      <c r="J73" s="140">
        <v>0</v>
      </c>
      <c r="K73" s="140">
        <v>0</v>
      </c>
      <c r="L73" s="140">
        <v>0</v>
      </c>
      <c r="M73" s="140">
        <v>0</v>
      </c>
      <c r="N73" s="140">
        <v>8.6999999999999993</v>
      </c>
      <c r="O73" s="140">
        <v>0</v>
      </c>
      <c r="P73" s="140">
        <v>0</v>
      </c>
      <c r="Q73" s="139">
        <f t="shared" si="3"/>
        <v>1.1454545454545455</v>
      </c>
      <c r="R73" s="144" t="str">
        <f t="shared" si="4"/>
        <v>SI</v>
      </c>
      <c r="S73" s="145" t="str">
        <f t="shared" si="2"/>
        <v>Sin Riesgo</v>
      </c>
    </row>
    <row r="74" spans="1:23" s="163" customFormat="1" ht="32.1" customHeight="1">
      <c r="A74" s="474" t="s">
        <v>108</v>
      </c>
      <c r="B74" s="328" t="s">
        <v>4198</v>
      </c>
      <c r="C74" s="328" t="s">
        <v>4199</v>
      </c>
      <c r="D74" s="119">
        <v>70</v>
      </c>
      <c r="E74" s="140"/>
      <c r="F74" s="140"/>
      <c r="G74" s="140">
        <v>43.6</v>
      </c>
      <c r="H74" s="140"/>
      <c r="I74" s="140"/>
      <c r="J74" s="140"/>
      <c r="K74" s="140"/>
      <c r="L74" s="140"/>
      <c r="M74" s="140"/>
      <c r="N74" s="140">
        <v>71</v>
      </c>
      <c r="O74" s="140"/>
      <c r="P74" s="140"/>
      <c r="Q74" s="139">
        <f t="shared" si="3"/>
        <v>57.3</v>
      </c>
      <c r="R74" s="144" t="str">
        <f t="shared" si="4"/>
        <v>NO</v>
      </c>
      <c r="S74" s="145" t="str">
        <f t="shared" si="2"/>
        <v>Alto</v>
      </c>
    </row>
    <row r="75" spans="1:23" s="163" customFormat="1" ht="32.1" customHeight="1">
      <c r="A75" s="474" t="s">
        <v>108</v>
      </c>
      <c r="B75" s="328" t="s">
        <v>506</v>
      </c>
      <c r="C75" s="328" t="s">
        <v>346</v>
      </c>
      <c r="D75" s="114">
        <v>230</v>
      </c>
      <c r="E75" s="140"/>
      <c r="F75" s="140"/>
      <c r="G75" s="140">
        <v>90.1</v>
      </c>
      <c r="H75" s="140"/>
      <c r="I75" s="140"/>
      <c r="J75" s="140"/>
      <c r="K75" s="140"/>
      <c r="L75" s="140"/>
      <c r="M75" s="140"/>
      <c r="N75" s="140">
        <v>98</v>
      </c>
      <c r="O75" s="140"/>
      <c r="P75" s="140"/>
      <c r="Q75" s="139">
        <f t="shared" ref="Q75:Q107" si="5">AVERAGE(E75:P75)</f>
        <v>94.05</v>
      </c>
      <c r="R75" s="144" t="str">
        <f t="shared" ref="R75:R107" si="6">IF(Q75&lt;5,"SI","NO")</f>
        <v>NO</v>
      </c>
      <c r="S75" s="145" t="str">
        <f t="shared" ref="S75:S139" si="7">IF(Q75&lt;5,"Sin Riesgo",IF(Q75 &lt;=14,"Bajo",IF(Q75&lt;=35,"Medio",IF(Q75&lt;=80,"Alto","Inviable Sanitariamente"))))</f>
        <v>Inviable Sanitariamente</v>
      </c>
    </row>
    <row r="76" spans="1:23" s="163" customFormat="1" ht="42.75" customHeight="1">
      <c r="A76" s="474" t="s">
        <v>108</v>
      </c>
      <c r="B76" s="328" t="s">
        <v>4200</v>
      </c>
      <c r="C76" s="328" t="s">
        <v>347</v>
      </c>
      <c r="D76" s="119">
        <v>1140</v>
      </c>
      <c r="E76" s="140"/>
      <c r="F76" s="140">
        <v>0</v>
      </c>
      <c r="G76" s="140">
        <v>13.5</v>
      </c>
      <c r="H76" s="140">
        <v>0</v>
      </c>
      <c r="I76" s="140">
        <v>7.7</v>
      </c>
      <c r="J76" s="140">
        <v>8.6999999999999993</v>
      </c>
      <c r="K76" s="140">
        <v>3.9</v>
      </c>
      <c r="L76" s="140">
        <v>23</v>
      </c>
      <c r="M76" s="140">
        <v>0.2</v>
      </c>
      <c r="N76" s="140">
        <v>9.6999999999999993</v>
      </c>
      <c r="O76" s="140">
        <v>0</v>
      </c>
      <c r="P76" s="140">
        <v>9.6999999999999993</v>
      </c>
      <c r="Q76" s="139">
        <f t="shared" si="5"/>
        <v>6.9454545454545462</v>
      </c>
      <c r="R76" s="144" t="str">
        <f t="shared" si="6"/>
        <v>NO</v>
      </c>
      <c r="S76" s="145" t="str">
        <f t="shared" si="7"/>
        <v>Bajo</v>
      </c>
    </row>
    <row r="77" spans="1:23" s="163" customFormat="1" ht="32.1" customHeight="1">
      <c r="A77" s="474" t="s">
        <v>108</v>
      </c>
      <c r="B77" s="328" t="s">
        <v>504</v>
      </c>
      <c r="C77" s="328" t="s">
        <v>348</v>
      </c>
      <c r="D77" s="119">
        <v>139</v>
      </c>
      <c r="E77" s="140"/>
      <c r="F77" s="140"/>
      <c r="G77" s="140">
        <v>81.400000000000006</v>
      </c>
      <c r="H77" s="140"/>
      <c r="I77" s="140"/>
      <c r="J77" s="140"/>
      <c r="K77" s="140"/>
      <c r="L77" s="140"/>
      <c r="M77" s="140"/>
      <c r="N77" s="140">
        <v>71</v>
      </c>
      <c r="O77" s="140"/>
      <c r="P77" s="140"/>
      <c r="Q77" s="139">
        <f t="shared" si="5"/>
        <v>76.2</v>
      </c>
      <c r="R77" s="144" t="str">
        <f t="shared" si="6"/>
        <v>NO</v>
      </c>
      <c r="S77" s="145" t="str">
        <f t="shared" si="7"/>
        <v>Alto</v>
      </c>
    </row>
    <row r="78" spans="1:23" s="163" customFormat="1" ht="32.1" customHeight="1">
      <c r="A78" s="474" t="s">
        <v>108</v>
      </c>
      <c r="B78" s="328" t="s">
        <v>4201</v>
      </c>
      <c r="C78" s="328" t="s">
        <v>350</v>
      </c>
      <c r="D78" s="119">
        <v>66</v>
      </c>
      <c r="E78" s="140"/>
      <c r="F78" s="140"/>
      <c r="G78" s="140"/>
      <c r="H78" s="140"/>
      <c r="I78" s="140">
        <v>70.900000000000006</v>
      </c>
      <c r="J78" s="140"/>
      <c r="K78" s="140"/>
      <c r="L78" s="140"/>
      <c r="M78" s="140"/>
      <c r="N78" s="140">
        <v>98</v>
      </c>
      <c r="O78" s="140"/>
      <c r="P78" s="140"/>
      <c r="Q78" s="139">
        <f t="shared" si="5"/>
        <v>84.45</v>
      </c>
      <c r="R78" s="144" t="str">
        <f t="shared" si="6"/>
        <v>NO</v>
      </c>
      <c r="S78" s="145" t="str">
        <f t="shared" si="7"/>
        <v>Inviable Sanitariamente</v>
      </c>
    </row>
    <row r="79" spans="1:23" s="163" customFormat="1" ht="32.1" customHeight="1">
      <c r="A79" s="474" t="s">
        <v>108</v>
      </c>
      <c r="B79" s="328" t="s">
        <v>4202</v>
      </c>
      <c r="C79" s="328" t="s">
        <v>349</v>
      </c>
      <c r="D79" s="119">
        <v>216</v>
      </c>
      <c r="E79" s="140"/>
      <c r="F79" s="140"/>
      <c r="G79" s="140"/>
      <c r="H79" s="140"/>
      <c r="I79" s="140">
        <v>88.4</v>
      </c>
      <c r="J79" s="140"/>
      <c r="K79" s="140"/>
      <c r="L79" s="140"/>
      <c r="M79" s="140"/>
      <c r="N79" s="140">
        <v>90.3</v>
      </c>
      <c r="O79" s="140"/>
      <c r="P79" s="140"/>
      <c r="Q79" s="139">
        <f t="shared" si="5"/>
        <v>89.35</v>
      </c>
      <c r="R79" s="144" t="str">
        <f t="shared" si="6"/>
        <v>NO</v>
      </c>
      <c r="S79" s="145" t="str">
        <f t="shared" si="7"/>
        <v>Inviable Sanitariamente</v>
      </c>
    </row>
    <row r="80" spans="1:23" s="163" customFormat="1" ht="32.1" customHeight="1">
      <c r="A80" s="474" t="s">
        <v>108</v>
      </c>
      <c r="B80" s="328" t="s">
        <v>4203</v>
      </c>
      <c r="C80" s="328" t="s">
        <v>351</v>
      </c>
      <c r="D80" s="119">
        <v>165</v>
      </c>
      <c r="E80" s="140"/>
      <c r="F80" s="140"/>
      <c r="G80" s="140"/>
      <c r="H80" s="140"/>
      <c r="I80" s="140">
        <v>90.1</v>
      </c>
      <c r="J80" s="140"/>
      <c r="K80" s="140"/>
      <c r="L80" s="140"/>
      <c r="M80" s="140"/>
      <c r="N80" s="140">
        <v>98</v>
      </c>
      <c r="O80" s="140"/>
      <c r="P80" s="140"/>
      <c r="Q80" s="139">
        <f t="shared" si="5"/>
        <v>94.05</v>
      </c>
      <c r="R80" s="144" t="str">
        <f t="shared" si="6"/>
        <v>NO</v>
      </c>
      <c r="S80" s="145" t="str">
        <f t="shared" si="7"/>
        <v>Inviable Sanitariamente</v>
      </c>
    </row>
    <row r="81" spans="1:19" s="163" customFormat="1" ht="32.1" customHeight="1">
      <c r="A81" s="474" t="s">
        <v>108</v>
      </c>
      <c r="B81" s="328" t="s">
        <v>505</v>
      </c>
      <c r="C81" s="328" t="s">
        <v>352</v>
      </c>
      <c r="D81" s="119">
        <v>318</v>
      </c>
      <c r="E81" s="140"/>
      <c r="F81" s="140"/>
      <c r="G81" s="140"/>
      <c r="H81" s="140">
        <v>53.9</v>
      </c>
      <c r="I81" s="140"/>
      <c r="J81" s="140"/>
      <c r="K81" s="140">
        <v>71</v>
      </c>
      <c r="L81" s="140"/>
      <c r="M81" s="140"/>
      <c r="N81" s="140"/>
      <c r="O81" s="140"/>
      <c r="P81" s="140"/>
      <c r="Q81" s="139">
        <f t="shared" si="5"/>
        <v>62.45</v>
      </c>
      <c r="R81" s="144" t="str">
        <f t="shared" si="6"/>
        <v>NO</v>
      </c>
      <c r="S81" s="145" t="str">
        <f t="shared" si="7"/>
        <v>Alto</v>
      </c>
    </row>
    <row r="82" spans="1:19" s="163" customFormat="1" ht="32.1" customHeight="1">
      <c r="A82" s="474" t="s">
        <v>108</v>
      </c>
      <c r="B82" s="328" t="s">
        <v>507</v>
      </c>
      <c r="C82" s="328" t="s">
        <v>353</v>
      </c>
      <c r="D82" s="119">
        <v>262</v>
      </c>
      <c r="E82" s="140"/>
      <c r="F82" s="140"/>
      <c r="G82" s="140">
        <v>81.400000000000006</v>
      </c>
      <c r="H82" s="140"/>
      <c r="I82" s="140"/>
      <c r="J82" s="140"/>
      <c r="K82" s="140"/>
      <c r="L82" s="140">
        <v>90.3</v>
      </c>
      <c r="M82" s="140"/>
      <c r="N82" s="140"/>
      <c r="O82" s="140"/>
      <c r="P82" s="140"/>
      <c r="Q82" s="139">
        <f t="shared" si="5"/>
        <v>85.85</v>
      </c>
      <c r="R82" s="144" t="str">
        <f t="shared" si="6"/>
        <v>NO</v>
      </c>
      <c r="S82" s="145" t="str">
        <f t="shared" si="7"/>
        <v>Inviable Sanitariamente</v>
      </c>
    </row>
    <row r="83" spans="1:19" s="163" customFormat="1" ht="32.1" customHeight="1">
      <c r="A83" s="474" t="s">
        <v>108</v>
      </c>
      <c r="B83" s="328" t="s">
        <v>20</v>
      </c>
      <c r="C83" s="328" t="s">
        <v>354</v>
      </c>
      <c r="D83" s="119">
        <v>113</v>
      </c>
      <c r="E83" s="140"/>
      <c r="F83" s="140"/>
      <c r="G83" s="140"/>
      <c r="H83" s="140">
        <v>41.9</v>
      </c>
      <c r="I83" s="140"/>
      <c r="J83" s="140"/>
      <c r="K83" s="140">
        <v>71</v>
      </c>
      <c r="L83" s="140"/>
      <c r="M83" s="140"/>
      <c r="N83" s="140"/>
      <c r="O83" s="140"/>
      <c r="P83" s="140"/>
      <c r="Q83" s="139">
        <f t="shared" si="5"/>
        <v>56.45</v>
      </c>
      <c r="R83" s="144" t="str">
        <f t="shared" si="6"/>
        <v>NO</v>
      </c>
      <c r="S83" s="145" t="str">
        <f t="shared" si="7"/>
        <v>Alto</v>
      </c>
    </row>
    <row r="84" spans="1:19" s="163" customFormat="1" ht="32.1" customHeight="1">
      <c r="A84" s="474" t="s">
        <v>108</v>
      </c>
      <c r="B84" s="328" t="s">
        <v>543</v>
      </c>
      <c r="C84" s="328" t="s">
        <v>355</v>
      </c>
      <c r="D84" s="119">
        <v>35</v>
      </c>
      <c r="E84" s="140"/>
      <c r="F84" s="140"/>
      <c r="G84" s="140"/>
      <c r="H84" s="140"/>
      <c r="I84" s="140">
        <v>64</v>
      </c>
      <c r="J84" s="140"/>
      <c r="K84" s="140"/>
      <c r="L84" s="140">
        <v>70</v>
      </c>
      <c r="M84" s="140"/>
      <c r="N84" s="140"/>
      <c r="O84" s="140"/>
      <c r="P84" s="140"/>
      <c r="Q84" s="139">
        <f t="shared" si="5"/>
        <v>67</v>
      </c>
      <c r="R84" s="144" t="str">
        <f t="shared" si="6"/>
        <v>NO</v>
      </c>
      <c r="S84" s="145" t="str">
        <f t="shared" si="7"/>
        <v>Alto</v>
      </c>
    </row>
    <row r="85" spans="1:19" s="163" customFormat="1" ht="32.1" customHeight="1">
      <c r="A85" s="474" t="s">
        <v>108</v>
      </c>
      <c r="B85" s="328" t="s">
        <v>4204</v>
      </c>
      <c r="C85" s="328" t="s">
        <v>356</v>
      </c>
      <c r="D85" s="114">
        <v>50</v>
      </c>
      <c r="E85" s="140"/>
      <c r="F85" s="140"/>
      <c r="G85" s="140"/>
      <c r="H85" s="140"/>
      <c r="I85" s="140">
        <v>64</v>
      </c>
      <c r="J85" s="140"/>
      <c r="K85" s="140"/>
      <c r="L85" s="140">
        <v>70</v>
      </c>
      <c r="M85" s="140"/>
      <c r="N85" s="140"/>
      <c r="O85" s="140"/>
      <c r="P85" s="140"/>
      <c r="Q85" s="139">
        <f t="shared" si="5"/>
        <v>67</v>
      </c>
      <c r="R85" s="144" t="str">
        <f t="shared" si="6"/>
        <v>NO</v>
      </c>
      <c r="S85" s="145" t="str">
        <f t="shared" si="7"/>
        <v>Alto</v>
      </c>
    </row>
    <row r="86" spans="1:19" s="163" customFormat="1" ht="32.1" customHeight="1">
      <c r="A86" s="474" t="s">
        <v>108</v>
      </c>
      <c r="B86" s="328" t="s">
        <v>78</v>
      </c>
      <c r="C86" s="328" t="s">
        <v>357</v>
      </c>
      <c r="D86" s="119">
        <v>420</v>
      </c>
      <c r="E86" s="140"/>
      <c r="F86" s="140">
        <v>0</v>
      </c>
      <c r="G86" s="140">
        <v>0</v>
      </c>
      <c r="H86" s="140">
        <v>0</v>
      </c>
      <c r="I86" s="140">
        <v>0</v>
      </c>
      <c r="J86" s="140">
        <v>0</v>
      </c>
      <c r="K86" s="140">
        <v>0</v>
      </c>
      <c r="L86" s="140">
        <v>23</v>
      </c>
      <c r="M86" s="140">
        <v>0</v>
      </c>
      <c r="N86" s="140">
        <v>0</v>
      </c>
      <c r="O86" s="140">
        <v>0</v>
      </c>
      <c r="P86" s="140">
        <v>0</v>
      </c>
      <c r="Q86" s="139">
        <f t="shared" si="5"/>
        <v>2.0909090909090908</v>
      </c>
      <c r="R86" s="144" t="str">
        <f t="shared" si="6"/>
        <v>SI</v>
      </c>
      <c r="S86" s="145" t="str">
        <f t="shared" si="7"/>
        <v>Sin Riesgo</v>
      </c>
    </row>
    <row r="87" spans="1:19" s="163" customFormat="1" ht="32.1" customHeight="1">
      <c r="A87" s="474" t="s">
        <v>108</v>
      </c>
      <c r="B87" s="328" t="s">
        <v>508</v>
      </c>
      <c r="C87" s="328" t="s">
        <v>358</v>
      </c>
      <c r="D87" s="114">
        <v>474</v>
      </c>
      <c r="E87" s="140"/>
      <c r="F87" s="140">
        <v>0</v>
      </c>
      <c r="G87" s="140">
        <v>8.6999999999999993</v>
      </c>
      <c r="H87" s="140">
        <v>0</v>
      </c>
      <c r="I87" s="140">
        <v>12.2</v>
      </c>
      <c r="J87" s="140">
        <v>0</v>
      </c>
      <c r="K87" s="140">
        <v>0</v>
      </c>
      <c r="L87" s="140">
        <v>0</v>
      </c>
      <c r="M87" s="140">
        <v>0</v>
      </c>
      <c r="N87" s="140">
        <v>0</v>
      </c>
      <c r="O87" s="140">
        <v>8.6999999999999993</v>
      </c>
      <c r="P87" s="140">
        <v>0</v>
      </c>
      <c r="Q87" s="139">
        <f t="shared" si="5"/>
        <v>2.6909090909090909</v>
      </c>
      <c r="R87" s="144" t="str">
        <f t="shared" si="6"/>
        <v>SI</v>
      </c>
      <c r="S87" s="145" t="str">
        <f t="shared" si="7"/>
        <v>Sin Riesgo</v>
      </c>
    </row>
    <row r="88" spans="1:19" s="163" customFormat="1" ht="32.1" customHeight="1">
      <c r="A88" s="474" t="s">
        <v>108</v>
      </c>
      <c r="B88" s="328" t="s">
        <v>4205</v>
      </c>
      <c r="C88" s="328" t="s">
        <v>4206</v>
      </c>
      <c r="D88" s="119">
        <v>90</v>
      </c>
      <c r="E88" s="140"/>
      <c r="F88" s="140"/>
      <c r="G88" s="140"/>
      <c r="H88" s="140"/>
      <c r="I88" s="140">
        <v>64</v>
      </c>
      <c r="J88" s="140"/>
      <c r="K88" s="140"/>
      <c r="L88" s="140">
        <v>70</v>
      </c>
      <c r="M88" s="140"/>
      <c r="N88" s="140"/>
      <c r="O88" s="140"/>
      <c r="P88" s="140"/>
      <c r="Q88" s="139">
        <f t="shared" si="5"/>
        <v>67</v>
      </c>
      <c r="R88" s="144" t="str">
        <f t="shared" si="6"/>
        <v>NO</v>
      </c>
      <c r="S88" s="145" t="str">
        <f t="shared" si="7"/>
        <v>Alto</v>
      </c>
    </row>
    <row r="89" spans="1:19" s="163" customFormat="1" ht="32.1" customHeight="1">
      <c r="A89" s="474" t="s">
        <v>108</v>
      </c>
      <c r="B89" s="328" t="s">
        <v>4207</v>
      </c>
      <c r="C89" s="328" t="s">
        <v>345</v>
      </c>
      <c r="D89" s="119">
        <v>25</v>
      </c>
      <c r="E89" s="140"/>
      <c r="F89" s="140"/>
      <c r="G89" s="140"/>
      <c r="H89" s="140"/>
      <c r="I89" s="140">
        <v>88.4</v>
      </c>
      <c r="J89" s="140"/>
      <c r="K89" s="140"/>
      <c r="L89" s="140">
        <v>38</v>
      </c>
      <c r="M89" s="140"/>
      <c r="N89" s="140"/>
      <c r="O89" s="140"/>
      <c r="P89" s="140"/>
      <c r="Q89" s="139">
        <f t="shared" si="5"/>
        <v>63.2</v>
      </c>
      <c r="R89" s="144" t="str">
        <f t="shared" si="6"/>
        <v>NO</v>
      </c>
      <c r="S89" s="145" t="str">
        <f t="shared" si="7"/>
        <v>Alto</v>
      </c>
    </row>
    <row r="90" spans="1:19" s="163" customFormat="1" ht="32.1" customHeight="1">
      <c r="A90" s="474" t="s">
        <v>108</v>
      </c>
      <c r="B90" s="328" t="s">
        <v>509</v>
      </c>
      <c r="C90" s="328" t="s">
        <v>4208</v>
      </c>
      <c r="D90" s="119">
        <v>420</v>
      </c>
      <c r="E90" s="140"/>
      <c r="F90" s="140">
        <v>24.4</v>
      </c>
      <c r="G90" s="140">
        <v>25.8</v>
      </c>
      <c r="H90" s="140">
        <v>25.7</v>
      </c>
      <c r="I90" s="140">
        <v>38.4</v>
      </c>
      <c r="J90" s="140">
        <v>20.9</v>
      </c>
      <c r="K90" s="140">
        <v>22.2</v>
      </c>
      <c r="L90" s="140">
        <v>18</v>
      </c>
      <c r="M90" s="140">
        <v>9.6999999999999993</v>
      </c>
      <c r="N90" s="140">
        <v>0</v>
      </c>
      <c r="O90" s="140">
        <v>22.2</v>
      </c>
      <c r="P90" s="140">
        <v>0</v>
      </c>
      <c r="Q90" s="139">
        <f t="shared" si="5"/>
        <v>18.845454545454544</v>
      </c>
      <c r="R90" s="144" t="str">
        <f t="shared" si="6"/>
        <v>NO</v>
      </c>
      <c r="S90" s="145" t="str">
        <f t="shared" si="7"/>
        <v>Medio</v>
      </c>
    </row>
    <row r="91" spans="1:19" s="163" customFormat="1" ht="32.1" customHeight="1">
      <c r="A91" s="474" t="s">
        <v>109</v>
      </c>
      <c r="B91" s="328" t="s">
        <v>4435</v>
      </c>
      <c r="C91" s="328" t="s">
        <v>4436</v>
      </c>
      <c r="D91" s="119">
        <v>348</v>
      </c>
      <c r="E91" s="140">
        <v>0</v>
      </c>
      <c r="F91" s="140">
        <v>0</v>
      </c>
      <c r="G91" s="140">
        <v>0</v>
      </c>
      <c r="H91" s="140">
        <v>0</v>
      </c>
      <c r="I91" s="140">
        <v>0</v>
      </c>
      <c r="J91" s="140">
        <v>0</v>
      </c>
      <c r="K91" s="140">
        <v>0</v>
      </c>
      <c r="L91" s="140">
        <v>0</v>
      </c>
      <c r="M91" s="140">
        <v>0</v>
      </c>
      <c r="N91" s="140">
        <v>0</v>
      </c>
      <c r="O91" s="140">
        <v>0</v>
      </c>
      <c r="P91" s="140">
        <v>26</v>
      </c>
      <c r="Q91" s="139">
        <f t="shared" si="5"/>
        <v>2.1666666666666665</v>
      </c>
      <c r="R91" s="144" t="str">
        <f t="shared" si="6"/>
        <v>SI</v>
      </c>
      <c r="S91" s="145" t="str">
        <f t="shared" si="7"/>
        <v>Sin Riesgo</v>
      </c>
    </row>
    <row r="92" spans="1:19" s="163" customFormat="1" ht="32.1" customHeight="1">
      <c r="A92" s="419" t="s">
        <v>109</v>
      </c>
      <c r="B92" s="328" t="s">
        <v>4178</v>
      </c>
      <c r="C92" s="328" t="s">
        <v>4273</v>
      </c>
      <c r="D92" s="119">
        <v>510</v>
      </c>
      <c r="E92" s="140">
        <v>0</v>
      </c>
      <c r="F92" s="140">
        <v>0</v>
      </c>
      <c r="G92" s="140">
        <v>0</v>
      </c>
      <c r="H92" s="140">
        <v>0</v>
      </c>
      <c r="I92" s="140">
        <v>0</v>
      </c>
      <c r="J92" s="140">
        <v>0</v>
      </c>
      <c r="K92" s="140">
        <v>0</v>
      </c>
      <c r="L92" s="140">
        <v>0</v>
      </c>
      <c r="M92" s="140">
        <v>0</v>
      </c>
      <c r="N92" s="140">
        <v>0</v>
      </c>
      <c r="O92" s="140">
        <v>0</v>
      </c>
      <c r="P92" s="140">
        <v>0.6</v>
      </c>
      <c r="Q92" s="139">
        <f t="shared" si="5"/>
        <v>4.9999999999999996E-2</v>
      </c>
      <c r="R92" s="144" t="str">
        <f t="shared" si="6"/>
        <v>SI</v>
      </c>
      <c r="S92" s="145" t="str">
        <f t="shared" si="7"/>
        <v>Sin Riesgo</v>
      </c>
    </row>
    <row r="93" spans="1:19" s="163" customFormat="1" ht="32.1" customHeight="1">
      <c r="A93" s="419" t="s">
        <v>109</v>
      </c>
      <c r="B93" s="328" t="s">
        <v>4179</v>
      </c>
      <c r="C93" s="328" t="s">
        <v>4274</v>
      </c>
      <c r="D93" s="119">
        <v>130</v>
      </c>
      <c r="E93" s="140">
        <v>0</v>
      </c>
      <c r="F93" s="140">
        <v>0</v>
      </c>
      <c r="G93" s="140">
        <v>0</v>
      </c>
      <c r="H93" s="140">
        <v>0</v>
      </c>
      <c r="I93" s="140">
        <v>0</v>
      </c>
      <c r="J93" s="140">
        <v>53</v>
      </c>
      <c r="K93" s="140">
        <v>0</v>
      </c>
      <c r="L93" s="140">
        <v>0</v>
      </c>
      <c r="M93" s="140">
        <v>0</v>
      </c>
      <c r="N93" s="140">
        <v>0</v>
      </c>
      <c r="O93" s="140">
        <v>0</v>
      </c>
      <c r="P93" s="140">
        <v>89</v>
      </c>
      <c r="Q93" s="139">
        <f t="shared" si="5"/>
        <v>11.833333333333334</v>
      </c>
      <c r="R93" s="144" t="str">
        <f t="shared" si="6"/>
        <v>NO</v>
      </c>
      <c r="S93" s="145" t="str">
        <f t="shared" si="7"/>
        <v>Bajo</v>
      </c>
    </row>
    <row r="94" spans="1:19" s="163" customFormat="1" ht="32.1" customHeight="1">
      <c r="A94" s="419" t="s">
        <v>109</v>
      </c>
      <c r="B94" s="328" t="s">
        <v>4180</v>
      </c>
      <c r="C94" s="328" t="s">
        <v>4275</v>
      </c>
      <c r="D94" s="119">
        <v>230</v>
      </c>
      <c r="E94" s="140">
        <v>0</v>
      </c>
      <c r="F94" s="140">
        <v>0</v>
      </c>
      <c r="G94" s="140">
        <v>0</v>
      </c>
      <c r="H94" s="140">
        <v>0</v>
      </c>
      <c r="I94" s="140">
        <v>0</v>
      </c>
      <c r="J94" s="140">
        <v>0</v>
      </c>
      <c r="K94" s="140">
        <v>0</v>
      </c>
      <c r="L94" s="140">
        <v>0</v>
      </c>
      <c r="M94" s="140">
        <v>0</v>
      </c>
      <c r="N94" s="140">
        <v>0</v>
      </c>
      <c r="O94" s="140">
        <v>0</v>
      </c>
      <c r="P94" s="140">
        <v>18</v>
      </c>
      <c r="Q94" s="139">
        <f t="shared" si="5"/>
        <v>1.5</v>
      </c>
      <c r="R94" s="144" t="str">
        <f t="shared" si="6"/>
        <v>SI</v>
      </c>
      <c r="S94" s="145" t="str">
        <f t="shared" si="7"/>
        <v>Sin Riesgo</v>
      </c>
    </row>
    <row r="95" spans="1:19" s="163" customFormat="1" ht="32.1" customHeight="1">
      <c r="A95" s="419" t="s">
        <v>109</v>
      </c>
      <c r="B95" s="328" t="s">
        <v>4181</v>
      </c>
      <c r="C95" s="328" t="s">
        <v>4276</v>
      </c>
      <c r="D95" s="119">
        <v>81</v>
      </c>
      <c r="E95" s="140">
        <v>0</v>
      </c>
      <c r="F95" s="140">
        <v>0</v>
      </c>
      <c r="G95" s="140">
        <v>0</v>
      </c>
      <c r="H95" s="140">
        <v>0</v>
      </c>
      <c r="I95" s="140">
        <v>0</v>
      </c>
      <c r="J95" s="140">
        <v>0</v>
      </c>
      <c r="K95" s="140">
        <v>0</v>
      </c>
      <c r="L95" s="140">
        <v>0</v>
      </c>
      <c r="M95" s="140">
        <v>0</v>
      </c>
      <c r="N95" s="140">
        <v>0</v>
      </c>
      <c r="O95" s="140">
        <v>0</v>
      </c>
      <c r="P95" s="140"/>
      <c r="Q95" s="139">
        <f t="shared" si="5"/>
        <v>0</v>
      </c>
      <c r="R95" s="144" t="str">
        <f t="shared" si="6"/>
        <v>SI</v>
      </c>
      <c r="S95" s="145" t="str">
        <f t="shared" si="7"/>
        <v>Sin Riesgo</v>
      </c>
    </row>
    <row r="96" spans="1:19" s="163" customFormat="1" ht="32.1" customHeight="1">
      <c r="A96" s="419" t="s">
        <v>109</v>
      </c>
      <c r="B96" s="328" t="s">
        <v>4182</v>
      </c>
      <c r="C96" s="328" t="s">
        <v>4277</v>
      </c>
      <c r="D96" s="119">
        <v>125</v>
      </c>
      <c r="E96" s="140">
        <v>0</v>
      </c>
      <c r="F96" s="140">
        <v>0</v>
      </c>
      <c r="G96" s="140">
        <v>0</v>
      </c>
      <c r="H96" s="140">
        <v>0</v>
      </c>
      <c r="I96" s="140">
        <v>0</v>
      </c>
      <c r="J96" s="140">
        <v>0</v>
      </c>
      <c r="K96" s="140">
        <v>32.5</v>
      </c>
      <c r="L96" s="140">
        <v>0</v>
      </c>
      <c r="M96" s="140">
        <v>0</v>
      </c>
      <c r="N96" s="140">
        <v>23.5</v>
      </c>
      <c r="O96" s="140">
        <v>0</v>
      </c>
      <c r="P96" s="140">
        <v>89</v>
      </c>
      <c r="Q96" s="139">
        <f t="shared" si="5"/>
        <v>12.083333333333334</v>
      </c>
      <c r="R96" s="144" t="str">
        <f t="shared" si="6"/>
        <v>NO</v>
      </c>
      <c r="S96" s="145" t="str">
        <f t="shared" si="7"/>
        <v>Bajo</v>
      </c>
    </row>
    <row r="97" spans="1:19" s="163" customFormat="1" ht="32.1" customHeight="1">
      <c r="A97" s="419" t="s">
        <v>109</v>
      </c>
      <c r="B97" s="328" t="s">
        <v>4183</v>
      </c>
      <c r="C97" s="328" t="s">
        <v>4278</v>
      </c>
      <c r="D97" s="119">
        <v>702</v>
      </c>
      <c r="E97" s="140">
        <v>0</v>
      </c>
      <c r="F97" s="140">
        <v>0</v>
      </c>
      <c r="G97" s="140">
        <v>0</v>
      </c>
      <c r="H97" s="140">
        <v>0</v>
      </c>
      <c r="I97" s="140">
        <v>0</v>
      </c>
      <c r="J97" s="140">
        <v>0</v>
      </c>
      <c r="K97" s="140">
        <v>0</v>
      </c>
      <c r="L97" s="140">
        <v>0</v>
      </c>
      <c r="M97" s="140">
        <v>0</v>
      </c>
      <c r="N97" s="140">
        <v>0</v>
      </c>
      <c r="O97" s="140">
        <v>0</v>
      </c>
      <c r="P97" s="140">
        <v>6</v>
      </c>
      <c r="Q97" s="139">
        <f t="shared" si="5"/>
        <v>0.5</v>
      </c>
      <c r="R97" s="144" t="str">
        <f t="shared" si="6"/>
        <v>SI</v>
      </c>
      <c r="S97" s="145" t="str">
        <f t="shared" si="7"/>
        <v>Sin Riesgo</v>
      </c>
    </row>
    <row r="98" spans="1:19" s="163" customFormat="1" ht="32.1" customHeight="1">
      <c r="A98" s="419" t="s">
        <v>109</v>
      </c>
      <c r="B98" s="328" t="s">
        <v>90</v>
      </c>
      <c r="C98" s="328" t="s">
        <v>4279</v>
      </c>
      <c r="D98" s="114">
        <v>70</v>
      </c>
      <c r="E98" s="140">
        <v>0</v>
      </c>
      <c r="F98" s="140">
        <v>0</v>
      </c>
      <c r="G98" s="140">
        <v>0</v>
      </c>
      <c r="H98" s="140">
        <v>0</v>
      </c>
      <c r="I98" s="140">
        <v>0</v>
      </c>
      <c r="J98" s="140">
        <v>0</v>
      </c>
      <c r="K98" s="140">
        <v>0</v>
      </c>
      <c r="L98" s="140">
        <v>0</v>
      </c>
      <c r="M98" s="140">
        <v>0</v>
      </c>
      <c r="N98" s="140">
        <v>0</v>
      </c>
      <c r="O98" s="140">
        <v>0</v>
      </c>
      <c r="P98" s="140"/>
      <c r="Q98" s="139">
        <f t="shared" si="5"/>
        <v>0</v>
      </c>
      <c r="R98" s="144" t="str">
        <f t="shared" si="6"/>
        <v>SI</v>
      </c>
      <c r="S98" s="145" t="str">
        <f t="shared" si="7"/>
        <v>Sin Riesgo</v>
      </c>
    </row>
    <row r="99" spans="1:19" s="163" customFormat="1" ht="32.1" customHeight="1">
      <c r="A99" s="419" t="s">
        <v>109</v>
      </c>
      <c r="B99" s="328" t="s">
        <v>4184</v>
      </c>
      <c r="C99" s="328" t="s">
        <v>4280</v>
      </c>
      <c r="D99" s="119">
        <v>98</v>
      </c>
      <c r="E99" s="140">
        <v>0</v>
      </c>
      <c r="F99" s="140">
        <v>0</v>
      </c>
      <c r="G99" s="140">
        <v>0</v>
      </c>
      <c r="H99" s="140">
        <v>0</v>
      </c>
      <c r="I99" s="140">
        <v>0</v>
      </c>
      <c r="J99" s="140">
        <v>0</v>
      </c>
      <c r="K99" s="140">
        <v>0</v>
      </c>
      <c r="L99" s="140">
        <v>0</v>
      </c>
      <c r="M99" s="140">
        <v>0</v>
      </c>
      <c r="N99" s="140">
        <v>0</v>
      </c>
      <c r="O99" s="140">
        <v>0</v>
      </c>
      <c r="P99" s="140">
        <v>0</v>
      </c>
      <c r="Q99" s="139">
        <f t="shared" si="5"/>
        <v>0</v>
      </c>
      <c r="R99" s="144" t="str">
        <f t="shared" si="6"/>
        <v>SI</v>
      </c>
      <c r="S99" s="145" t="str">
        <f t="shared" si="7"/>
        <v>Sin Riesgo</v>
      </c>
    </row>
    <row r="100" spans="1:19" s="163" customFormat="1" ht="32.1" customHeight="1">
      <c r="A100" s="419" t="s">
        <v>109</v>
      </c>
      <c r="B100" s="328" t="s">
        <v>4185</v>
      </c>
      <c r="C100" s="328" t="s">
        <v>4281</v>
      </c>
      <c r="D100" s="119">
        <v>132</v>
      </c>
      <c r="E100" s="140">
        <v>0</v>
      </c>
      <c r="F100" s="140">
        <v>0</v>
      </c>
      <c r="G100" s="140">
        <v>0</v>
      </c>
      <c r="H100" s="140">
        <v>0</v>
      </c>
      <c r="I100" s="140">
        <v>0</v>
      </c>
      <c r="J100" s="140">
        <v>0</v>
      </c>
      <c r="K100" s="140">
        <v>0</v>
      </c>
      <c r="L100" s="140">
        <v>0</v>
      </c>
      <c r="M100" s="140">
        <v>0</v>
      </c>
      <c r="N100" s="140">
        <v>0</v>
      </c>
      <c r="O100" s="140">
        <v>0</v>
      </c>
      <c r="P100" s="140">
        <v>0</v>
      </c>
      <c r="Q100" s="139">
        <f t="shared" si="5"/>
        <v>0</v>
      </c>
      <c r="R100" s="144" t="str">
        <f t="shared" si="6"/>
        <v>SI</v>
      </c>
      <c r="S100" s="145" t="str">
        <f t="shared" si="7"/>
        <v>Sin Riesgo</v>
      </c>
    </row>
    <row r="101" spans="1:19" s="163" customFormat="1" ht="32.1" customHeight="1">
      <c r="A101" s="419" t="s">
        <v>109</v>
      </c>
      <c r="B101" s="328" t="s">
        <v>4186</v>
      </c>
      <c r="C101" s="328" t="s">
        <v>4282</v>
      </c>
      <c r="D101" s="114">
        <v>85</v>
      </c>
      <c r="E101" s="140">
        <v>0</v>
      </c>
      <c r="F101" s="140">
        <v>0</v>
      </c>
      <c r="G101" s="140">
        <v>0</v>
      </c>
      <c r="H101" s="140">
        <v>0</v>
      </c>
      <c r="I101" s="140">
        <v>0</v>
      </c>
      <c r="J101" s="140">
        <v>0</v>
      </c>
      <c r="K101" s="140">
        <v>0</v>
      </c>
      <c r="L101" s="140">
        <v>0</v>
      </c>
      <c r="M101" s="140">
        <v>0</v>
      </c>
      <c r="N101" s="140">
        <v>0</v>
      </c>
      <c r="O101" s="140">
        <v>0</v>
      </c>
      <c r="P101" s="140">
        <v>7</v>
      </c>
      <c r="Q101" s="139">
        <f t="shared" si="5"/>
        <v>0.58333333333333337</v>
      </c>
      <c r="R101" s="144" t="str">
        <f t="shared" si="6"/>
        <v>SI</v>
      </c>
      <c r="S101" s="145" t="str">
        <f t="shared" si="7"/>
        <v>Sin Riesgo</v>
      </c>
    </row>
    <row r="102" spans="1:19" s="163" customFormat="1" ht="32.1" customHeight="1">
      <c r="A102" s="419" t="s">
        <v>109</v>
      </c>
      <c r="B102" s="328" t="s">
        <v>4187</v>
      </c>
      <c r="C102" s="328" t="s">
        <v>4283</v>
      </c>
      <c r="D102" s="119">
        <v>440</v>
      </c>
      <c r="E102" s="140">
        <v>0</v>
      </c>
      <c r="F102" s="140">
        <v>0</v>
      </c>
      <c r="G102" s="140">
        <v>0</v>
      </c>
      <c r="H102" s="140">
        <v>0</v>
      </c>
      <c r="I102" s="140">
        <v>0</v>
      </c>
      <c r="J102" s="140">
        <v>0</v>
      </c>
      <c r="K102" s="140">
        <v>26.5</v>
      </c>
      <c r="L102" s="140">
        <v>0</v>
      </c>
      <c r="M102" s="140">
        <v>0</v>
      </c>
      <c r="N102" s="140">
        <v>0</v>
      </c>
      <c r="O102" s="140">
        <v>0</v>
      </c>
      <c r="P102" s="140">
        <v>0</v>
      </c>
      <c r="Q102" s="139">
        <f t="shared" si="5"/>
        <v>2.2083333333333335</v>
      </c>
      <c r="R102" s="144" t="str">
        <f t="shared" si="6"/>
        <v>SI</v>
      </c>
      <c r="S102" s="145" t="str">
        <f t="shared" si="7"/>
        <v>Sin Riesgo</v>
      </c>
    </row>
    <row r="103" spans="1:19" s="163" customFormat="1" ht="32.1" customHeight="1">
      <c r="A103" s="419" t="s">
        <v>109</v>
      </c>
      <c r="B103" s="328" t="s">
        <v>4188</v>
      </c>
      <c r="C103" s="328" t="s">
        <v>4284</v>
      </c>
      <c r="D103" s="119">
        <v>1360</v>
      </c>
      <c r="E103" s="140">
        <v>0</v>
      </c>
      <c r="F103" s="140">
        <v>0</v>
      </c>
      <c r="G103" s="140">
        <v>0</v>
      </c>
      <c r="H103" s="140">
        <v>0</v>
      </c>
      <c r="I103" s="140">
        <v>0</v>
      </c>
      <c r="J103" s="140">
        <v>0</v>
      </c>
      <c r="K103" s="140">
        <v>0</v>
      </c>
      <c r="L103" s="140">
        <v>0</v>
      </c>
      <c r="M103" s="140">
        <v>0</v>
      </c>
      <c r="N103" s="140">
        <v>23.5</v>
      </c>
      <c r="O103" s="140">
        <v>0</v>
      </c>
      <c r="P103" s="140">
        <v>0</v>
      </c>
      <c r="Q103" s="139">
        <f t="shared" si="5"/>
        <v>1.9583333333333333</v>
      </c>
      <c r="R103" s="144" t="str">
        <f t="shared" si="6"/>
        <v>SI</v>
      </c>
      <c r="S103" s="145" t="str">
        <f t="shared" si="7"/>
        <v>Sin Riesgo</v>
      </c>
    </row>
    <row r="104" spans="1:19" s="163" customFormat="1" ht="32.1" customHeight="1">
      <c r="A104" s="419" t="s">
        <v>109</v>
      </c>
      <c r="B104" s="328" t="s">
        <v>4189</v>
      </c>
      <c r="C104" s="328" t="s">
        <v>4285</v>
      </c>
      <c r="D104" s="114">
        <v>170</v>
      </c>
      <c r="E104" s="140">
        <v>0</v>
      </c>
      <c r="F104" s="140">
        <v>0</v>
      </c>
      <c r="G104" s="140">
        <v>0</v>
      </c>
      <c r="H104" s="140">
        <v>0</v>
      </c>
      <c r="I104" s="140">
        <v>0</v>
      </c>
      <c r="J104" s="140">
        <v>0</v>
      </c>
      <c r="K104" s="140">
        <v>0</v>
      </c>
      <c r="L104" s="140">
        <v>0</v>
      </c>
      <c r="M104" s="140">
        <v>0</v>
      </c>
      <c r="N104" s="140">
        <v>0</v>
      </c>
      <c r="O104" s="140">
        <v>0</v>
      </c>
      <c r="P104" s="140">
        <v>54</v>
      </c>
      <c r="Q104" s="139">
        <f t="shared" si="5"/>
        <v>4.5</v>
      </c>
      <c r="R104" s="144" t="str">
        <f t="shared" si="6"/>
        <v>SI</v>
      </c>
      <c r="S104" s="145" t="str">
        <f t="shared" si="7"/>
        <v>Sin Riesgo</v>
      </c>
    </row>
    <row r="105" spans="1:19" s="163" customFormat="1" ht="32.1" customHeight="1">
      <c r="A105" s="419" t="s">
        <v>109</v>
      </c>
      <c r="B105" s="328" t="s">
        <v>4190</v>
      </c>
      <c r="C105" s="328" t="s">
        <v>4286</v>
      </c>
      <c r="D105" s="119">
        <v>365</v>
      </c>
      <c r="E105" s="140">
        <v>0</v>
      </c>
      <c r="F105" s="140">
        <v>0</v>
      </c>
      <c r="G105" s="140">
        <v>0</v>
      </c>
      <c r="H105" s="140">
        <v>0</v>
      </c>
      <c r="I105" s="140">
        <v>0</v>
      </c>
      <c r="J105" s="140">
        <v>0</v>
      </c>
      <c r="K105" s="140">
        <v>0</v>
      </c>
      <c r="L105" s="140">
        <v>0</v>
      </c>
      <c r="M105" s="140">
        <v>0</v>
      </c>
      <c r="N105" s="140">
        <v>0</v>
      </c>
      <c r="O105" s="140">
        <v>0</v>
      </c>
      <c r="P105" s="140">
        <v>54</v>
      </c>
      <c r="Q105" s="139">
        <f t="shared" si="5"/>
        <v>4.5</v>
      </c>
      <c r="R105" s="144" t="str">
        <f t="shared" si="6"/>
        <v>SI</v>
      </c>
      <c r="S105" s="145" t="str">
        <f t="shared" si="7"/>
        <v>Sin Riesgo</v>
      </c>
    </row>
    <row r="106" spans="1:19" s="163" customFormat="1" ht="32.1" customHeight="1">
      <c r="A106" s="419" t="s">
        <v>109</v>
      </c>
      <c r="B106" s="328" t="s">
        <v>4191</v>
      </c>
      <c r="C106" s="328" t="s">
        <v>4287</v>
      </c>
      <c r="D106" s="119">
        <v>303</v>
      </c>
      <c r="E106" s="140">
        <v>0</v>
      </c>
      <c r="F106" s="140">
        <v>0</v>
      </c>
      <c r="G106" s="140">
        <v>0</v>
      </c>
      <c r="H106" s="140">
        <v>0</v>
      </c>
      <c r="I106" s="140">
        <v>0</v>
      </c>
      <c r="J106" s="140">
        <v>0</v>
      </c>
      <c r="K106" s="140">
        <v>0</v>
      </c>
      <c r="L106" s="140">
        <v>0</v>
      </c>
      <c r="M106" s="140">
        <v>0</v>
      </c>
      <c r="N106" s="140">
        <v>0</v>
      </c>
      <c r="O106" s="140">
        <v>0</v>
      </c>
      <c r="P106" s="140">
        <v>0</v>
      </c>
      <c r="Q106" s="139">
        <f t="shared" si="5"/>
        <v>0</v>
      </c>
      <c r="R106" s="144" t="str">
        <f t="shared" si="6"/>
        <v>SI</v>
      </c>
      <c r="S106" s="145" t="str">
        <f t="shared" si="7"/>
        <v>Sin Riesgo</v>
      </c>
    </row>
    <row r="107" spans="1:19" s="163" customFormat="1" ht="32.1" customHeight="1">
      <c r="A107" s="419" t="s">
        <v>109</v>
      </c>
      <c r="B107" s="328" t="s">
        <v>70</v>
      </c>
      <c r="C107" s="328" t="s">
        <v>317</v>
      </c>
      <c r="D107" s="119"/>
      <c r="E107" s="140"/>
      <c r="F107" s="140"/>
      <c r="G107" s="140"/>
      <c r="H107" s="140"/>
      <c r="I107" s="140"/>
      <c r="J107" s="140"/>
      <c r="K107" s="140"/>
      <c r="L107" s="140"/>
      <c r="M107" s="140"/>
      <c r="N107" s="140"/>
      <c r="O107" s="140"/>
      <c r="P107" s="140"/>
      <c r="Q107" s="139" t="e">
        <f t="shared" si="5"/>
        <v>#DIV/0!</v>
      </c>
      <c r="R107" s="144" t="e">
        <f t="shared" si="6"/>
        <v>#DIV/0!</v>
      </c>
      <c r="S107" s="145" t="e">
        <f t="shared" si="7"/>
        <v>#DIV/0!</v>
      </c>
    </row>
    <row r="108" spans="1:19" s="163" customFormat="1" ht="32.1" customHeight="1">
      <c r="A108" s="419" t="s">
        <v>109</v>
      </c>
      <c r="B108" s="328" t="s">
        <v>4192</v>
      </c>
      <c r="C108" s="328" t="s">
        <v>4288</v>
      </c>
      <c r="D108" s="119">
        <v>70</v>
      </c>
      <c r="E108" s="140">
        <v>0</v>
      </c>
      <c r="F108" s="140">
        <v>0</v>
      </c>
      <c r="G108" s="140">
        <v>0</v>
      </c>
      <c r="H108" s="140">
        <v>0</v>
      </c>
      <c r="I108" s="140">
        <v>0</v>
      </c>
      <c r="J108" s="140">
        <v>0</v>
      </c>
      <c r="K108" s="140">
        <v>0</v>
      </c>
      <c r="L108" s="140">
        <v>0</v>
      </c>
      <c r="M108" s="140">
        <v>0</v>
      </c>
      <c r="N108" s="140">
        <v>0</v>
      </c>
      <c r="O108" s="140">
        <v>0</v>
      </c>
      <c r="P108" s="140"/>
      <c r="Q108" s="139">
        <f t="shared" ref="Q108:Q139" si="8">AVERAGE(E108:P108)</f>
        <v>0</v>
      </c>
      <c r="R108" s="144" t="str">
        <f t="shared" ref="R108:R139" si="9">IF(Q108&lt;5,"SI","NO")</f>
        <v>SI</v>
      </c>
      <c r="S108" s="145" t="str">
        <f t="shared" si="7"/>
        <v>Sin Riesgo</v>
      </c>
    </row>
    <row r="109" spans="1:19" s="163" customFormat="1" ht="32.1" customHeight="1">
      <c r="A109" s="419" t="s">
        <v>109</v>
      </c>
      <c r="B109" s="328" t="s">
        <v>4193</v>
      </c>
      <c r="C109" s="328" t="s">
        <v>4289</v>
      </c>
      <c r="D109" s="119">
        <v>30</v>
      </c>
      <c r="E109" s="140">
        <v>0</v>
      </c>
      <c r="F109" s="140">
        <v>0</v>
      </c>
      <c r="G109" s="140">
        <v>0</v>
      </c>
      <c r="H109" s="140">
        <v>0</v>
      </c>
      <c r="I109" s="140">
        <v>0</v>
      </c>
      <c r="J109" s="140">
        <v>0</v>
      </c>
      <c r="K109" s="140">
        <v>26.5</v>
      </c>
      <c r="L109" s="140">
        <v>0</v>
      </c>
      <c r="M109" s="140">
        <v>0</v>
      </c>
      <c r="N109" s="140">
        <v>0</v>
      </c>
      <c r="O109" s="140">
        <v>0</v>
      </c>
      <c r="P109" s="140"/>
      <c r="Q109" s="139">
        <f t="shared" si="8"/>
        <v>2.4090909090909092</v>
      </c>
      <c r="R109" s="144" t="str">
        <f t="shared" si="9"/>
        <v>SI</v>
      </c>
      <c r="S109" s="145" t="str">
        <f t="shared" si="7"/>
        <v>Sin Riesgo</v>
      </c>
    </row>
    <row r="110" spans="1:19" s="163" customFormat="1" ht="32.1" customHeight="1">
      <c r="A110" s="419" t="s">
        <v>109</v>
      </c>
      <c r="B110" s="328" t="s">
        <v>4194</v>
      </c>
      <c r="C110" s="328" t="s">
        <v>4290</v>
      </c>
      <c r="D110" s="119">
        <v>32</v>
      </c>
      <c r="E110" s="140">
        <v>0</v>
      </c>
      <c r="F110" s="140">
        <v>0</v>
      </c>
      <c r="G110" s="140">
        <v>0</v>
      </c>
      <c r="H110" s="140">
        <v>0</v>
      </c>
      <c r="I110" s="140">
        <v>0</v>
      </c>
      <c r="J110" s="140">
        <v>0</v>
      </c>
      <c r="K110" s="140">
        <v>0</v>
      </c>
      <c r="L110" s="140">
        <v>0</v>
      </c>
      <c r="M110" s="140">
        <v>0</v>
      </c>
      <c r="N110" s="140">
        <v>0</v>
      </c>
      <c r="O110" s="140">
        <v>0</v>
      </c>
      <c r="P110" s="140"/>
      <c r="Q110" s="189">
        <f t="shared" si="8"/>
        <v>0</v>
      </c>
      <c r="R110" s="144" t="str">
        <f t="shared" si="9"/>
        <v>SI</v>
      </c>
      <c r="S110" s="145" t="str">
        <f t="shared" si="7"/>
        <v>Sin Riesgo</v>
      </c>
    </row>
    <row r="111" spans="1:19" s="163" customFormat="1" ht="32.1" customHeight="1">
      <c r="A111" s="474" t="s">
        <v>111</v>
      </c>
      <c r="B111" s="475" t="s">
        <v>4227</v>
      </c>
      <c r="C111" s="476" t="s">
        <v>4228</v>
      </c>
      <c r="D111" s="119">
        <v>12</v>
      </c>
      <c r="E111" s="140"/>
      <c r="F111" s="140"/>
      <c r="G111" s="140"/>
      <c r="H111" s="140"/>
      <c r="I111" s="140"/>
      <c r="J111" s="140">
        <v>33.71</v>
      </c>
      <c r="K111" s="140"/>
      <c r="L111" s="140"/>
      <c r="M111" s="140"/>
      <c r="N111" s="140"/>
      <c r="O111" s="140"/>
      <c r="P111" s="140"/>
      <c r="Q111" s="139">
        <f t="shared" si="8"/>
        <v>33.71</v>
      </c>
      <c r="R111" s="144" t="str">
        <f t="shared" si="9"/>
        <v>NO</v>
      </c>
      <c r="S111" s="145" t="str">
        <f t="shared" si="7"/>
        <v>Medio</v>
      </c>
    </row>
    <row r="112" spans="1:19" s="163" customFormat="1" ht="32.1" customHeight="1">
      <c r="A112" s="474" t="s">
        <v>111</v>
      </c>
      <c r="B112" s="475" t="s">
        <v>4227</v>
      </c>
      <c r="C112" s="476" t="s">
        <v>4229</v>
      </c>
      <c r="D112" s="119">
        <v>19</v>
      </c>
      <c r="E112" s="140"/>
      <c r="F112" s="140"/>
      <c r="G112" s="140"/>
      <c r="H112" s="140"/>
      <c r="I112" s="140"/>
      <c r="J112" s="140">
        <v>33.71</v>
      </c>
      <c r="K112" s="140"/>
      <c r="L112" s="140"/>
      <c r="M112" s="140"/>
      <c r="N112" s="140"/>
      <c r="O112" s="140"/>
      <c r="P112" s="140"/>
      <c r="Q112" s="139">
        <f t="shared" si="8"/>
        <v>33.71</v>
      </c>
      <c r="R112" s="144" t="str">
        <f t="shared" si="9"/>
        <v>NO</v>
      </c>
      <c r="S112" s="145" t="str">
        <f t="shared" si="7"/>
        <v>Medio</v>
      </c>
    </row>
    <row r="113" spans="1:19" s="163" customFormat="1" ht="32.1" customHeight="1">
      <c r="A113" s="474" t="s">
        <v>111</v>
      </c>
      <c r="B113" s="475" t="s">
        <v>4230</v>
      </c>
      <c r="C113" s="475" t="s">
        <v>4230</v>
      </c>
      <c r="D113" s="119">
        <v>59</v>
      </c>
      <c r="E113" s="140"/>
      <c r="F113" s="140"/>
      <c r="G113" s="140"/>
      <c r="H113" s="140"/>
      <c r="I113" s="140">
        <v>16.670000000000002</v>
      </c>
      <c r="J113" s="140"/>
      <c r="K113" s="140"/>
      <c r="L113" s="140"/>
      <c r="M113" s="140"/>
      <c r="N113" s="140"/>
      <c r="O113" s="140"/>
      <c r="P113" s="140"/>
      <c r="Q113" s="139">
        <f t="shared" si="8"/>
        <v>16.670000000000002</v>
      </c>
      <c r="R113" s="144" t="str">
        <f t="shared" si="9"/>
        <v>NO</v>
      </c>
      <c r="S113" s="145" t="str">
        <f t="shared" si="7"/>
        <v>Medio</v>
      </c>
    </row>
    <row r="114" spans="1:19" s="163" customFormat="1" ht="32.1" customHeight="1">
      <c r="A114" s="474" t="s">
        <v>111</v>
      </c>
      <c r="B114" s="475" t="s">
        <v>4231</v>
      </c>
      <c r="C114" s="475" t="s">
        <v>4231</v>
      </c>
      <c r="D114" s="119">
        <v>171</v>
      </c>
      <c r="E114" s="140"/>
      <c r="F114" s="140"/>
      <c r="G114" s="140"/>
      <c r="H114" s="140"/>
      <c r="I114" s="140">
        <v>23.3</v>
      </c>
      <c r="J114" s="140"/>
      <c r="K114" s="140"/>
      <c r="L114" s="140"/>
      <c r="M114" s="140"/>
      <c r="N114" s="140"/>
      <c r="O114" s="140"/>
      <c r="P114" s="140"/>
      <c r="Q114" s="139">
        <f t="shared" si="8"/>
        <v>23.3</v>
      </c>
      <c r="R114" s="144" t="str">
        <f t="shared" si="9"/>
        <v>NO</v>
      </c>
      <c r="S114" s="145" t="str">
        <f t="shared" si="7"/>
        <v>Medio</v>
      </c>
    </row>
    <row r="115" spans="1:19" s="163" customFormat="1" ht="32.1" customHeight="1">
      <c r="A115" s="474" t="s">
        <v>111</v>
      </c>
      <c r="B115" s="475" t="s">
        <v>4232</v>
      </c>
      <c r="C115" s="476" t="s">
        <v>4233</v>
      </c>
      <c r="D115" s="119">
        <v>244</v>
      </c>
      <c r="E115" s="140"/>
      <c r="F115" s="140"/>
      <c r="G115" s="140"/>
      <c r="H115" s="140"/>
      <c r="I115" s="140">
        <v>0</v>
      </c>
      <c r="J115" s="140"/>
      <c r="K115" s="140"/>
      <c r="L115" s="140"/>
      <c r="M115" s="140"/>
      <c r="N115" s="140"/>
      <c r="O115" s="140"/>
      <c r="P115" s="140"/>
      <c r="Q115" s="139">
        <f t="shared" si="8"/>
        <v>0</v>
      </c>
      <c r="R115" s="144" t="str">
        <f t="shared" si="9"/>
        <v>SI</v>
      </c>
      <c r="S115" s="145" t="str">
        <f t="shared" si="7"/>
        <v>Sin Riesgo</v>
      </c>
    </row>
    <row r="116" spans="1:19" s="163" customFormat="1" ht="32.1" customHeight="1">
      <c r="A116" s="474" t="s">
        <v>111</v>
      </c>
      <c r="B116" s="475" t="s">
        <v>4234</v>
      </c>
      <c r="C116" s="476" t="s">
        <v>4235</v>
      </c>
      <c r="D116" s="119">
        <v>913</v>
      </c>
      <c r="E116" s="140"/>
      <c r="F116" s="140"/>
      <c r="G116" s="140"/>
      <c r="H116" s="140"/>
      <c r="I116" s="140">
        <v>61.1</v>
      </c>
      <c r="J116" s="140">
        <v>0</v>
      </c>
      <c r="K116" s="140"/>
      <c r="L116" s="140"/>
      <c r="M116" s="140"/>
      <c r="N116" s="140"/>
      <c r="O116" s="140"/>
      <c r="P116" s="140"/>
      <c r="Q116" s="139">
        <f t="shared" si="8"/>
        <v>30.55</v>
      </c>
      <c r="R116" s="144" t="str">
        <f t="shared" si="9"/>
        <v>NO</v>
      </c>
      <c r="S116" s="145" t="str">
        <f t="shared" si="7"/>
        <v>Medio</v>
      </c>
    </row>
    <row r="117" spans="1:19" s="163" customFormat="1" ht="32.1" customHeight="1">
      <c r="A117" s="474" t="s">
        <v>111</v>
      </c>
      <c r="B117" s="475" t="s">
        <v>542</v>
      </c>
      <c r="C117" s="475" t="s">
        <v>542</v>
      </c>
      <c r="D117" s="114">
        <v>313</v>
      </c>
      <c r="E117" s="140"/>
      <c r="F117" s="140"/>
      <c r="G117" s="140"/>
      <c r="H117" s="140"/>
      <c r="I117" s="140">
        <v>6.67</v>
      </c>
      <c r="J117" s="140"/>
      <c r="K117" s="140"/>
      <c r="L117" s="140"/>
      <c r="M117" s="140"/>
      <c r="N117" s="140"/>
      <c r="O117" s="140"/>
      <c r="P117" s="140"/>
      <c r="Q117" s="139">
        <f t="shared" ref="Q117" si="10">AVERAGE(E117:P117)</f>
        <v>6.67</v>
      </c>
      <c r="R117" s="144" t="str">
        <f t="shared" ref="R117" si="11">IF(Q117&lt;5,"SI","NO")</f>
        <v>NO</v>
      </c>
      <c r="S117" s="145" t="str">
        <f t="shared" ref="S117" si="12">IF(Q117&lt;5,"Sin Riesgo",IF(Q117 &lt;=14,"Bajo",IF(Q117&lt;=35,"Medio",IF(Q117&lt;=80,"Alto","Inviable Sanitariamente"))))</f>
        <v>Bajo</v>
      </c>
    </row>
    <row r="118" spans="1:19" s="163" customFormat="1" ht="32.1" customHeight="1">
      <c r="A118" s="474" t="s">
        <v>111</v>
      </c>
      <c r="B118" s="475" t="s">
        <v>4518</v>
      </c>
      <c r="C118" s="475" t="s">
        <v>4517</v>
      </c>
      <c r="D118" s="114">
        <v>143</v>
      </c>
      <c r="E118" s="140"/>
      <c r="F118" s="140"/>
      <c r="G118" s="140"/>
      <c r="H118" s="140"/>
      <c r="I118" s="140">
        <v>16.670000000000002</v>
      </c>
      <c r="J118" s="140"/>
      <c r="K118" s="140"/>
      <c r="L118" s="140"/>
      <c r="M118" s="140"/>
      <c r="N118" s="140"/>
      <c r="O118" s="140"/>
      <c r="P118" s="140"/>
      <c r="Q118" s="139">
        <f t="shared" si="8"/>
        <v>16.670000000000002</v>
      </c>
      <c r="R118" s="144" t="str">
        <f t="shared" si="9"/>
        <v>NO</v>
      </c>
      <c r="S118" s="145" t="str">
        <f t="shared" si="7"/>
        <v>Medio</v>
      </c>
    </row>
    <row r="119" spans="1:19" s="163" customFormat="1" ht="32.1" customHeight="1">
      <c r="A119" s="474" t="s">
        <v>111</v>
      </c>
      <c r="B119" s="475" t="s">
        <v>4236</v>
      </c>
      <c r="C119" s="476" t="s">
        <v>4237</v>
      </c>
      <c r="D119" s="119">
        <v>375</v>
      </c>
      <c r="E119" s="140"/>
      <c r="F119" s="140"/>
      <c r="G119" s="140"/>
      <c r="H119" s="140"/>
      <c r="I119" s="140">
        <v>61.1</v>
      </c>
      <c r="J119" s="140"/>
      <c r="K119" s="140"/>
      <c r="L119" s="140"/>
      <c r="M119" s="140"/>
      <c r="N119" s="140"/>
      <c r="O119" s="140"/>
      <c r="P119" s="140"/>
      <c r="Q119" s="139">
        <f t="shared" si="8"/>
        <v>61.1</v>
      </c>
      <c r="R119" s="144" t="str">
        <f t="shared" si="9"/>
        <v>NO</v>
      </c>
      <c r="S119" s="145" t="str">
        <f t="shared" si="7"/>
        <v>Alto</v>
      </c>
    </row>
    <row r="120" spans="1:19" s="163" customFormat="1" ht="32.1" customHeight="1">
      <c r="A120" s="474" t="s">
        <v>111</v>
      </c>
      <c r="B120" s="475" t="s">
        <v>4238</v>
      </c>
      <c r="C120" s="476" t="s">
        <v>4239</v>
      </c>
      <c r="D120" s="119">
        <v>227</v>
      </c>
      <c r="E120" s="140"/>
      <c r="F120" s="140"/>
      <c r="G120" s="140"/>
      <c r="H120" s="140"/>
      <c r="I120" s="140"/>
      <c r="J120" s="140">
        <v>0</v>
      </c>
      <c r="K120" s="140"/>
      <c r="L120" s="140"/>
      <c r="M120" s="140"/>
      <c r="N120" s="140"/>
      <c r="O120" s="140"/>
      <c r="P120" s="140"/>
      <c r="Q120" s="139">
        <f t="shared" si="8"/>
        <v>0</v>
      </c>
      <c r="R120" s="144" t="str">
        <f t="shared" si="9"/>
        <v>SI</v>
      </c>
      <c r="S120" s="145" t="str">
        <f t="shared" si="7"/>
        <v>Sin Riesgo</v>
      </c>
    </row>
    <row r="121" spans="1:19" s="163" customFormat="1" ht="32.1" customHeight="1">
      <c r="A121" s="474" t="s">
        <v>111</v>
      </c>
      <c r="B121" s="475" t="s">
        <v>4238</v>
      </c>
      <c r="C121" s="476" t="s">
        <v>4240</v>
      </c>
      <c r="D121" s="114">
        <v>155</v>
      </c>
      <c r="E121" s="140"/>
      <c r="F121" s="140"/>
      <c r="G121" s="140"/>
      <c r="H121" s="140"/>
      <c r="I121" s="140"/>
      <c r="J121" s="140">
        <v>16.670000000000002</v>
      </c>
      <c r="K121" s="140"/>
      <c r="L121" s="140"/>
      <c r="M121" s="140"/>
      <c r="N121" s="140"/>
      <c r="O121" s="140"/>
      <c r="P121" s="140"/>
      <c r="Q121" s="139">
        <f t="shared" si="8"/>
        <v>16.670000000000002</v>
      </c>
      <c r="R121" s="144" t="str">
        <f t="shared" si="9"/>
        <v>NO</v>
      </c>
      <c r="S121" s="145" t="str">
        <f t="shared" si="7"/>
        <v>Medio</v>
      </c>
    </row>
    <row r="122" spans="1:19" s="163" customFormat="1" ht="32.1" customHeight="1">
      <c r="A122" s="474" t="s">
        <v>111</v>
      </c>
      <c r="B122" s="475" t="s">
        <v>809</v>
      </c>
      <c r="C122" s="476" t="s">
        <v>4241</v>
      </c>
      <c r="D122" s="119">
        <v>416</v>
      </c>
      <c r="E122" s="140"/>
      <c r="F122" s="140"/>
      <c r="G122" s="140"/>
      <c r="H122" s="140"/>
      <c r="I122" s="140"/>
      <c r="J122" s="140">
        <v>0</v>
      </c>
      <c r="K122" s="140"/>
      <c r="L122" s="140"/>
      <c r="M122" s="140"/>
      <c r="N122" s="140"/>
      <c r="O122" s="140"/>
      <c r="P122" s="140"/>
      <c r="Q122" s="139">
        <f t="shared" si="8"/>
        <v>0</v>
      </c>
      <c r="R122" s="144" t="str">
        <f t="shared" si="9"/>
        <v>SI</v>
      </c>
      <c r="S122" s="145" t="str">
        <f t="shared" si="7"/>
        <v>Sin Riesgo</v>
      </c>
    </row>
    <row r="123" spans="1:19" s="163" customFormat="1" ht="32.1" customHeight="1">
      <c r="A123" s="474" t="s">
        <v>111</v>
      </c>
      <c r="B123" s="475" t="s">
        <v>4242</v>
      </c>
      <c r="C123" s="476" t="s">
        <v>4243</v>
      </c>
      <c r="D123" s="119">
        <v>1600</v>
      </c>
      <c r="E123" s="140"/>
      <c r="F123" s="140"/>
      <c r="G123" s="140"/>
      <c r="H123" s="140"/>
      <c r="I123" s="140">
        <v>0</v>
      </c>
      <c r="J123" s="140">
        <v>0</v>
      </c>
      <c r="K123" s="140"/>
      <c r="L123" s="140"/>
      <c r="M123" s="140"/>
      <c r="N123" s="140"/>
      <c r="O123" s="140"/>
      <c r="P123" s="140"/>
      <c r="Q123" s="139">
        <f t="shared" si="8"/>
        <v>0</v>
      </c>
      <c r="R123" s="144" t="str">
        <f t="shared" si="9"/>
        <v>SI</v>
      </c>
      <c r="S123" s="145" t="str">
        <f t="shared" si="7"/>
        <v>Sin Riesgo</v>
      </c>
    </row>
    <row r="124" spans="1:19" s="163" customFormat="1" ht="32.1" customHeight="1">
      <c r="A124" s="474" t="s">
        <v>111</v>
      </c>
      <c r="B124" s="475" t="s">
        <v>4244</v>
      </c>
      <c r="C124" s="476" t="s">
        <v>4245</v>
      </c>
      <c r="D124" s="119">
        <v>164</v>
      </c>
      <c r="E124" s="140"/>
      <c r="F124" s="140"/>
      <c r="G124" s="140"/>
      <c r="H124" s="140"/>
      <c r="I124" s="140"/>
      <c r="J124" s="140">
        <v>0</v>
      </c>
      <c r="K124" s="140"/>
      <c r="L124" s="140"/>
      <c r="M124" s="140"/>
      <c r="N124" s="140"/>
      <c r="O124" s="140"/>
      <c r="P124" s="140"/>
      <c r="Q124" s="139">
        <f t="shared" si="8"/>
        <v>0</v>
      </c>
      <c r="R124" s="144" t="str">
        <f t="shared" si="9"/>
        <v>SI</v>
      </c>
      <c r="S124" s="145" t="str">
        <f t="shared" si="7"/>
        <v>Sin Riesgo</v>
      </c>
    </row>
    <row r="125" spans="1:19" s="163" customFormat="1" ht="32.1" customHeight="1">
      <c r="A125" s="474" t="s">
        <v>111</v>
      </c>
      <c r="B125" s="475" t="s">
        <v>4246</v>
      </c>
      <c r="C125" s="476" t="s">
        <v>4247</v>
      </c>
      <c r="D125" s="119">
        <v>254</v>
      </c>
      <c r="E125" s="140"/>
      <c r="F125" s="140"/>
      <c r="G125" s="140"/>
      <c r="H125" s="140"/>
      <c r="I125" s="140">
        <v>16.7</v>
      </c>
      <c r="J125" s="140"/>
      <c r="K125" s="140"/>
      <c r="L125" s="140"/>
      <c r="M125" s="140"/>
      <c r="N125" s="140"/>
      <c r="O125" s="140"/>
      <c r="P125" s="140"/>
      <c r="Q125" s="139">
        <f t="shared" si="8"/>
        <v>16.7</v>
      </c>
      <c r="R125" s="144" t="str">
        <f t="shared" si="9"/>
        <v>NO</v>
      </c>
      <c r="S125" s="145" t="str">
        <f t="shared" si="7"/>
        <v>Medio</v>
      </c>
    </row>
    <row r="126" spans="1:19" s="163" customFormat="1" ht="46.5" customHeight="1">
      <c r="A126" s="419" t="s">
        <v>81</v>
      </c>
      <c r="B126" s="328" t="s">
        <v>4209</v>
      </c>
      <c r="C126" s="328" t="s">
        <v>318</v>
      </c>
      <c r="D126" s="114">
        <v>320</v>
      </c>
      <c r="E126" s="140"/>
      <c r="F126" s="140">
        <v>0</v>
      </c>
      <c r="G126" s="140">
        <v>0</v>
      </c>
      <c r="H126" s="140">
        <v>19.350000000000001</v>
      </c>
      <c r="I126" s="140"/>
      <c r="J126" s="140">
        <v>19.350000000000001</v>
      </c>
      <c r="K126" s="140">
        <v>0</v>
      </c>
      <c r="L126" s="140">
        <v>19.399999999999999</v>
      </c>
      <c r="M126" s="140">
        <v>46.45</v>
      </c>
      <c r="N126" s="140">
        <v>0</v>
      </c>
      <c r="O126" s="140">
        <v>23.33</v>
      </c>
      <c r="P126" s="140">
        <v>0</v>
      </c>
      <c r="Q126" s="139">
        <f t="shared" si="8"/>
        <v>12.788</v>
      </c>
      <c r="R126" s="144" t="str">
        <f t="shared" si="9"/>
        <v>NO</v>
      </c>
      <c r="S126" s="145" t="str">
        <f t="shared" si="7"/>
        <v>Bajo</v>
      </c>
    </row>
    <row r="127" spans="1:19" s="163" customFormat="1" ht="48" customHeight="1">
      <c r="A127" s="419" t="s">
        <v>81</v>
      </c>
      <c r="B127" s="328" t="s">
        <v>4210</v>
      </c>
      <c r="C127" s="328" t="s">
        <v>319</v>
      </c>
      <c r="D127" s="114">
        <v>255</v>
      </c>
      <c r="E127" s="140"/>
      <c r="F127" s="140">
        <v>0</v>
      </c>
      <c r="G127" s="140">
        <v>0</v>
      </c>
      <c r="H127" s="140"/>
      <c r="I127" s="140"/>
      <c r="J127" s="140">
        <v>0</v>
      </c>
      <c r="K127" s="140">
        <v>0</v>
      </c>
      <c r="L127" s="140">
        <v>0</v>
      </c>
      <c r="M127" s="140">
        <v>27.1</v>
      </c>
      <c r="N127" s="140">
        <v>19.399999999999999</v>
      </c>
      <c r="O127" s="140">
        <v>25</v>
      </c>
      <c r="P127" s="140">
        <v>0</v>
      </c>
      <c r="Q127" s="139">
        <f t="shared" si="8"/>
        <v>7.9444444444444446</v>
      </c>
      <c r="R127" s="144" t="str">
        <f t="shared" si="9"/>
        <v>NO</v>
      </c>
      <c r="S127" s="145" t="str">
        <f t="shared" si="7"/>
        <v>Bajo</v>
      </c>
    </row>
    <row r="128" spans="1:19" s="163" customFormat="1" ht="48" customHeight="1">
      <c r="A128" s="419" t="s">
        <v>81</v>
      </c>
      <c r="B128" s="328" t="s">
        <v>4211</v>
      </c>
      <c r="C128" s="328" t="s">
        <v>341</v>
      </c>
      <c r="D128" s="119">
        <v>35</v>
      </c>
      <c r="E128" s="140"/>
      <c r="F128" s="140">
        <v>19.399999999999999</v>
      </c>
      <c r="G128" s="140">
        <v>0</v>
      </c>
      <c r="H128" s="140"/>
      <c r="I128" s="140"/>
      <c r="J128" s="140">
        <v>0</v>
      </c>
      <c r="K128" s="140">
        <v>27.1</v>
      </c>
      <c r="L128" s="140">
        <v>51.61</v>
      </c>
      <c r="M128" s="140">
        <v>0</v>
      </c>
      <c r="N128" s="140">
        <v>0</v>
      </c>
      <c r="O128" s="140">
        <v>25</v>
      </c>
      <c r="P128" s="140">
        <v>0</v>
      </c>
      <c r="Q128" s="139">
        <f t="shared" si="8"/>
        <v>13.678888888888888</v>
      </c>
      <c r="R128" s="144" t="str">
        <f t="shared" si="9"/>
        <v>NO</v>
      </c>
      <c r="S128" s="145" t="str">
        <f t="shared" si="7"/>
        <v>Bajo</v>
      </c>
    </row>
    <row r="129" spans="1:19" s="163" customFormat="1" ht="32.1" customHeight="1">
      <c r="A129" s="419" t="s">
        <v>81</v>
      </c>
      <c r="B129" s="328" t="s">
        <v>87</v>
      </c>
      <c r="C129" s="328" t="s">
        <v>85</v>
      </c>
      <c r="D129" s="114">
        <v>123</v>
      </c>
      <c r="E129" s="140"/>
      <c r="F129" s="140">
        <v>38.700000000000003</v>
      </c>
      <c r="G129" s="140">
        <v>0</v>
      </c>
      <c r="H129" s="140">
        <v>26.55</v>
      </c>
      <c r="I129" s="140"/>
      <c r="J129" s="140">
        <v>19.350000000000001</v>
      </c>
      <c r="K129" s="140">
        <v>38.700000000000003</v>
      </c>
      <c r="L129" s="140">
        <v>38.700000000000003</v>
      </c>
      <c r="M129" s="140">
        <v>46.45</v>
      </c>
      <c r="N129" s="140">
        <v>19.350000000000001</v>
      </c>
      <c r="O129" s="140">
        <v>40</v>
      </c>
      <c r="P129" s="140">
        <v>38.71</v>
      </c>
      <c r="Q129" s="205">
        <f t="shared" si="8"/>
        <v>30.650999999999993</v>
      </c>
      <c r="R129" s="144" t="str">
        <f t="shared" si="9"/>
        <v>NO</v>
      </c>
      <c r="S129" s="145" t="str">
        <f t="shared" si="7"/>
        <v>Medio</v>
      </c>
    </row>
    <row r="130" spans="1:19" s="163" customFormat="1" ht="32.1" customHeight="1">
      <c r="A130" s="419" t="s">
        <v>81</v>
      </c>
      <c r="B130" s="328" t="s">
        <v>511</v>
      </c>
      <c r="C130" s="328" t="s">
        <v>321</v>
      </c>
      <c r="D130" s="119">
        <v>180</v>
      </c>
      <c r="E130" s="140"/>
      <c r="F130" s="140">
        <v>38.700000000000003</v>
      </c>
      <c r="G130" s="140">
        <v>0</v>
      </c>
      <c r="H130" s="140"/>
      <c r="I130" s="140"/>
      <c r="J130" s="140">
        <v>0</v>
      </c>
      <c r="K130" s="140">
        <v>0</v>
      </c>
      <c r="L130" s="140">
        <v>0</v>
      </c>
      <c r="M130" s="140">
        <v>0</v>
      </c>
      <c r="N130" s="140">
        <v>0</v>
      </c>
      <c r="O130" s="140">
        <v>0</v>
      </c>
      <c r="P130" s="140">
        <v>0</v>
      </c>
      <c r="Q130" s="139">
        <f t="shared" si="8"/>
        <v>4.3000000000000007</v>
      </c>
      <c r="R130" s="144" t="str">
        <f t="shared" si="9"/>
        <v>SI</v>
      </c>
      <c r="S130" s="145" t="str">
        <f t="shared" si="7"/>
        <v>Sin Riesgo</v>
      </c>
    </row>
    <row r="131" spans="1:19" s="163" customFormat="1" ht="32.1" customHeight="1">
      <c r="A131" s="419" t="s">
        <v>81</v>
      </c>
      <c r="B131" s="328" t="s">
        <v>53</v>
      </c>
      <c r="C131" s="328" t="s">
        <v>322</v>
      </c>
      <c r="D131" s="119">
        <v>135</v>
      </c>
      <c r="E131" s="140"/>
      <c r="F131" s="140">
        <v>98.1</v>
      </c>
      <c r="G131" s="140">
        <v>19.350000000000001</v>
      </c>
      <c r="H131" s="140">
        <v>26.55</v>
      </c>
      <c r="I131" s="140"/>
      <c r="J131" s="140">
        <v>46.5</v>
      </c>
      <c r="K131" s="140">
        <v>27.1</v>
      </c>
      <c r="L131" s="140">
        <v>46.45</v>
      </c>
      <c r="M131" s="140">
        <v>27.1</v>
      </c>
      <c r="N131" s="140">
        <v>65.81</v>
      </c>
      <c r="O131" s="140">
        <v>23.33</v>
      </c>
      <c r="P131" s="140">
        <v>46.45</v>
      </c>
      <c r="Q131" s="139">
        <f t="shared" si="8"/>
        <v>42.673999999999999</v>
      </c>
      <c r="R131" s="144" t="str">
        <f t="shared" si="9"/>
        <v>NO</v>
      </c>
      <c r="S131" s="145" t="str">
        <f t="shared" si="7"/>
        <v>Alto</v>
      </c>
    </row>
    <row r="132" spans="1:19" s="163" customFormat="1" ht="32.1" customHeight="1">
      <c r="A132" s="419" t="s">
        <v>81</v>
      </c>
      <c r="B132" s="328" t="s">
        <v>329</v>
      </c>
      <c r="C132" s="328" t="s">
        <v>330</v>
      </c>
      <c r="D132" s="119">
        <v>18</v>
      </c>
      <c r="E132" s="140"/>
      <c r="F132" s="140"/>
      <c r="G132" s="140"/>
      <c r="H132" s="140"/>
      <c r="I132" s="140"/>
      <c r="J132" s="140">
        <v>0</v>
      </c>
      <c r="K132" s="140"/>
      <c r="L132" s="140"/>
      <c r="M132" s="140"/>
      <c r="N132" s="140"/>
      <c r="O132" s="140">
        <v>19.399999999999999</v>
      </c>
      <c r="P132" s="140"/>
      <c r="Q132" s="139">
        <f t="shared" si="8"/>
        <v>9.6999999999999993</v>
      </c>
      <c r="R132" s="144" t="str">
        <f t="shared" si="9"/>
        <v>NO</v>
      </c>
      <c r="S132" s="145" t="str">
        <f t="shared" si="7"/>
        <v>Bajo</v>
      </c>
    </row>
    <row r="133" spans="1:19" s="163" customFormat="1" ht="32.1" customHeight="1">
      <c r="A133" s="419" t="s">
        <v>81</v>
      </c>
      <c r="B133" s="328" t="s">
        <v>4212</v>
      </c>
      <c r="C133" s="328" t="s">
        <v>339</v>
      </c>
      <c r="D133" s="119">
        <v>40</v>
      </c>
      <c r="E133" s="140"/>
      <c r="F133" s="140"/>
      <c r="G133" s="140"/>
      <c r="H133" s="140"/>
      <c r="I133" s="140"/>
      <c r="J133" s="140">
        <v>78.7</v>
      </c>
      <c r="K133" s="140"/>
      <c r="L133" s="140"/>
      <c r="M133" s="140"/>
      <c r="N133" s="140"/>
      <c r="O133" s="140">
        <v>71</v>
      </c>
      <c r="P133" s="140"/>
      <c r="Q133" s="139">
        <f t="shared" si="8"/>
        <v>74.849999999999994</v>
      </c>
      <c r="R133" s="144" t="str">
        <f t="shared" si="9"/>
        <v>NO</v>
      </c>
      <c r="S133" s="145" t="str">
        <f t="shared" si="7"/>
        <v>Alto</v>
      </c>
    </row>
    <row r="134" spans="1:19" s="163" customFormat="1" ht="32.1" customHeight="1">
      <c r="A134" s="419" t="s">
        <v>81</v>
      </c>
      <c r="B134" s="328" t="s">
        <v>534</v>
      </c>
      <c r="C134" s="328" t="s">
        <v>323</v>
      </c>
      <c r="D134" s="119">
        <v>285</v>
      </c>
      <c r="E134" s="140"/>
      <c r="F134" s="140">
        <v>0</v>
      </c>
      <c r="G134" s="140">
        <v>19.399999999999999</v>
      </c>
      <c r="H134" s="140"/>
      <c r="I134" s="140"/>
      <c r="J134" s="140">
        <v>0</v>
      </c>
      <c r="K134" s="140">
        <v>19.399999999999999</v>
      </c>
      <c r="L134" s="140">
        <v>0</v>
      </c>
      <c r="M134" s="140">
        <v>0</v>
      </c>
      <c r="N134" s="140">
        <v>0</v>
      </c>
      <c r="O134" s="140">
        <v>0</v>
      </c>
      <c r="P134" s="140">
        <v>0</v>
      </c>
      <c r="Q134" s="139">
        <f t="shared" si="8"/>
        <v>4.3111111111111109</v>
      </c>
      <c r="R134" s="144" t="str">
        <f t="shared" si="9"/>
        <v>SI</v>
      </c>
      <c r="S134" s="145" t="str">
        <f t="shared" si="7"/>
        <v>Sin Riesgo</v>
      </c>
    </row>
    <row r="135" spans="1:19" s="163" customFormat="1" ht="32.1" customHeight="1">
      <c r="A135" s="419" t="s">
        <v>81</v>
      </c>
      <c r="B135" s="328" t="s">
        <v>4213</v>
      </c>
      <c r="C135" s="328" t="s">
        <v>324</v>
      </c>
      <c r="D135" s="119">
        <v>700</v>
      </c>
      <c r="E135" s="140"/>
      <c r="F135" s="140">
        <v>0</v>
      </c>
      <c r="G135" s="140">
        <v>19.399999999999999</v>
      </c>
      <c r="H135" s="140">
        <v>20.88</v>
      </c>
      <c r="I135" s="140"/>
      <c r="J135" s="140">
        <v>0</v>
      </c>
      <c r="K135" s="140">
        <v>19.399999999999999</v>
      </c>
      <c r="L135" s="140">
        <v>0</v>
      </c>
      <c r="M135" s="140">
        <v>0</v>
      </c>
      <c r="N135" s="140">
        <v>0</v>
      </c>
      <c r="O135" s="140">
        <v>0</v>
      </c>
      <c r="P135" s="140">
        <v>0</v>
      </c>
      <c r="Q135" s="139">
        <f t="shared" si="8"/>
        <v>5.968</v>
      </c>
      <c r="R135" s="144" t="str">
        <f t="shared" si="9"/>
        <v>NO</v>
      </c>
      <c r="S135" s="145" t="str">
        <f t="shared" si="7"/>
        <v>Bajo</v>
      </c>
    </row>
    <row r="136" spans="1:19" s="163" customFormat="1" ht="46.5" customHeight="1">
      <c r="A136" s="419" t="s">
        <v>81</v>
      </c>
      <c r="B136" s="328" t="s">
        <v>3010</v>
      </c>
      <c r="C136" s="328" t="s">
        <v>325</v>
      </c>
      <c r="D136" s="119">
        <v>158</v>
      </c>
      <c r="E136" s="140"/>
      <c r="F136" s="140">
        <v>19.399999999999999</v>
      </c>
      <c r="G136" s="140">
        <v>38.71</v>
      </c>
      <c r="H136" s="140">
        <v>57.3</v>
      </c>
      <c r="I136" s="140"/>
      <c r="J136" s="140">
        <v>46.45</v>
      </c>
      <c r="K136" s="140">
        <v>0</v>
      </c>
      <c r="L136" s="140">
        <v>0</v>
      </c>
      <c r="M136" s="140">
        <v>19.399999999999999</v>
      </c>
      <c r="N136" s="140">
        <v>0</v>
      </c>
      <c r="O136" s="140">
        <v>16.670000000000002</v>
      </c>
      <c r="P136" s="140">
        <v>27.1</v>
      </c>
      <c r="Q136" s="139">
        <f t="shared" si="8"/>
        <v>22.503</v>
      </c>
      <c r="R136" s="144" t="str">
        <f t="shared" si="9"/>
        <v>NO</v>
      </c>
      <c r="S136" s="145" t="str">
        <f t="shared" si="7"/>
        <v>Medio</v>
      </c>
    </row>
    <row r="137" spans="1:19" s="163" customFormat="1" ht="44.25" customHeight="1">
      <c r="A137" s="419" t="s">
        <v>81</v>
      </c>
      <c r="B137" s="328" t="s">
        <v>237</v>
      </c>
      <c r="C137" s="328" t="s">
        <v>326</v>
      </c>
      <c r="D137" s="119">
        <v>351</v>
      </c>
      <c r="E137" s="140"/>
      <c r="F137" s="140">
        <v>0</v>
      </c>
      <c r="G137" s="140">
        <v>0</v>
      </c>
      <c r="H137" s="140"/>
      <c r="I137" s="140"/>
      <c r="J137" s="140">
        <v>27.1</v>
      </c>
      <c r="K137" s="140">
        <v>46.5</v>
      </c>
      <c r="L137" s="140">
        <v>1.94</v>
      </c>
      <c r="M137" s="140">
        <v>46.45</v>
      </c>
      <c r="N137" s="140">
        <v>27.1</v>
      </c>
      <c r="O137" s="140">
        <v>16.670000000000002</v>
      </c>
      <c r="P137" s="140">
        <v>0</v>
      </c>
      <c r="Q137" s="139">
        <f t="shared" si="8"/>
        <v>18.417777777777776</v>
      </c>
      <c r="R137" s="144" t="str">
        <f t="shared" si="9"/>
        <v>NO</v>
      </c>
      <c r="S137" s="145" t="str">
        <f t="shared" si="7"/>
        <v>Medio</v>
      </c>
    </row>
    <row r="138" spans="1:19" s="163" customFormat="1" ht="32.1" customHeight="1">
      <c r="A138" s="419" t="s">
        <v>81</v>
      </c>
      <c r="B138" s="328" t="s">
        <v>538</v>
      </c>
      <c r="C138" s="328" t="s">
        <v>327</v>
      </c>
      <c r="D138" s="119">
        <v>125</v>
      </c>
      <c r="E138" s="140"/>
      <c r="F138" s="140">
        <v>65.8</v>
      </c>
      <c r="G138" s="140">
        <v>58.06</v>
      </c>
      <c r="H138" s="140"/>
      <c r="I138" s="140"/>
      <c r="J138" s="140">
        <v>38.71</v>
      </c>
      <c r="K138" s="140">
        <v>0</v>
      </c>
      <c r="L138" s="140">
        <v>38.71</v>
      </c>
      <c r="M138" s="140">
        <v>38.71</v>
      </c>
      <c r="N138" s="140">
        <v>19.350000000000001</v>
      </c>
      <c r="O138" s="140">
        <v>0</v>
      </c>
      <c r="P138" s="140">
        <v>0</v>
      </c>
      <c r="Q138" s="139">
        <f t="shared" si="8"/>
        <v>28.815555555555559</v>
      </c>
      <c r="R138" s="144" t="str">
        <f t="shared" si="9"/>
        <v>NO</v>
      </c>
      <c r="S138" s="145" t="str">
        <f t="shared" si="7"/>
        <v>Medio</v>
      </c>
    </row>
    <row r="139" spans="1:19" s="163" customFormat="1" ht="32.1" customHeight="1">
      <c r="A139" s="419" t="s">
        <v>81</v>
      </c>
      <c r="B139" s="328" t="s">
        <v>4195</v>
      </c>
      <c r="C139" s="328" t="s">
        <v>343</v>
      </c>
      <c r="D139" s="119">
        <v>124</v>
      </c>
      <c r="E139" s="140"/>
      <c r="F139" s="140"/>
      <c r="G139" s="140"/>
      <c r="H139" s="140"/>
      <c r="I139" s="140"/>
      <c r="J139" s="140">
        <v>97.6</v>
      </c>
      <c r="K139" s="140"/>
      <c r="L139" s="140"/>
      <c r="M139" s="140"/>
      <c r="N139" s="140"/>
      <c r="O139" s="140">
        <v>97.6</v>
      </c>
      <c r="P139" s="140"/>
      <c r="Q139" s="139">
        <f t="shared" si="8"/>
        <v>97.6</v>
      </c>
      <c r="R139" s="144" t="str">
        <f t="shared" si="9"/>
        <v>NO</v>
      </c>
      <c r="S139" s="145" t="str">
        <f t="shared" si="7"/>
        <v>Inviable Sanitariamente</v>
      </c>
    </row>
    <row r="140" spans="1:19" s="163" customFormat="1" ht="32.1" customHeight="1">
      <c r="A140" s="419" t="s">
        <v>81</v>
      </c>
      <c r="B140" s="328" t="s">
        <v>8</v>
      </c>
      <c r="C140" s="328" t="s">
        <v>328</v>
      </c>
      <c r="D140" s="119">
        <v>340</v>
      </c>
      <c r="E140" s="140"/>
      <c r="F140" s="140">
        <v>38.700000000000003</v>
      </c>
      <c r="G140" s="140">
        <v>0</v>
      </c>
      <c r="H140" s="140">
        <v>19.350000000000001</v>
      </c>
      <c r="I140" s="140"/>
      <c r="J140" s="140">
        <v>46.45</v>
      </c>
      <c r="K140" s="140">
        <v>0</v>
      </c>
      <c r="L140" s="140"/>
      <c r="M140" s="140">
        <v>27.1</v>
      </c>
      <c r="N140" s="140">
        <v>0</v>
      </c>
      <c r="O140" s="140">
        <v>0</v>
      </c>
      <c r="P140" s="140">
        <v>46.45</v>
      </c>
      <c r="Q140" s="139">
        <f t="shared" ref="Q140:Q156" si="13">AVERAGE(E140:P140)</f>
        <v>19.783333333333335</v>
      </c>
      <c r="R140" s="144" t="str">
        <f t="shared" ref="R140:R156" si="14">IF(Q140&lt;5,"SI","NO")</f>
        <v>NO</v>
      </c>
      <c r="S140" s="145" t="str">
        <f t="shared" ref="S140:S203" si="15">IF(Q140&lt;5,"Sin Riesgo",IF(Q140 &lt;=14,"Bajo",IF(Q140&lt;=35,"Medio",IF(Q140&lt;=80,"Alto","Inviable Sanitariamente"))))</f>
        <v>Medio</v>
      </c>
    </row>
    <row r="141" spans="1:19" s="163" customFormat="1" ht="32.1" customHeight="1">
      <c r="A141" s="419" t="s">
        <v>81</v>
      </c>
      <c r="B141" s="328" t="s">
        <v>4214</v>
      </c>
      <c r="C141" s="328" t="s">
        <v>4215</v>
      </c>
      <c r="D141" s="119">
        <v>19</v>
      </c>
      <c r="E141" s="140"/>
      <c r="F141" s="140"/>
      <c r="G141" s="140"/>
      <c r="H141" s="140"/>
      <c r="I141" s="140"/>
      <c r="J141" s="140">
        <v>19.399999999999999</v>
      </c>
      <c r="K141" s="140"/>
      <c r="L141" s="140"/>
      <c r="M141" s="140"/>
      <c r="N141" s="140"/>
      <c r="O141" s="140">
        <v>19.399999999999999</v>
      </c>
      <c r="P141" s="140"/>
      <c r="Q141" s="139">
        <f t="shared" si="13"/>
        <v>19.399999999999999</v>
      </c>
      <c r="R141" s="144" t="str">
        <f t="shared" si="14"/>
        <v>NO</v>
      </c>
      <c r="S141" s="145" t="str">
        <f t="shared" si="15"/>
        <v>Medio</v>
      </c>
    </row>
    <row r="142" spans="1:19" s="163" customFormat="1" ht="32.1" customHeight="1">
      <c r="A142" s="419" t="s">
        <v>81</v>
      </c>
      <c r="B142" s="328" t="s">
        <v>4216</v>
      </c>
      <c r="C142" s="328" t="s">
        <v>337</v>
      </c>
      <c r="D142" s="119">
        <v>67</v>
      </c>
      <c r="E142" s="140"/>
      <c r="F142" s="140"/>
      <c r="G142" s="140"/>
      <c r="H142" s="140"/>
      <c r="I142" s="140"/>
      <c r="J142" s="140">
        <v>76.599999999999994</v>
      </c>
      <c r="K142" s="140"/>
      <c r="L142" s="140"/>
      <c r="M142" s="140"/>
      <c r="N142" s="140"/>
      <c r="O142" s="140">
        <v>97.6</v>
      </c>
      <c r="P142" s="140"/>
      <c r="Q142" s="139">
        <f t="shared" si="13"/>
        <v>87.1</v>
      </c>
      <c r="R142" s="144" t="str">
        <f t="shared" si="14"/>
        <v>NO</v>
      </c>
      <c r="S142" s="145" t="str">
        <f t="shared" si="15"/>
        <v>Inviable Sanitariamente</v>
      </c>
    </row>
    <row r="143" spans="1:19" s="163" customFormat="1" ht="32.1" customHeight="1">
      <c r="A143" s="419" t="s">
        <v>81</v>
      </c>
      <c r="B143" s="328" t="s">
        <v>509</v>
      </c>
      <c r="C143" s="328" t="s">
        <v>4217</v>
      </c>
      <c r="D143" s="119">
        <v>50</v>
      </c>
      <c r="E143" s="140"/>
      <c r="F143" s="140"/>
      <c r="G143" s="140"/>
      <c r="H143" s="140"/>
      <c r="I143" s="140"/>
      <c r="J143" s="140">
        <v>97.6</v>
      </c>
      <c r="K143" s="140"/>
      <c r="L143" s="140"/>
      <c r="M143" s="140"/>
      <c r="N143" s="140"/>
      <c r="O143" s="140">
        <v>97.6</v>
      </c>
      <c r="P143" s="140"/>
      <c r="Q143" s="139">
        <f t="shared" si="13"/>
        <v>97.6</v>
      </c>
      <c r="R143" s="144" t="str">
        <f t="shared" si="14"/>
        <v>NO</v>
      </c>
      <c r="S143" s="145" t="str">
        <f t="shared" si="15"/>
        <v>Inviable Sanitariamente</v>
      </c>
    </row>
    <row r="144" spans="1:19" s="163" customFormat="1" ht="32.1" customHeight="1">
      <c r="A144" s="419" t="s">
        <v>81</v>
      </c>
      <c r="B144" s="328" t="s">
        <v>4218</v>
      </c>
      <c r="C144" s="328" t="s">
        <v>338</v>
      </c>
      <c r="D144" s="119">
        <v>102</v>
      </c>
      <c r="E144" s="140"/>
      <c r="F144" s="140"/>
      <c r="G144" s="140"/>
      <c r="H144" s="140"/>
      <c r="I144" s="140"/>
      <c r="J144" s="140">
        <v>71</v>
      </c>
      <c r="K144" s="140"/>
      <c r="L144" s="140"/>
      <c r="M144" s="140"/>
      <c r="N144" s="140"/>
      <c r="O144" s="140">
        <v>19.399999999999999</v>
      </c>
      <c r="P144" s="140"/>
      <c r="Q144" s="139">
        <f t="shared" si="13"/>
        <v>45.2</v>
      </c>
      <c r="R144" s="144" t="str">
        <f t="shared" si="14"/>
        <v>NO</v>
      </c>
      <c r="S144" s="145" t="str">
        <f t="shared" si="15"/>
        <v>Alto</v>
      </c>
    </row>
    <row r="145" spans="1:19" s="163" customFormat="1" ht="32.1" customHeight="1">
      <c r="A145" s="419" t="s">
        <v>81</v>
      </c>
      <c r="B145" s="328" t="s">
        <v>538</v>
      </c>
      <c r="C145" s="328" t="s">
        <v>331</v>
      </c>
      <c r="D145" s="119">
        <v>136</v>
      </c>
      <c r="E145" s="140"/>
      <c r="F145" s="140">
        <v>46.5</v>
      </c>
      <c r="G145" s="140">
        <v>38.71</v>
      </c>
      <c r="H145" s="140"/>
      <c r="I145" s="140"/>
      <c r="J145" s="140">
        <v>0</v>
      </c>
      <c r="K145" s="140">
        <v>38.700000000000003</v>
      </c>
      <c r="L145" s="140">
        <v>0</v>
      </c>
      <c r="M145" s="140">
        <v>38.700000000000003</v>
      </c>
      <c r="N145" s="140">
        <v>0</v>
      </c>
      <c r="O145" s="140">
        <v>0</v>
      </c>
      <c r="P145" s="140">
        <v>0</v>
      </c>
      <c r="Q145" s="139">
        <f t="shared" si="13"/>
        <v>18.067777777777778</v>
      </c>
      <c r="R145" s="144" t="str">
        <f t="shared" si="14"/>
        <v>NO</v>
      </c>
      <c r="S145" s="145" t="str">
        <f t="shared" si="15"/>
        <v>Medio</v>
      </c>
    </row>
    <row r="146" spans="1:19" s="163" customFormat="1" ht="32.1" customHeight="1">
      <c r="A146" s="419" t="s">
        <v>81</v>
      </c>
      <c r="B146" s="328" t="s">
        <v>4219</v>
      </c>
      <c r="C146" s="328" t="s">
        <v>332</v>
      </c>
      <c r="D146" s="119">
        <v>150</v>
      </c>
      <c r="E146" s="140"/>
      <c r="F146" s="140"/>
      <c r="G146" s="140"/>
      <c r="H146" s="140"/>
      <c r="I146" s="140"/>
      <c r="J146" s="140">
        <v>71</v>
      </c>
      <c r="K146" s="140"/>
      <c r="L146" s="140"/>
      <c r="M146" s="140"/>
      <c r="N146" s="140"/>
      <c r="O146" s="140">
        <v>71</v>
      </c>
      <c r="P146" s="140"/>
      <c r="Q146" s="139">
        <f t="shared" si="13"/>
        <v>71</v>
      </c>
      <c r="R146" s="144" t="str">
        <f t="shared" si="14"/>
        <v>NO</v>
      </c>
      <c r="S146" s="145" t="str">
        <f t="shared" si="15"/>
        <v>Alto</v>
      </c>
    </row>
    <row r="147" spans="1:19" s="163" customFormat="1" ht="32.1" customHeight="1">
      <c r="A147" s="419" t="s">
        <v>81</v>
      </c>
      <c r="B147" s="328" t="s">
        <v>98</v>
      </c>
      <c r="C147" s="328" t="s">
        <v>333</v>
      </c>
      <c r="D147" s="119">
        <v>460</v>
      </c>
      <c r="E147" s="140"/>
      <c r="F147" s="140"/>
      <c r="G147" s="140"/>
      <c r="H147" s="140"/>
      <c r="I147" s="140"/>
      <c r="J147" s="140">
        <v>97.6</v>
      </c>
      <c r="K147" s="140"/>
      <c r="L147" s="140"/>
      <c r="M147" s="140"/>
      <c r="N147" s="140"/>
      <c r="O147" s="140">
        <v>97.6</v>
      </c>
      <c r="P147" s="140"/>
      <c r="Q147" s="139">
        <f t="shared" si="13"/>
        <v>97.6</v>
      </c>
      <c r="R147" s="144" t="str">
        <f t="shared" si="14"/>
        <v>NO</v>
      </c>
      <c r="S147" s="145" t="str">
        <f t="shared" si="15"/>
        <v>Inviable Sanitariamente</v>
      </c>
    </row>
    <row r="148" spans="1:19" s="163" customFormat="1" ht="41.25" customHeight="1">
      <c r="A148" s="419" t="s">
        <v>81</v>
      </c>
      <c r="B148" s="328" t="s">
        <v>4220</v>
      </c>
      <c r="C148" s="328" t="s">
        <v>334</v>
      </c>
      <c r="D148" s="119">
        <v>495</v>
      </c>
      <c r="E148" s="140"/>
      <c r="F148" s="140">
        <v>0</v>
      </c>
      <c r="G148" s="140">
        <v>19.350000000000001</v>
      </c>
      <c r="H148" s="140">
        <v>27.1</v>
      </c>
      <c r="I148" s="140"/>
      <c r="J148" s="140">
        <v>19.350000000000001</v>
      </c>
      <c r="K148" s="140">
        <v>0</v>
      </c>
      <c r="L148" s="140">
        <v>0</v>
      </c>
      <c r="M148" s="140">
        <v>27.1</v>
      </c>
      <c r="N148" s="140">
        <v>0</v>
      </c>
      <c r="O148" s="140">
        <v>0</v>
      </c>
      <c r="P148" s="140">
        <v>7.74</v>
      </c>
      <c r="Q148" s="139">
        <f t="shared" si="13"/>
        <v>10.064</v>
      </c>
      <c r="R148" s="144" t="str">
        <f t="shared" si="14"/>
        <v>NO</v>
      </c>
      <c r="S148" s="145" t="str">
        <f t="shared" si="15"/>
        <v>Bajo</v>
      </c>
    </row>
    <row r="149" spans="1:19" s="163" customFormat="1" ht="32.1" customHeight="1">
      <c r="A149" s="419" t="s">
        <v>81</v>
      </c>
      <c r="B149" s="328" t="s">
        <v>4221</v>
      </c>
      <c r="C149" s="328" t="s">
        <v>335</v>
      </c>
      <c r="D149" s="119">
        <v>145</v>
      </c>
      <c r="E149" s="140"/>
      <c r="F149" s="140"/>
      <c r="G149" s="140"/>
      <c r="H149" s="140"/>
      <c r="I149" s="140"/>
      <c r="J149" s="140">
        <v>71</v>
      </c>
      <c r="K149" s="140"/>
      <c r="L149" s="140"/>
      <c r="M149" s="140"/>
      <c r="N149" s="140"/>
      <c r="O149" s="140">
        <v>71</v>
      </c>
      <c r="P149" s="140"/>
      <c r="Q149" s="139">
        <f t="shared" si="13"/>
        <v>71</v>
      </c>
      <c r="R149" s="144" t="str">
        <f t="shared" si="14"/>
        <v>NO</v>
      </c>
      <c r="S149" s="145" t="str">
        <f t="shared" si="15"/>
        <v>Alto</v>
      </c>
    </row>
    <row r="150" spans="1:19" s="163" customFormat="1" ht="44.25" customHeight="1">
      <c r="A150" s="419" t="s">
        <v>81</v>
      </c>
      <c r="B150" s="328" t="s">
        <v>4222</v>
      </c>
      <c r="C150" s="328" t="s">
        <v>336</v>
      </c>
      <c r="D150" s="119">
        <v>35</v>
      </c>
      <c r="E150" s="140"/>
      <c r="F150" s="140">
        <v>71</v>
      </c>
      <c r="G150" s="140">
        <v>0</v>
      </c>
      <c r="H150" s="140">
        <v>0</v>
      </c>
      <c r="I150" s="140"/>
      <c r="J150" s="140">
        <v>19.350000000000001</v>
      </c>
      <c r="K150" s="140">
        <v>0</v>
      </c>
      <c r="L150" s="140">
        <v>21.29</v>
      </c>
      <c r="M150" s="140">
        <v>38.71</v>
      </c>
      <c r="N150" s="140">
        <v>0</v>
      </c>
      <c r="O150" s="140">
        <v>20</v>
      </c>
      <c r="P150" s="140">
        <v>0</v>
      </c>
      <c r="Q150" s="139">
        <f t="shared" si="13"/>
        <v>17.035</v>
      </c>
      <c r="R150" s="144" t="str">
        <f t="shared" si="14"/>
        <v>NO</v>
      </c>
      <c r="S150" s="145" t="str">
        <f t="shared" si="15"/>
        <v>Medio</v>
      </c>
    </row>
    <row r="151" spans="1:19" s="163" customFormat="1" ht="48" customHeight="1">
      <c r="A151" s="419" t="s">
        <v>81</v>
      </c>
      <c r="B151" s="328" t="s">
        <v>4223</v>
      </c>
      <c r="C151" s="328" t="s">
        <v>320</v>
      </c>
      <c r="D151" s="119">
        <v>376</v>
      </c>
      <c r="E151" s="140"/>
      <c r="F151" s="140">
        <v>19.399999999999999</v>
      </c>
      <c r="G151" s="140">
        <v>0</v>
      </c>
      <c r="H151" s="140"/>
      <c r="I151" s="140"/>
      <c r="J151" s="140">
        <v>19.350000000000001</v>
      </c>
      <c r="K151" s="140">
        <v>46.5</v>
      </c>
      <c r="L151" s="140">
        <v>0</v>
      </c>
      <c r="M151" s="140">
        <v>0</v>
      </c>
      <c r="N151" s="140">
        <v>27.1</v>
      </c>
      <c r="O151" s="140">
        <v>0</v>
      </c>
      <c r="P151" s="140">
        <v>0</v>
      </c>
      <c r="Q151" s="139">
        <f t="shared" si="13"/>
        <v>12.483333333333333</v>
      </c>
      <c r="R151" s="144" t="str">
        <f t="shared" si="14"/>
        <v>NO</v>
      </c>
      <c r="S151" s="145" t="str">
        <f t="shared" si="15"/>
        <v>Bajo</v>
      </c>
    </row>
    <row r="152" spans="1:19" s="163" customFormat="1" ht="32.1" customHeight="1">
      <c r="A152" s="419" t="s">
        <v>81</v>
      </c>
      <c r="B152" s="328" t="s">
        <v>4224</v>
      </c>
      <c r="C152" s="328" t="s">
        <v>4225</v>
      </c>
      <c r="D152" s="119">
        <v>485</v>
      </c>
      <c r="E152" s="140"/>
      <c r="F152" s="140">
        <v>0</v>
      </c>
      <c r="G152" s="140">
        <v>19.350000000000001</v>
      </c>
      <c r="H152" s="140">
        <v>38.71</v>
      </c>
      <c r="I152" s="140"/>
      <c r="J152" s="140">
        <v>0</v>
      </c>
      <c r="K152" s="140">
        <v>38.700000000000003</v>
      </c>
      <c r="L152" s="140">
        <v>0</v>
      </c>
      <c r="M152" s="140">
        <v>46.45</v>
      </c>
      <c r="N152" s="140">
        <v>46.45</v>
      </c>
      <c r="O152" s="140">
        <v>0</v>
      </c>
      <c r="P152" s="140">
        <v>0</v>
      </c>
      <c r="Q152" s="139">
        <f t="shared" si="13"/>
        <v>18.966000000000001</v>
      </c>
      <c r="R152" s="144" t="str">
        <f t="shared" si="14"/>
        <v>NO</v>
      </c>
      <c r="S152" s="145" t="str">
        <f t="shared" si="15"/>
        <v>Medio</v>
      </c>
    </row>
    <row r="153" spans="1:19" s="163" customFormat="1" ht="32.1" customHeight="1">
      <c r="A153" s="419" t="s">
        <v>81</v>
      </c>
      <c r="B153" s="328" t="s">
        <v>4226</v>
      </c>
      <c r="C153" s="328" t="s">
        <v>340</v>
      </c>
      <c r="D153" s="119">
        <v>36</v>
      </c>
      <c r="E153" s="140"/>
      <c r="F153" s="140">
        <v>58.1</v>
      </c>
      <c r="G153" s="140">
        <v>0</v>
      </c>
      <c r="H153" s="140"/>
      <c r="I153" s="140"/>
      <c r="J153" s="140">
        <v>46.45</v>
      </c>
      <c r="K153" s="140">
        <v>19.399999999999999</v>
      </c>
      <c r="L153" s="140">
        <v>0</v>
      </c>
      <c r="M153" s="140">
        <v>38.71</v>
      </c>
      <c r="N153" s="140">
        <v>27.1</v>
      </c>
      <c r="O153" s="140">
        <v>0</v>
      </c>
      <c r="P153" s="140">
        <v>19.75</v>
      </c>
      <c r="Q153" s="139">
        <f t="shared" si="13"/>
        <v>23.27888888888889</v>
      </c>
      <c r="R153" s="144" t="str">
        <f t="shared" si="14"/>
        <v>NO</v>
      </c>
      <c r="S153" s="145" t="str">
        <f t="shared" si="15"/>
        <v>Medio</v>
      </c>
    </row>
    <row r="154" spans="1:19" s="163" customFormat="1" ht="32.1" customHeight="1">
      <c r="A154" s="419" t="s">
        <v>81</v>
      </c>
      <c r="B154" s="328" t="s">
        <v>88</v>
      </c>
      <c r="C154" s="328" t="s">
        <v>86</v>
      </c>
      <c r="D154" s="119">
        <v>27</v>
      </c>
      <c r="E154" s="140"/>
      <c r="F154" s="140"/>
      <c r="G154" s="140"/>
      <c r="H154" s="140"/>
      <c r="I154" s="140"/>
      <c r="J154" s="140">
        <v>97.6</v>
      </c>
      <c r="K154" s="140"/>
      <c r="L154" s="140"/>
      <c r="M154" s="140"/>
      <c r="N154" s="140"/>
      <c r="O154" s="140">
        <v>64</v>
      </c>
      <c r="P154" s="140"/>
      <c r="Q154" s="139">
        <f t="shared" si="13"/>
        <v>80.8</v>
      </c>
      <c r="R154" s="144" t="str">
        <f t="shared" si="14"/>
        <v>NO</v>
      </c>
      <c r="S154" s="145" t="str">
        <f t="shared" si="15"/>
        <v>Inviable Sanitariamente</v>
      </c>
    </row>
    <row r="155" spans="1:19" s="163" customFormat="1" ht="44.25" customHeight="1">
      <c r="A155" s="419" t="s">
        <v>81</v>
      </c>
      <c r="B155" s="328" t="s">
        <v>513</v>
      </c>
      <c r="C155" s="328" t="s">
        <v>342</v>
      </c>
      <c r="D155" s="119">
        <v>115</v>
      </c>
      <c r="E155" s="140"/>
      <c r="F155" s="140"/>
      <c r="G155" s="140">
        <v>19.350000000000001</v>
      </c>
      <c r="H155" s="140"/>
      <c r="I155" s="140"/>
      <c r="J155" s="140">
        <v>27.1</v>
      </c>
      <c r="K155" s="140">
        <v>7.7</v>
      </c>
      <c r="L155" s="140">
        <v>19.350000000000001</v>
      </c>
      <c r="M155" s="140">
        <v>19.350000000000001</v>
      </c>
      <c r="N155" s="140">
        <v>27.1</v>
      </c>
      <c r="O155" s="140"/>
      <c r="P155" s="140">
        <v>0</v>
      </c>
      <c r="Q155" s="139">
        <f t="shared" si="13"/>
        <v>17.135714285714283</v>
      </c>
      <c r="R155" s="144" t="str">
        <f t="shared" si="14"/>
        <v>NO</v>
      </c>
      <c r="S155" s="145" t="str">
        <f t="shared" si="15"/>
        <v>Medio</v>
      </c>
    </row>
    <row r="156" spans="1:19" s="163" customFormat="1" ht="32.1" customHeight="1">
      <c r="A156" s="419" t="s">
        <v>81</v>
      </c>
      <c r="B156" s="477" t="s">
        <v>101</v>
      </c>
      <c r="C156" s="477" t="s">
        <v>238</v>
      </c>
      <c r="D156" s="119">
        <v>960</v>
      </c>
      <c r="E156" s="140"/>
      <c r="F156" s="140"/>
      <c r="G156" s="140"/>
      <c r="H156" s="140"/>
      <c r="I156" s="140"/>
      <c r="J156" s="140"/>
      <c r="K156" s="140"/>
      <c r="L156" s="140"/>
      <c r="M156" s="140"/>
      <c r="N156" s="140"/>
      <c r="O156" s="140">
        <v>58.33</v>
      </c>
      <c r="P156" s="140">
        <v>27.1</v>
      </c>
      <c r="Q156" s="139">
        <f t="shared" si="13"/>
        <v>42.715000000000003</v>
      </c>
      <c r="R156" s="144" t="str">
        <f t="shared" si="14"/>
        <v>NO</v>
      </c>
      <c r="S156" s="145" t="str">
        <f t="shared" si="15"/>
        <v>Alto</v>
      </c>
    </row>
    <row r="157" spans="1:19" s="163" customFormat="1" ht="32.1" customHeight="1">
      <c r="A157" s="474" t="s">
        <v>110</v>
      </c>
      <c r="B157" s="478" t="s">
        <v>3486</v>
      </c>
      <c r="C157" s="479" t="s">
        <v>4266</v>
      </c>
      <c r="D157" s="114">
        <v>88</v>
      </c>
      <c r="E157" s="140"/>
      <c r="F157" s="140"/>
      <c r="G157" s="140"/>
      <c r="H157" s="140"/>
      <c r="I157" s="140">
        <v>19</v>
      </c>
      <c r="J157" s="140"/>
      <c r="K157" s="140"/>
      <c r="L157" s="140"/>
      <c r="M157" s="140"/>
      <c r="N157" s="140"/>
      <c r="O157" s="140"/>
      <c r="P157" s="140"/>
      <c r="Q157" s="204">
        <v>0</v>
      </c>
      <c r="R157" s="216" t="s">
        <v>2086</v>
      </c>
      <c r="S157" s="145" t="str">
        <f t="shared" si="15"/>
        <v>Sin Riesgo</v>
      </c>
    </row>
    <row r="158" spans="1:19" s="163" customFormat="1" ht="32.1" customHeight="1">
      <c r="A158" s="474" t="s">
        <v>110</v>
      </c>
      <c r="B158" s="478" t="s">
        <v>4260</v>
      </c>
      <c r="C158" s="479" t="s">
        <v>4272</v>
      </c>
      <c r="D158" s="114"/>
      <c r="E158" s="140"/>
      <c r="F158" s="140"/>
      <c r="G158" s="140"/>
      <c r="H158" s="140"/>
      <c r="I158" s="140"/>
      <c r="J158" s="140"/>
      <c r="K158" s="140"/>
      <c r="L158" s="140"/>
      <c r="M158" s="140"/>
      <c r="N158" s="140"/>
      <c r="O158" s="140"/>
      <c r="P158" s="140"/>
      <c r="Q158" s="204">
        <v>13</v>
      </c>
      <c r="R158" s="216" t="s">
        <v>1114</v>
      </c>
      <c r="S158" s="145" t="str">
        <f t="shared" si="15"/>
        <v>Bajo</v>
      </c>
    </row>
    <row r="159" spans="1:19" s="163" customFormat="1" ht="32.1" customHeight="1">
      <c r="A159" s="474" t="s">
        <v>110</v>
      </c>
      <c r="B159" s="478" t="s">
        <v>4261</v>
      </c>
      <c r="C159" s="479" t="s">
        <v>4267</v>
      </c>
      <c r="D159" s="114">
        <v>61</v>
      </c>
      <c r="E159" s="140"/>
      <c r="F159" s="140"/>
      <c r="G159" s="140"/>
      <c r="H159" s="140"/>
      <c r="I159" s="140">
        <v>0</v>
      </c>
      <c r="J159" s="140"/>
      <c r="K159" s="140"/>
      <c r="L159" s="140"/>
      <c r="M159" s="140"/>
      <c r="N159" s="140"/>
      <c r="O159" s="140"/>
      <c r="P159" s="140"/>
      <c r="Q159" s="204">
        <v>14</v>
      </c>
      <c r="R159" s="216" t="s">
        <v>1114</v>
      </c>
      <c r="S159" s="145" t="str">
        <f t="shared" si="15"/>
        <v>Bajo</v>
      </c>
    </row>
    <row r="160" spans="1:19" s="163" customFormat="1" ht="32.1" customHeight="1">
      <c r="A160" s="474" t="s">
        <v>110</v>
      </c>
      <c r="B160" s="478" t="s">
        <v>4262</v>
      </c>
      <c r="C160" s="479" t="s">
        <v>4268</v>
      </c>
      <c r="D160" s="114">
        <v>217</v>
      </c>
      <c r="E160" s="140"/>
      <c r="F160" s="140"/>
      <c r="G160" s="140"/>
      <c r="H160" s="140"/>
      <c r="I160" s="140">
        <v>19</v>
      </c>
      <c r="J160" s="140"/>
      <c r="K160" s="140"/>
      <c r="L160" s="140"/>
      <c r="M160" s="140"/>
      <c r="N160" s="140"/>
      <c r="O160" s="140"/>
      <c r="P160" s="140"/>
      <c r="Q160" s="204">
        <v>13</v>
      </c>
      <c r="R160" s="216" t="s">
        <v>1114</v>
      </c>
      <c r="S160" s="145" t="str">
        <f t="shared" si="15"/>
        <v>Bajo</v>
      </c>
    </row>
    <row r="161" spans="1:20" s="163" customFormat="1" ht="32.1" customHeight="1">
      <c r="A161" s="474" t="s">
        <v>110</v>
      </c>
      <c r="B161" s="478" t="s">
        <v>4263</v>
      </c>
      <c r="C161" s="479" t="s">
        <v>4269</v>
      </c>
      <c r="D161" s="114">
        <v>59</v>
      </c>
      <c r="E161" s="140"/>
      <c r="F161" s="140"/>
      <c r="G161" s="140"/>
      <c r="H161" s="140"/>
      <c r="I161" s="140">
        <v>45</v>
      </c>
      <c r="J161" s="140"/>
      <c r="K161" s="140"/>
      <c r="L161" s="140"/>
      <c r="M161" s="140"/>
      <c r="N161" s="140"/>
      <c r="O161" s="140"/>
      <c r="P161" s="140"/>
      <c r="Q161" s="204">
        <v>9.5</v>
      </c>
      <c r="R161" s="216" t="s">
        <v>1114</v>
      </c>
      <c r="S161" s="145" t="str">
        <f t="shared" si="15"/>
        <v>Bajo</v>
      </c>
    </row>
    <row r="162" spans="1:20" s="163" customFormat="1" ht="32.1" customHeight="1">
      <c r="A162" s="474" t="s">
        <v>110</v>
      </c>
      <c r="B162" s="478" t="s">
        <v>4519</v>
      </c>
      <c r="C162" s="479" t="s">
        <v>4520</v>
      </c>
      <c r="D162" s="323"/>
      <c r="E162" s="140"/>
      <c r="F162" s="140"/>
      <c r="G162" s="140"/>
      <c r="H162" s="140"/>
      <c r="I162" s="140">
        <v>45</v>
      </c>
      <c r="J162" s="140"/>
      <c r="K162" s="140"/>
      <c r="L162" s="140"/>
      <c r="M162" s="140"/>
      <c r="N162" s="140"/>
      <c r="O162" s="140"/>
      <c r="P162" s="140"/>
      <c r="Q162" s="115">
        <v>13</v>
      </c>
      <c r="R162" s="216" t="s">
        <v>1114</v>
      </c>
      <c r="S162" s="145" t="str">
        <f t="shared" si="15"/>
        <v>Bajo</v>
      </c>
    </row>
    <row r="163" spans="1:20" s="163" customFormat="1" ht="32.1" customHeight="1">
      <c r="A163" s="474" t="s">
        <v>110</v>
      </c>
      <c r="B163" s="478" t="s">
        <v>4264</v>
      </c>
      <c r="C163" s="479" t="s">
        <v>4271</v>
      </c>
      <c r="D163" s="323">
        <v>59</v>
      </c>
      <c r="E163" s="140"/>
      <c r="F163" s="140"/>
      <c r="G163" s="140"/>
      <c r="H163" s="140"/>
      <c r="I163" s="140">
        <v>19</v>
      </c>
      <c r="J163" s="140"/>
      <c r="K163" s="140"/>
      <c r="L163" s="140"/>
      <c r="M163" s="140"/>
      <c r="N163" s="140"/>
      <c r="O163" s="140"/>
      <c r="P163" s="140"/>
      <c r="Q163" s="115">
        <v>13</v>
      </c>
      <c r="R163" s="216" t="s">
        <v>1114</v>
      </c>
      <c r="S163" s="145" t="str">
        <f t="shared" si="15"/>
        <v>Bajo</v>
      </c>
    </row>
    <row r="164" spans="1:20" s="163" customFormat="1" ht="32.1" customHeight="1">
      <c r="A164" s="474" t="s">
        <v>110</v>
      </c>
      <c r="B164" s="478" t="s">
        <v>4265</v>
      </c>
      <c r="C164" s="479" t="s">
        <v>4270</v>
      </c>
      <c r="D164" s="323">
        <v>65</v>
      </c>
      <c r="E164" s="140"/>
      <c r="F164" s="140"/>
      <c r="G164" s="140"/>
      <c r="H164" s="140"/>
      <c r="I164" s="140">
        <v>19</v>
      </c>
      <c r="J164" s="140"/>
      <c r="K164" s="140"/>
      <c r="L164" s="140"/>
      <c r="M164" s="140"/>
      <c r="N164" s="140"/>
      <c r="O164" s="140"/>
      <c r="P164" s="140"/>
      <c r="Q164" s="115">
        <v>0</v>
      </c>
      <c r="R164" s="216" t="s">
        <v>2086</v>
      </c>
      <c r="S164" s="145" t="str">
        <f t="shared" si="15"/>
        <v>Sin Riesgo</v>
      </c>
    </row>
    <row r="165" spans="1:20" s="163" customFormat="1" ht="32.1" customHeight="1">
      <c r="A165" s="474" t="s">
        <v>113</v>
      </c>
      <c r="B165" s="328" t="s">
        <v>4249</v>
      </c>
      <c r="C165" s="328" t="s">
        <v>4250</v>
      </c>
      <c r="D165" s="138">
        <v>771</v>
      </c>
      <c r="E165" s="140"/>
      <c r="F165" s="140"/>
      <c r="G165" s="140"/>
      <c r="H165" s="140"/>
      <c r="I165" s="140"/>
      <c r="J165" s="140">
        <v>50.56</v>
      </c>
      <c r="K165" s="140">
        <v>16.850000000000001</v>
      </c>
      <c r="L165" s="140">
        <v>0</v>
      </c>
      <c r="M165" s="140">
        <v>0</v>
      </c>
      <c r="N165" s="140">
        <v>16.850000000000001</v>
      </c>
      <c r="O165" s="79">
        <v>0</v>
      </c>
      <c r="P165" s="79">
        <v>16.850000000000001</v>
      </c>
      <c r="Q165" s="139">
        <f t="shared" ref="Q165:Q211" si="16">AVERAGE(E165:P165)</f>
        <v>14.444285714285712</v>
      </c>
      <c r="R165" s="144" t="str">
        <f t="shared" ref="R165:R211" si="17">IF(Q165&lt;5,"SI","NO")</f>
        <v>NO</v>
      </c>
      <c r="S165" s="145" t="str">
        <f t="shared" si="15"/>
        <v>Medio</v>
      </c>
    </row>
    <row r="166" spans="1:20" s="163" customFormat="1" ht="32.1" customHeight="1">
      <c r="A166" s="474" t="s">
        <v>113</v>
      </c>
      <c r="B166" s="328" t="s">
        <v>4251</v>
      </c>
      <c r="C166" s="328" t="s">
        <v>4252</v>
      </c>
      <c r="D166" s="119">
        <v>2800</v>
      </c>
      <c r="E166" s="140"/>
      <c r="F166" s="140"/>
      <c r="G166" s="140"/>
      <c r="H166" s="140"/>
      <c r="I166" s="140"/>
      <c r="J166" s="140">
        <v>16.850000000000001</v>
      </c>
      <c r="K166" s="140">
        <v>16.850000000000001</v>
      </c>
      <c r="L166" s="140">
        <v>0</v>
      </c>
      <c r="M166" s="140">
        <v>16.850000000000001</v>
      </c>
      <c r="N166" s="140">
        <v>23.59</v>
      </c>
      <c r="O166" s="79">
        <v>16.850000000000001</v>
      </c>
      <c r="P166" s="79">
        <v>16.850000000000001</v>
      </c>
      <c r="Q166" s="139">
        <f t="shared" si="16"/>
        <v>15.405714285714286</v>
      </c>
      <c r="R166" s="144" t="str">
        <f t="shared" si="17"/>
        <v>NO</v>
      </c>
      <c r="S166" s="145" t="str">
        <f t="shared" si="15"/>
        <v>Medio</v>
      </c>
    </row>
    <row r="167" spans="1:20" s="163" customFormat="1" ht="32.1" customHeight="1">
      <c r="A167" s="474" t="s">
        <v>113</v>
      </c>
      <c r="B167" s="328" t="s">
        <v>4253</v>
      </c>
      <c r="C167" s="328" t="s">
        <v>4254</v>
      </c>
      <c r="D167" s="119">
        <v>111</v>
      </c>
      <c r="E167" s="140"/>
      <c r="F167" s="140"/>
      <c r="G167" s="140"/>
      <c r="H167" s="140"/>
      <c r="I167" s="140"/>
      <c r="J167" s="140">
        <v>0</v>
      </c>
      <c r="K167" s="140">
        <v>16.850000000000001</v>
      </c>
      <c r="L167" s="140">
        <v>17.97</v>
      </c>
      <c r="M167" s="140">
        <v>0</v>
      </c>
      <c r="N167" s="140">
        <v>0</v>
      </c>
      <c r="O167" s="79">
        <v>0</v>
      </c>
      <c r="P167" s="79">
        <v>0</v>
      </c>
      <c r="Q167" s="139">
        <f t="shared" si="16"/>
        <v>4.9742857142857142</v>
      </c>
      <c r="R167" s="144" t="str">
        <f t="shared" si="17"/>
        <v>SI</v>
      </c>
      <c r="S167" s="145" t="str">
        <f t="shared" si="15"/>
        <v>Sin Riesgo</v>
      </c>
    </row>
    <row r="168" spans="1:20" s="163" customFormat="1" ht="32.1" customHeight="1">
      <c r="A168" s="474" t="s">
        <v>113</v>
      </c>
      <c r="B168" s="328" t="s">
        <v>4255</v>
      </c>
      <c r="C168" s="328" t="s">
        <v>366</v>
      </c>
      <c r="D168" s="119">
        <v>1604</v>
      </c>
      <c r="E168" s="140"/>
      <c r="F168" s="140"/>
      <c r="G168" s="140"/>
      <c r="H168" s="140"/>
      <c r="I168" s="140"/>
      <c r="J168" s="140">
        <v>16.850000000000001</v>
      </c>
      <c r="K168" s="140">
        <v>16.850000000000001</v>
      </c>
      <c r="L168" s="140">
        <v>0</v>
      </c>
      <c r="M168" s="140">
        <v>44.94</v>
      </c>
      <c r="N168" s="140">
        <v>33.700000000000003</v>
      </c>
      <c r="O168" s="79">
        <v>33.700000000000003</v>
      </c>
      <c r="P168" s="79">
        <v>16.850000000000001</v>
      </c>
      <c r="Q168" s="139">
        <f t="shared" si="16"/>
        <v>23.270000000000003</v>
      </c>
      <c r="R168" s="144" t="str">
        <f t="shared" si="17"/>
        <v>NO</v>
      </c>
      <c r="S168" s="145" t="str">
        <f t="shared" si="15"/>
        <v>Medio</v>
      </c>
    </row>
    <row r="169" spans="1:20" s="163" customFormat="1" ht="32.1" customHeight="1">
      <c r="A169" s="474" t="s">
        <v>113</v>
      </c>
      <c r="B169" s="328" t="s">
        <v>4256</v>
      </c>
      <c r="C169" s="328" t="s">
        <v>365</v>
      </c>
      <c r="D169" s="119">
        <v>229</v>
      </c>
      <c r="E169" s="140"/>
      <c r="F169" s="140"/>
      <c r="G169" s="140"/>
      <c r="H169" s="140"/>
      <c r="I169" s="140"/>
      <c r="J169" s="140">
        <v>16.850000000000001</v>
      </c>
      <c r="K169" s="140">
        <v>0</v>
      </c>
      <c r="L169" s="140">
        <v>16.850000000000001</v>
      </c>
      <c r="M169" s="140">
        <v>16.850000000000001</v>
      </c>
      <c r="N169" s="140">
        <v>16.850000000000001</v>
      </c>
      <c r="O169" s="79">
        <v>16.850000000000001</v>
      </c>
      <c r="P169" s="79">
        <v>16.850000000000001</v>
      </c>
      <c r="Q169" s="139">
        <f t="shared" si="16"/>
        <v>14.442857142857141</v>
      </c>
      <c r="R169" s="144" t="str">
        <f t="shared" si="17"/>
        <v>NO</v>
      </c>
      <c r="S169" s="145" t="str">
        <f t="shared" si="15"/>
        <v>Medio</v>
      </c>
    </row>
    <row r="170" spans="1:20" s="163" customFormat="1" ht="32.1" customHeight="1">
      <c r="A170" s="474" t="s">
        <v>113</v>
      </c>
      <c r="B170" s="328" t="s">
        <v>4257</v>
      </c>
      <c r="C170" s="328" t="s">
        <v>4258</v>
      </c>
      <c r="D170" s="114">
        <v>40</v>
      </c>
      <c r="E170" s="140"/>
      <c r="F170" s="140"/>
      <c r="G170" s="140"/>
      <c r="H170" s="140"/>
      <c r="I170" s="140"/>
      <c r="J170" s="140">
        <v>61.79</v>
      </c>
      <c r="K170" s="140">
        <v>61.79</v>
      </c>
      <c r="L170" s="140">
        <v>78.650000000000006</v>
      </c>
      <c r="M170" s="140">
        <v>78.650000000000006</v>
      </c>
      <c r="N170" s="140">
        <v>78.650000000000006</v>
      </c>
      <c r="O170" s="140"/>
      <c r="P170" s="140">
        <v>61.8</v>
      </c>
      <c r="Q170" s="139">
        <f t="shared" si="16"/>
        <v>70.221666666666664</v>
      </c>
      <c r="R170" s="144" t="str">
        <f t="shared" si="17"/>
        <v>NO</v>
      </c>
      <c r="S170" s="145" t="str">
        <f t="shared" si="15"/>
        <v>Alto</v>
      </c>
    </row>
    <row r="171" spans="1:20" s="163" customFormat="1" ht="32.1" customHeight="1">
      <c r="A171" s="474" t="s">
        <v>113</v>
      </c>
      <c r="B171" s="328" t="s">
        <v>372</v>
      </c>
      <c r="C171" s="328" t="s">
        <v>4259</v>
      </c>
      <c r="D171" s="119">
        <v>100</v>
      </c>
      <c r="E171" s="140"/>
      <c r="F171" s="140"/>
      <c r="G171" s="140"/>
      <c r="H171" s="140"/>
      <c r="I171" s="140"/>
      <c r="J171" s="140">
        <v>0</v>
      </c>
      <c r="K171" s="140">
        <v>0</v>
      </c>
      <c r="L171" s="140">
        <v>0</v>
      </c>
      <c r="M171" s="140">
        <v>33.700000000000003</v>
      </c>
      <c r="N171" s="140">
        <v>0</v>
      </c>
      <c r="O171" s="79">
        <v>0</v>
      </c>
      <c r="P171" s="79">
        <v>67.790000000000006</v>
      </c>
      <c r="Q171" s="139">
        <f t="shared" si="16"/>
        <v>14.498571428571429</v>
      </c>
      <c r="R171" s="144" t="str">
        <f t="shared" si="17"/>
        <v>NO</v>
      </c>
      <c r="S171" s="145" t="str">
        <f t="shared" si="15"/>
        <v>Medio</v>
      </c>
    </row>
    <row r="172" spans="1:20" s="163" customFormat="1" ht="32.1" customHeight="1">
      <c r="A172" s="474" t="s">
        <v>113</v>
      </c>
      <c r="B172" s="328" t="s">
        <v>370</v>
      </c>
      <c r="C172" s="328" t="s">
        <v>371</v>
      </c>
      <c r="D172" s="119">
        <v>207</v>
      </c>
      <c r="E172" s="140"/>
      <c r="F172" s="140"/>
      <c r="G172" s="140"/>
      <c r="H172" s="140"/>
      <c r="I172" s="140"/>
      <c r="J172" s="140">
        <v>16.850000000000001</v>
      </c>
      <c r="K172" s="140">
        <v>0</v>
      </c>
      <c r="L172" s="140">
        <v>0</v>
      </c>
      <c r="M172" s="140">
        <v>0</v>
      </c>
      <c r="N172" s="140">
        <v>0</v>
      </c>
      <c r="O172" s="79">
        <v>0</v>
      </c>
      <c r="P172" s="79">
        <v>0</v>
      </c>
      <c r="Q172" s="139">
        <f t="shared" si="16"/>
        <v>2.4071428571428575</v>
      </c>
      <c r="R172" s="144" t="str">
        <f t="shared" si="17"/>
        <v>SI</v>
      </c>
      <c r="S172" s="145" t="str">
        <f t="shared" si="15"/>
        <v>Sin Riesgo</v>
      </c>
    </row>
    <row r="173" spans="1:20" s="163" customFormat="1" ht="32.1" customHeight="1">
      <c r="A173" s="474" t="s">
        <v>113</v>
      </c>
      <c r="B173" s="328" t="s">
        <v>535</v>
      </c>
      <c r="C173" s="328" t="s">
        <v>368</v>
      </c>
      <c r="D173" s="119">
        <v>141</v>
      </c>
      <c r="E173" s="140"/>
      <c r="F173" s="140"/>
      <c r="G173" s="140"/>
      <c r="H173" s="140"/>
      <c r="I173" s="140"/>
      <c r="J173" s="140">
        <v>0</v>
      </c>
      <c r="K173" s="140">
        <v>0</v>
      </c>
      <c r="L173" s="140">
        <v>0</v>
      </c>
      <c r="M173" s="140">
        <v>16.850000000000001</v>
      </c>
      <c r="N173" s="140">
        <v>78.650000000000006</v>
      </c>
      <c r="O173" s="79">
        <v>0</v>
      </c>
      <c r="P173" s="79">
        <v>0</v>
      </c>
      <c r="Q173" s="139">
        <f t="shared" si="16"/>
        <v>13.642857142857142</v>
      </c>
      <c r="R173" s="144" t="str">
        <f t="shared" si="17"/>
        <v>NO</v>
      </c>
      <c r="S173" s="145" t="str">
        <f t="shared" si="15"/>
        <v>Bajo</v>
      </c>
    </row>
    <row r="174" spans="1:20" s="163" customFormat="1" ht="32.1" customHeight="1">
      <c r="A174" s="474" t="s">
        <v>113</v>
      </c>
      <c r="B174" s="328" t="s">
        <v>536</v>
      </c>
      <c r="C174" s="328" t="s">
        <v>369</v>
      </c>
      <c r="D174" s="119">
        <v>112</v>
      </c>
      <c r="E174" s="140"/>
      <c r="F174" s="140"/>
      <c r="G174" s="140"/>
      <c r="H174" s="140"/>
      <c r="I174" s="140"/>
      <c r="J174" s="140">
        <v>0</v>
      </c>
      <c r="K174" s="140">
        <v>0</v>
      </c>
      <c r="L174" s="140">
        <v>0</v>
      </c>
      <c r="M174" s="140">
        <v>0</v>
      </c>
      <c r="N174" s="140">
        <v>0</v>
      </c>
      <c r="O174" s="79">
        <v>0</v>
      </c>
      <c r="P174" s="79">
        <v>16.850000000000001</v>
      </c>
      <c r="Q174" s="139">
        <f t="shared" si="16"/>
        <v>2.4071428571428575</v>
      </c>
      <c r="R174" s="144" t="str">
        <f t="shared" si="17"/>
        <v>SI</v>
      </c>
      <c r="S174" s="145" t="str">
        <f t="shared" si="15"/>
        <v>Sin Riesgo</v>
      </c>
    </row>
    <row r="175" spans="1:20" s="163" customFormat="1" ht="32.1" customHeight="1">
      <c r="A175" s="474" t="s">
        <v>113</v>
      </c>
      <c r="B175" s="328" t="s">
        <v>99</v>
      </c>
      <c r="C175" s="328" t="s">
        <v>367</v>
      </c>
      <c r="D175" s="119">
        <v>18</v>
      </c>
      <c r="E175" s="140"/>
      <c r="F175" s="140"/>
      <c r="G175" s="140"/>
      <c r="H175" s="140"/>
      <c r="I175" s="140"/>
      <c r="J175" s="140">
        <v>61.79</v>
      </c>
      <c r="K175" s="140">
        <v>16.850000000000001</v>
      </c>
      <c r="L175" s="140">
        <v>61.79</v>
      </c>
      <c r="M175" s="140">
        <v>78.650000000000006</v>
      </c>
      <c r="N175" s="140">
        <v>85.39</v>
      </c>
      <c r="O175" s="79">
        <v>16.850000000000001</v>
      </c>
      <c r="P175" s="79">
        <v>78.650000000000006</v>
      </c>
      <c r="Q175" s="139">
        <f t="shared" si="16"/>
        <v>57.138571428571431</v>
      </c>
      <c r="R175" s="144" t="str">
        <f t="shared" si="17"/>
        <v>NO</v>
      </c>
      <c r="S175" s="145" t="str">
        <f t="shared" si="15"/>
        <v>Alto</v>
      </c>
    </row>
    <row r="176" spans="1:20" s="163" customFormat="1" ht="32.1" customHeight="1">
      <c r="A176" s="419" t="s">
        <v>107</v>
      </c>
      <c r="B176" s="479" t="s">
        <v>4292</v>
      </c>
      <c r="C176" s="480" t="s">
        <v>4291</v>
      </c>
      <c r="D176" s="173">
        <v>911</v>
      </c>
      <c r="E176" s="140">
        <v>0</v>
      </c>
      <c r="F176" s="140">
        <v>0</v>
      </c>
      <c r="G176" s="140">
        <v>0</v>
      </c>
      <c r="H176" s="140">
        <v>0</v>
      </c>
      <c r="I176" s="140">
        <v>8.6999999999999993</v>
      </c>
      <c r="J176" s="140">
        <v>0</v>
      </c>
      <c r="K176" s="140">
        <v>3.5</v>
      </c>
      <c r="L176" s="140">
        <v>0</v>
      </c>
      <c r="M176" s="140">
        <v>0</v>
      </c>
      <c r="N176" s="140">
        <v>0</v>
      </c>
      <c r="O176" s="140">
        <v>0</v>
      </c>
      <c r="P176" s="140">
        <v>0</v>
      </c>
      <c r="Q176" s="356">
        <f t="shared" si="16"/>
        <v>1.0166666666666666</v>
      </c>
      <c r="R176" s="146" t="str">
        <f t="shared" si="17"/>
        <v>SI</v>
      </c>
      <c r="S176" s="145" t="str">
        <f t="shared" si="15"/>
        <v>Sin Riesgo</v>
      </c>
      <c r="T176" s="230"/>
    </row>
    <row r="177" spans="1:20" s="163" customFormat="1" ht="32.1" customHeight="1">
      <c r="A177" s="419" t="s">
        <v>107</v>
      </c>
      <c r="B177" s="479" t="s">
        <v>4103</v>
      </c>
      <c r="C177" s="480" t="s">
        <v>271</v>
      </c>
      <c r="D177" s="173">
        <v>1389</v>
      </c>
      <c r="E177" s="140">
        <v>3.5</v>
      </c>
      <c r="F177" s="140">
        <v>0</v>
      </c>
      <c r="G177" s="140">
        <v>3.5</v>
      </c>
      <c r="H177" s="140">
        <v>0</v>
      </c>
      <c r="I177" s="140">
        <v>0</v>
      </c>
      <c r="J177" s="140">
        <v>0</v>
      </c>
      <c r="K177" s="140">
        <v>8.3000000000000007</v>
      </c>
      <c r="L177" s="140">
        <v>0</v>
      </c>
      <c r="M177" s="140">
        <v>0</v>
      </c>
      <c r="N177" s="140">
        <v>14</v>
      </c>
      <c r="O177" s="140">
        <v>0</v>
      </c>
      <c r="P177" s="140">
        <v>5.2</v>
      </c>
      <c r="Q177" s="356">
        <f t="shared" si="16"/>
        <v>2.875</v>
      </c>
      <c r="R177" s="146" t="str">
        <f t="shared" si="17"/>
        <v>SI</v>
      </c>
      <c r="S177" s="145" t="str">
        <f t="shared" si="15"/>
        <v>Sin Riesgo</v>
      </c>
      <c r="T177" s="230"/>
    </row>
    <row r="178" spans="1:20" s="163" customFormat="1" ht="32.1" customHeight="1">
      <c r="A178" s="419" t="s">
        <v>107</v>
      </c>
      <c r="B178" s="479" t="s">
        <v>4293</v>
      </c>
      <c r="C178" s="480" t="s">
        <v>4104</v>
      </c>
      <c r="D178" s="173">
        <v>216</v>
      </c>
      <c r="E178" s="140">
        <v>0</v>
      </c>
      <c r="F178" s="140">
        <v>0</v>
      </c>
      <c r="G178" s="140">
        <v>0</v>
      </c>
      <c r="H178" s="140">
        <v>0</v>
      </c>
      <c r="I178" s="140">
        <v>8.6999999999999993</v>
      </c>
      <c r="J178" s="140">
        <v>0</v>
      </c>
      <c r="K178" s="140">
        <v>0</v>
      </c>
      <c r="L178" s="140">
        <v>0</v>
      </c>
      <c r="M178" s="140">
        <v>0</v>
      </c>
      <c r="N178" s="140">
        <v>4.4000000000000004</v>
      </c>
      <c r="O178" s="140">
        <v>0</v>
      </c>
      <c r="P178" s="140">
        <v>0</v>
      </c>
      <c r="Q178" s="356">
        <f t="shared" si="16"/>
        <v>1.0916666666666666</v>
      </c>
      <c r="R178" s="146" t="str">
        <f t="shared" si="17"/>
        <v>SI</v>
      </c>
      <c r="S178" s="145" t="str">
        <f t="shared" si="15"/>
        <v>Sin Riesgo</v>
      </c>
      <c r="T178" s="230"/>
    </row>
    <row r="179" spans="1:20" s="163" customFormat="1" ht="32.1" customHeight="1">
      <c r="A179" s="419" t="s">
        <v>107</v>
      </c>
      <c r="B179" s="479" t="s">
        <v>4294</v>
      </c>
      <c r="C179" s="480" t="s">
        <v>4105</v>
      </c>
      <c r="D179" s="173">
        <v>374</v>
      </c>
      <c r="E179" s="140">
        <v>0</v>
      </c>
      <c r="F179" s="140">
        <v>0</v>
      </c>
      <c r="G179" s="140">
        <v>13.1</v>
      </c>
      <c r="H179" s="140">
        <v>0</v>
      </c>
      <c r="I179" s="140">
        <v>0</v>
      </c>
      <c r="J179" s="140">
        <v>0</v>
      </c>
      <c r="K179" s="140">
        <v>0</v>
      </c>
      <c r="L179" s="140">
        <v>0</v>
      </c>
      <c r="M179" s="140">
        <v>0</v>
      </c>
      <c r="N179" s="140">
        <v>7.9</v>
      </c>
      <c r="O179" s="140">
        <v>0</v>
      </c>
      <c r="P179" s="140">
        <v>0</v>
      </c>
      <c r="Q179" s="356">
        <f t="shared" si="16"/>
        <v>1.75</v>
      </c>
      <c r="R179" s="146" t="str">
        <f t="shared" si="17"/>
        <v>SI</v>
      </c>
      <c r="S179" s="145" t="str">
        <f t="shared" si="15"/>
        <v>Sin Riesgo</v>
      </c>
      <c r="T179" s="230"/>
    </row>
    <row r="180" spans="1:20" s="163" customFormat="1" ht="32.1" customHeight="1">
      <c r="A180" s="419" t="s">
        <v>107</v>
      </c>
      <c r="B180" s="479" t="s">
        <v>4295</v>
      </c>
      <c r="C180" s="480" t="s">
        <v>456</v>
      </c>
      <c r="D180" s="173">
        <v>469</v>
      </c>
      <c r="E180" s="140">
        <v>0</v>
      </c>
      <c r="F180" s="140">
        <v>0</v>
      </c>
      <c r="G180" s="140">
        <v>0</v>
      </c>
      <c r="H180" s="140">
        <v>8.6999999999999993</v>
      </c>
      <c r="I180" s="140">
        <v>0</v>
      </c>
      <c r="J180" s="140">
        <v>0</v>
      </c>
      <c r="K180" s="140">
        <v>8.6999999999999993</v>
      </c>
      <c r="L180" s="140">
        <v>0</v>
      </c>
      <c r="M180" s="140">
        <v>0</v>
      </c>
      <c r="N180" s="140">
        <v>0</v>
      </c>
      <c r="O180" s="140">
        <v>0</v>
      </c>
      <c r="P180" s="140">
        <v>0</v>
      </c>
      <c r="Q180" s="356">
        <f t="shared" si="16"/>
        <v>1.45</v>
      </c>
      <c r="R180" s="146" t="str">
        <f t="shared" si="17"/>
        <v>SI</v>
      </c>
      <c r="S180" s="145" t="str">
        <f t="shared" si="15"/>
        <v>Sin Riesgo</v>
      </c>
      <c r="T180" s="230"/>
    </row>
    <row r="181" spans="1:20" s="163" customFormat="1" ht="32.1" customHeight="1">
      <c r="A181" s="419" t="s">
        <v>107</v>
      </c>
      <c r="B181" s="479" t="s">
        <v>4296</v>
      </c>
      <c r="C181" s="480" t="s">
        <v>273</v>
      </c>
      <c r="D181" s="173">
        <v>525</v>
      </c>
      <c r="E181" s="140">
        <v>0</v>
      </c>
      <c r="F181" s="140">
        <v>0</v>
      </c>
      <c r="G181" s="140">
        <v>0</v>
      </c>
      <c r="H181" s="140">
        <v>0</v>
      </c>
      <c r="I181" s="140">
        <v>0</v>
      </c>
      <c r="J181" s="140">
        <v>0</v>
      </c>
      <c r="K181" s="140">
        <v>4.4000000000000004</v>
      </c>
      <c r="L181" s="140">
        <v>0</v>
      </c>
      <c r="M181" s="140">
        <v>0</v>
      </c>
      <c r="N181" s="140">
        <v>0</v>
      </c>
      <c r="O181" s="140">
        <v>0</v>
      </c>
      <c r="P181" s="140">
        <v>0</v>
      </c>
      <c r="Q181" s="356">
        <f t="shared" si="16"/>
        <v>0.3666666666666667</v>
      </c>
      <c r="R181" s="146" t="str">
        <f t="shared" si="17"/>
        <v>SI</v>
      </c>
      <c r="S181" s="145" t="str">
        <f t="shared" si="15"/>
        <v>Sin Riesgo</v>
      </c>
      <c r="T181" s="230"/>
    </row>
    <row r="182" spans="1:20" s="163" customFormat="1" ht="32.1" customHeight="1">
      <c r="A182" s="419" t="s">
        <v>107</v>
      </c>
      <c r="B182" s="479" t="s">
        <v>4308</v>
      </c>
      <c r="C182" s="480" t="s">
        <v>4107</v>
      </c>
      <c r="D182" s="173">
        <v>533</v>
      </c>
      <c r="E182" s="140">
        <v>0</v>
      </c>
      <c r="F182" s="140">
        <v>0</v>
      </c>
      <c r="G182" s="140">
        <v>0</v>
      </c>
      <c r="H182" s="140">
        <v>19.2</v>
      </c>
      <c r="I182" s="140">
        <v>3.5</v>
      </c>
      <c r="J182" s="140">
        <v>0</v>
      </c>
      <c r="K182" s="140">
        <v>0</v>
      </c>
      <c r="L182" s="140">
        <v>24.4</v>
      </c>
      <c r="M182" s="140">
        <v>0</v>
      </c>
      <c r="N182" s="140">
        <v>14</v>
      </c>
      <c r="O182" s="140">
        <v>0</v>
      </c>
      <c r="P182" s="140">
        <v>27.5</v>
      </c>
      <c r="Q182" s="356">
        <f t="shared" si="16"/>
        <v>7.3833333333333329</v>
      </c>
      <c r="R182" s="146" t="str">
        <f t="shared" si="17"/>
        <v>NO</v>
      </c>
      <c r="S182" s="145" t="str">
        <f t="shared" si="15"/>
        <v>Bajo</v>
      </c>
      <c r="T182" s="230"/>
    </row>
    <row r="183" spans="1:20" s="163" customFormat="1" ht="32.1" customHeight="1">
      <c r="A183" s="419" t="s">
        <v>107</v>
      </c>
      <c r="B183" s="479" t="s">
        <v>457</v>
      </c>
      <c r="C183" s="480" t="s">
        <v>4108</v>
      </c>
      <c r="D183" s="173">
        <v>400</v>
      </c>
      <c r="E183" s="140">
        <v>0</v>
      </c>
      <c r="F183" s="140">
        <v>4.5</v>
      </c>
      <c r="G183" s="140">
        <v>0</v>
      </c>
      <c r="H183" s="140">
        <v>0</v>
      </c>
      <c r="I183" s="140">
        <v>0</v>
      </c>
      <c r="J183" s="140">
        <v>16</v>
      </c>
      <c r="K183" s="140">
        <v>0</v>
      </c>
      <c r="L183" s="140">
        <v>0</v>
      </c>
      <c r="M183" s="140">
        <v>0</v>
      </c>
      <c r="N183" s="140">
        <v>0</v>
      </c>
      <c r="O183" s="140">
        <v>0</v>
      </c>
      <c r="P183" s="140">
        <v>0</v>
      </c>
      <c r="Q183" s="356">
        <f t="shared" si="16"/>
        <v>1.7083333333333333</v>
      </c>
      <c r="R183" s="146" t="str">
        <f t="shared" si="17"/>
        <v>SI</v>
      </c>
      <c r="S183" s="145" t="str">
        <f t="shared" si="15"/>
        <v>Sin Riesgo</v>
      </c>
      <c r="T183" s="230"/>
    </row>
    <row r="184" spans="1:20" s="163" customFormat="1" ht="32.1" customHeight="1">
      <c r="A184" s="419" t="s">
        <v>107</v>
      </c>
      <c r="B184" s="479" t="s">
        <v>4106</v>
      </c>
      <c r="C184" s="480" t="s">
        <v>4521</v>
      </c>
      <c r="D184" s="173">
        <v>2574</v>
      </c>
      <c r="E184" s="140">
        <v>0</v>
      </c>
      <c r="F184" s="140">
        <v>0</v>
      </c>
      <c r="G184" s="140">
        <v>0</v>
      </c>
      <c r="H184" s="140">
        <v>2.2000000000000002</v>
      </c>
      <c r="I184" s="140">
        <v>0</v>
      </c>
      <c r="J184" s="140">
        <v>0</v>
      </c>
      <c r="K184" s="140">
        <v>3.4</v>
      </c>
      <c r="L184" s="140">
        <v>0</v>
      </c>
      <c r="M184" s="140">
        <v>0</v>
      </c>
      <c r="N184" s="140">
        <v>0</v>
      </c>
      <c r="O184" s="140">
        <v>0</v>
      </c>
      <c r="P184" s="140">
        <v>0</v>
      </c>
      <c r="Q184" s="356">
        <f t="shared" si="16"/>
        <v>0.46666666666666662</v>
      </c>
      <c r="R184" s="146" t="str">
        <f t="shared" si="17"/>
        <v>SI</v>
      </c>
      <c r="S184" s="145" t="str">
        <f t="shared" si="15"/>
        <v>Sin Riesgo</v>
      </c>
      <c r="T184" s="230"/>
    </row>
    <row r="185" spans="1:20" s="163" customFormat="1" ht="32.1" customHeight="1">
      <c r="A185" s="419" t="s">
        <v>107</v>
      </c>
      <c r="B185" s="479" t="s">
        <v>4106</v>
      </c>
      <c r="C185" s="480" t="s">
        <v>4109</v>
      </c>
      <c r="D185" s="173"/>
      <c r="E185" s="140"/>
      <c r="F185" s="140"/>
      <c r="G185" s="140"/>
      <c r="H185" s="140"/>
      <c r="I185" s="140"/>
      <c r="J185" s="140"/>
      <c r="K185" s="140"/>
      <c r="L185" s="140"/>
      <c r="M185" s="140"/>
      <c r="N185" s="140">
        <v>0</v>
      </c>
      <c r="O185" s="140">
        <v>0</v>
      </c>
      <c r="P185" s="140">
        <v>0</v>
      </c>
      <c r="Q185" s="356">
        <f t="shared" ref="Q185" si="18">AVERAGE(E185:P185)</f>
        <v>0</v>
      </c>
      <c r="R185" s="146" t="str">
        <f t="shared" ref="R185" si="19">IF(Q185&lt;5,"SI","NO")</f>
        <v>SI</v>
      </c>
      <c r="S185" s="145" t="str">
        <f t="shared" si="15"/>
        <v>Sin Riesgo</v>
      </c>
      <c r="T185" s="230"/>
    </row>
    <row r="186" spans="1:20" s="163" customFormat="1" ht="32.1" customHeight="1">
      <c r="A186" s="419" t="s">
        <v>107</v>
      </c>
      <c r="B186" s="479" t="s">
        <v>4106</v>
      </c>
      <c r="C186" s="480" t="s">
        <v>4110</v>
      </c>
      <c r="D186" s="173"/>
      <c r="E186" s="140"/>
      <c r="F186" s="140"/>
      <c r="G186" s="140"/>
      <c r="H186" s="140"/>
      <c r="I186" s="140"/>
      <c r="J186" s="140"/>
      <c r="K186" s="140"/>
      <c r="L186" s="140"/>
      <c r="M186" s="140"/>
      <c r="N186" s="140">
        <v>0</v>
      </c>
      <c r="O186" s="140"/>
      <c r="P186" s="140"/>
      <c r="Q186" s="356">
        <f t="shared" si="16"/>
        <v>0</v>
      </c>
      <c r="R186" s="146" t="str">
        <f t="shared" si="17"/>
        <v>SI</v>
      </c>
      <c r="S186" s="145" t="str">
        <f t="shared" si="15"/>
        <v>Sin Riesgo</v>
      </c>
      <c r="T186" s="230"/>
    </row>
    <row r="187" spans="1:20" s="163" customFormat="1" ht="32.1" customHeight="1">
      <c r="A187" s="419" t="s">
        <v>107</v>
      </c>
      <c r="B187" s="479" t="s">
        <v>4299</v>
      </c>
      <c r="C187" s="480" t="s">
        <v>4111</v>
      </c>
      <c r="D187" s="173">
        <v>566</v>
      </c>
      <c r="E187" s="140">
        <v>0</v>
      </c>
      <c r="F187" s="140">
        <v>0</v>
      </c>
      <c r="G187" s="140">
        <v>0</v>
      </c>
      <c r="H187" s="140">
        <v>7</v>
      </c>
      <c r="I187" s="140">
        <v>0</v>
      </c>
      <c r="J187" s="140">
        <v>0</v>
      </c>
      <c r="K187" s="140">
        <v>0</v>
      </c>
      <c r="L187" s="140">
        <v>0</v>
      </c>
      <c r="M187" s="140">
        <v>0</v>
      </c>
      <c r="N187" s="140">
        <v>1.7</v>
      </c>
      <c r="O187" s="140">
        <v>0</v>
      </c>
      <c r="P187" s="140">
        <v>0</v>
      </c>
      <c r="Q187" s="356">
        <f t="shared" si="16"/>
        <v>0.72499999999999998</v>
      </c>
      <c r="R187" s="146" t="str">
        <f t="shared" si="17"/>
        <v>SI</v>
      </c>
      <c r="S187" s="145" t="str">
        <f t="shared" si="15"/>
        <v>Sin Riesgo</v>
      </c>
      <c r="T187" s="230"/>
    </row>
    <row r="188" spans="1:20" s="163" customFormat="1" ht="32.1" customHeight="1">
      <c r="A188" s="419" t="s">
        <v>107</v>
      </c>
      <c r="B188" s="479" t="s">
        <v>4298</v>
      </c>
      <c r="C188" s="480" t="s">
        <v>4297</v>
      </c>
      <c r="D188" s="173">
        <v>664</v>
      </c>
      <c r="E188" s="140">
        <v>0</v>
      </c>
      <c r="F188" s="140">
        <v>0</v>
      </c>
      <c r="G188" s="140">
        <v>0</v>
      </c>
      <c r="H188" s="140">
        <v>33.1</v>
      </c>
      <c r="I188" s="140">
        <v>0</v>
      </c>
      <c r="J188" s="140">
        <v>13.3</v>
      </c>
      <c r="K188" s="140">
        <v>0</v>
      </c>
      <c r="L188" s="140">
        <v>0</v>
      </c>
      <c r="M188" s="140">
        <v>5.8</v>
      </c>
      <c r="N188" s="140">
        <v>4.4000000000000004</v>
      </c>
      <c r="O188" s="140">
        <v>0</v>
      </c>
      <c r="P188" s="140">
        <v>27.5</v>
      </c>
      <c r="Q188" s="356">
        <f t="shared" si="16"/>
        <v>7.0083333333333329</v>
      </c>
      <c r="R188" s="146" t="str">
        <f t="shared" si="17"/>
        <v>NO</v>
      </c>
      <c r="S188" s="145" t="str">
        <f t="shared" si="15"/>
        <v>Bajo</v>
      </c>
      <c r="T188" s="230"/>
    </row>
    <row r="189" spans="1:20" s="163" customFormat="1" ht="32.1" customHeight="1">
      <c r="A189" s="419" t="s">
        <v>107</v>
      </c>
      <c r="B189" s="479" t="s">
        <v>4301</v>
      </c>
      <c r="C189" s="480" t="s">
        <v>4113</v>
      </c>
      <c r="D189" s="173">
        <v>149</v>
      </c>
      <c r="E189" s="140">
        <v>0</v>
      </c>
      <c r="F189" s="140">
        <v>0</v>
      </c>
      <c r="G189" s="140">
        <v>0</v>
      </c>
      <c r="H189" s="140">
        <v>0</v>
      </c>
      <c r="I189" s="140">
        <v>0</v>
      </c>
      <c r="J189" s="140">
        <v>3.5</v>
      </c>
      <c r="K189" s="140">
        <v>0</v>
      </c>
      <c r="L189" s="140">
        <v>0</v>
      </c>
      <c r="M189" s="140">
        <v>0</v>
      </c>
      <c r="N189" s="140">
        <v>0</v>
      </c>
      <c r="O189" s="140">
        <v>0</v>
      </c>
      <c r="P189" s="140">
        <v>0</v>
      </c>
      <c r="Q189" s="356">
        <f t="shared" si="16"/>
        <v>0.29166666666666669</v>
      </c>
      <c r="R189" s="146" t="str">
        <f t="shared" si="17"/>
        <v>SI</v>
      </c>
      <c r="S189" s="145" t="str">
        <f t="shared" si="15"/>
        <v>Sin Riesgo</v>
      </c>
      <c r="T189" s="230"/>
    </row>
    <row r="190" spans="1:20" s="163" customFormat="1" ht="32.1" customHeight="1">
      <c r="A190" s="419" t="s">
        <v>107</v>
      </c>
      <c r="B190" s="479" t="s">
        <v>4300</v>
      </c>
      <c r="C190" s="480" t="s">
        <v>4114</v>
      </c>
      <c r="D190" s="173">
        <v>191</v>
      </c>
      <c r="E190" s="140">
        <v>3.5</v>
      </c>
      <c r="F190" s="140">
        <v>0</v>
      </c>
      <c r="G190" s="140">
        <v>0</v>
      </c>
      <c r="H190" s="140">
        <v>7</v>
      </c>
      <c r="I190" s="140">
        <v>0</v>
      </c>
      <c r="J190" s="140">
        <v>3.5</v>
      </c>
      <c r="K190" s="140">
        <v>6.1</v>
      </c>
      <c r="L190" s="140">
        <v>0</v>
      </c>
      <c r="M190" s="140">
        <v>0</v>
      </c>
      <c r="N190" s="140">
        <v>4.4000000000000004</v>
      </c>
      <c r="O190" s="140">
        <v>0</v>
      </c>
      <c r="P190" s="140">
        <v>0</v>
      </c>
      <c r="Q190" s="356">
        <f t="shared" si="16"/>
        <v>2.0416666666666665</v>
      </c>
      <c r="R190" s="146" t="str">
        <f t="shared" si="17"/>
        <v>SI</v>
      </c>
      <c r="S190" s="145" t="str">
        <f t="shared" si="15"/>
        <v>Sin Riesgo</v>
      </c>
      <c r="T190" s="230"/>
    </row>
    <row r="191" spans="1:20" s="163" customFormat="1" ht="32.1" customHeight="1">
      <c r="A191" s="419" t="s">
        <v>107</v>
      </c>
      <c r="B191" s="479" t="s">
        <v>458</v>
      </c>
      <c r="C191" s="480" t="s">
        <v>4115</v>
      </c>
      <c r="D191" s="173">
        <v>295</v>
      </c>
      <c r="E191" s="140">
        <v>0</v>
      </c>
      <c r="F191" s="140">
        <v>0</v>
      </c>
      <c r="G191" s="140">
        <v>0</v>
      </c>
      <c r="H191" s="140">
        <v>0</v>
      </c>
      <c r="I191" s="140">
        <v>0</v>
      </c>
      <c r="J191" s="140">
        <v>12.2</v>
      </c>
      <c r="K191" s="140">
        <v>0</v>
      </c>
      <c r="L191" s="140">
        <v>0</v>
      </c>
      <c r="M191" s="140">
        <v>3.5</v>
      </c>
      <c r="N191" s="140">
        <v>0</v>
      </c>
      <c r="O191" s="140">
        <v>0</v>
      </c>
      <c r="P191" s="140">
        <v>0</v>
      </c>
      <c r="Q191" s="356">
        <f t="shared" si="16"/>
        <v>1.3083333333333333</v>
      </c>
      <c r="R191" s="146" t="str">
        <f t="shared" si="17"/>
        <v>SI</v>
      </c>
      <c r="S191" s="145" t="str">
        <f t="shared" si="15"/>
        <v>Sin Riesgo</v>
      </c>
      <c r="T191" s="230"/>
    </row>
    <row r="192" spans="1:20" s="163" customFormat="1" ht="32.1" customHeight="1">
      <c r="A192" s="419" t="s">
        <v>107</v>
      </c>
      <c r="B192" s="479" t="s">
        <v>4302</v>
      </c>
      <c r="C192" s="480" t="s">
        <v>4116</v>
      </c>
      <c r="D192" s="172">
        <v>689</v>
      </c>
      <c r="E192" s="140">
        <v>4.4000000000000004</v>
      </c>
      <c r="F192" s="140">
        <v>0</v>
      </c>
      <c r="G192" s="140">
        <v>0</v>
      </c>
      <c r="H192" s="140">
        <v>0</v>
      </c>
      <c r="I192" s="140">
        <v>0</v>
      </c>
      <c r="J192" s="140">
        <v>8.6999999999999993</v>
      </c>
      <c r="K192" s="140">
        <v>0</v>
      </c>
      <c r="L192" s="140">
        <v>0</v>
      </c>
      <c r="M192" s="140">
        <v>0</v>
      </c>
      <c r="N192" s="140">
        <v>0</v>
      </c>
      <c r="O192" s="140">
        <v>0</v>
      </c>
      <c r="P192" s="140">
        <v>19</v>
      </c>
      <c r="Q192" s="356">
        <f t="shared" si="16"/>
        <v>2.6750000000000003</v>
      </c>
      <c r="R192" s="146" t="str">
        <f t="shared" si="17"/>
        <v>SI</v>
      </c>
      <c r="S192" s="145" t="str">
        <f t="shared" si="15"/>
        <v>Sin Riesgo</v>
      </c>
      <c r="T192" s="230"/>
    </row>
    <row r="193" spans="1:20" s="163" customFormat="1" ht="32.1" customHeight="1">
      <c r="A193" s="419" t="s">
        <v>107</v>
      </c>
      <c r="B193" s="479" t="s">
        <v>4309</v>
      </c>
      <c r="C193" s="480" t="s">
        <v>4117</v>
      </c>
      <c r="D193" s="173">
        <v>1943</v>
      </c>
      <c r="E193" s="140">
        <v>0</v>
      </c>
      <c r="F193" s="140">
        <v>0</v>
      </c>
      <c r="G193" s="140">
        <v>0</v>
      </c>
      <c r="H193" s="140">
        <v>4.4000000000000004</v>
      </c>
      <c r="I193" s="140">
        <v>0</v>
      </c>
      <c r="J193" s="140">
        <v>2.2999999999999998</v>
      </c>
      <c r="K193" s="140">
        <v>0</v>
      </c>
      <c r="L193" s="140">
        <v>0</v>
      </c>
      <c r="M193" s="140">
        <v>0</v>
      </c>
      <c r="N193" s="140">
        <v>2.9</v>
      </c>
      <c r="O193" s="140">
        <v>17.399999999999999</v>
      </c>
      <c r="P193" s="140">
        <v>0</v>
      </c>
      <c r="Q193" s="356">
        <f t="shared" si="16"/>
        <v>2.25</v>
      </c>
      <c r="R193" s="146" t="str">
        <f t="shared" si="17"/>
        <v>SI</v>
      </c>
      <c r="S193" s="145" t="str">
        <f t="shared" si="15"/>
        <v>Sin Riesgo</v>
      </c>
      <c r="T193" s="230"/>
    </row>
    <row r="194" spans="1:20" s="163" customFormat="1" ht="32.1" customHeight="1">
      <c r="A194" s="419" t="s">
        <v>107</v>
      </c>
      <c r="B194" s="479" t="s">
        <v>4307</v>
      </c>
      <c r="C194" s="480" t="s">
        <v>4118</v>
      </c>
      <c r="D194" s="173">
        <v>589</v>
      </c>
      <c r="E194" s="140">
        <v>0</v>
      </c>
      <c r="F194" s="140">
        <v>0</v>
      </c>
      <c r="G194" s="140">
        <v>12.2</v>
      </c>
      <c r="H194" s="140">
        <v>0</v>
      </c>
      <c r="I194" s="140">
        <v>3.4</v>
      </c>
      <c r="J194" s="140">
        <v>0</v>
      </c>
      <c r="K194" s="140">
        <v>7</v>
      </c>
      <c r="L194" s="140">
        <v>0</v>
      </c>
      <c r="M194" s="140">
        <v>21.6</v>
      </c>
      <c r="N194" s="140">
        <v>0.4</v>
      </c>
      <c r="O194" s="140">
        <v>0</v>
      </c>
      <c r="P194" s="140">
        <v>0</v>
      </c>
      <c r="Q194" s="356">
        <f t="shared" si="16"/>
        <v>3.7166666666666668</v>
      </c>
      <c r="R194" s="146" t="str">
        <f t="shared" si="17"/>
        <v>SI</v>
      </c>
      <c r="S194" s="145" t="str">
        <f t="shared" si="15"/>
        <v>Sin Riesgo</v>
      </c>
      <c r="T194" s="230"/>
    </row>
    <row r="195" spans="1:20" s="163" customFormat="1" ht="32.1" customHeight="1">
      <c r="A195" s="419" t="s">
        <v>107</v>
      </c>
      <c r="B195" s="479" t="s">
        <v>4306</v>
      </c>
      <c r="C195" s="480" t="s">
        <v>4119</v>
      </c>
      <c r="D195" s="173">
        <v>524</v>
      </c>
      <c r="E195" s="140">
        <v>1.4</v>
      </c>
      <c r="F195" s="140">
        <v>0</v>
      </c>
      <c r="G195" s="140">
        <v>0</v>
      </c>
      <c r="H195" s="140">
        <v>0</v>
      </c>
      <c r="I195" s="140">
        <v>3.5</v>
      </c>
      <c r="J195" s="140">
        <v>0</v>
      </c>
      <c r="K195" s="140">
        <v>0</v>
      </c>
      <c r="L195" s="140">
        <v>0</v>
      </c>
      <c r="M195" s="140">
        <v>9.1</v>
      </c>
      <c r="N195" s="140">
        <v>7.9</v>
      </c>
      <c r="O195" s="140">
        <v>8.6999999999999993</v>
      </c>
      <c r="P195" s="140">
        <v>9</v>
      </c>
      <c r="Q195" s="356">
        <f t="shared" si="16"/>
        <v>3.2999999999999994</v>
      </c>
      <c r="R195" s="146" t="str">
        <f t="shared" si="17"/>
        <v>SI</v>
      </c>
      <c r="S195" s="145" t="str">
        <f t="shared" si="15"/>
        <v>Sin Riesgo</v>
      </c>
      <c r="T195" s="230"/>
    </row>
    <row r="196" spans="1:20" s="163" customFormat="1" ht="32.1" customHeight="1">
      <c r="A196" s="419" t="s">
        <v>107</v>
      </c>
      <c r="B196" s="479" t="s">
        <v>4304</v>
      </c>
      <c r="C196" s="480" t="s">
        <v>4120</v>
      </c>
      <c r="D196" s="172">
        <v>923</v>
      </c>
      <c r="E196" s="140">
        <v>0</v>
      </c>
      <c r="F196" s="140">
        <v>0</v>
      </c>
      <c r="G196" s="140">
        <v>0</v>
      </c>
      <c r="H196" s="140">
        <v>0</v>
      </c>
      <c r="I196" s="140">
        <v>0</v>
      </c>
      <c r="J196" s="140">
        <v>0</v>
      </c>
      <c r="K196" s="140">
        <v>0.6</v>
      </c>
      <c r="L196" s="140">
        <v>0</v>
      </c>
      <c r="M196" s="140">
        <v>0</v>
      </c>
      <c r="N196" s="140">
        <v>4.4000000000000004</v>
      </c>
      <c r="O196" s="140">
        <v>0</v>
      </c>
      <c r="P196" s="140">
        <v>0</v>
      </c>
      <c r="Q196" s="356">
        <f t="shared" si="16"/>
        <v>0.41666666666666669</v>
      </c>
      <c r="R196" s="146" t="str">
        <f t="shared" si="17"/>
        <v>SI</v>
      </c>
      <c r="S196" s="145" t="str">
        <f t="shared" si="15"/>
        <v>Sin Riesgo</v>
      </c>
      <c r="T196" s="230"/>
    </row>
    <row r="197" spans="1:20" s="163" customFormat="1" ht="32.1" customHeight="1">
      <c r="A197" s="419" t="s">
        <v>107</v>
      </c>
      <c r="B197" s="479" t="s">
        <v>4305</v>
      </c>
      <c r="C197" s="480" t="s">
        <v>4121</v>
      </c>
      <c r="D197" s="173">
        <v>3720</v>
      </c>
      <c r="E197" s="140">
        <v>0</v>
      </c>
      <c r="F197" s="140">
        <v>0</v>
      </c>
      <c r="G197" s="140">
        <v>2.2000000000000002</v>
      </c>
      <c r="H197" s="140">
        <v>0</v>
      </c>
      <c r="I197" s="140">
        <v>0</v>
      </c>
      <c r="J197" s="140">
        <v>0</v>
      </c>
      <c r="K197" s="140">
        <v>0</v>
      </c>
      <c r="L197" s="140">
        <v>0</v>
      </c>
      <c r="M197" s="140">
        <v>2.9</v>
      </c>
      <c r="N197" s="140">
        <v>0</v>
      </c>
      <c r="O197" s="140">
        <v>0</v>
      </c>
      <c r="P197" s="140">
        <v>0</v>
      </c>
      <c r="Q197" s="356">
        <f t="shared" si="16"/>
        <v>0.42499999999999999</v>
      </c>
      <c r="R197" s="146" t="str">
        <f t="shared" si="17"/>
        <v>SI</v>
      </c>
      <c r="S197" s="145" t="str">
        <f t="shared" si="15"/>
        <v>Sin Riesgo</v>
      </c>
      <c r="T197" s="230"/>
    </row>
    <row r="198" spans="1:20" s="163" customFormat="1" ht="32.1" customHeight="1">
      <c r="A198" s="125" t="s">
        <v>107</v>
      </c>
      <c r="B198" s="329" t="s">
        <v>4112</v>
      </c>
      <c r="C198" s="330" t="s">
        <v>4122</v>
      </c>
      <c r="D198" s="173">
        <v>14924</v>
      </c>
      <c r="E198" s="140">
        <v>6.88</v>
      </c>
      <c r="F198" s="140">
        <v>0</v>
      </c>
      <c r="G198" s="140">
        <v>0.36</v>
      </c>
      <c r="H198" s="140">
        <v>0</v>
      </c>
      <c r="I198" s="140">
        <v>0</v>
      </c>
      <c r="J198" s="140">
        <v>0</v>
      </c>
      <c r="K198" s="140"/>
      <c r="L198" s="140">
        <v>0</v>
      </c>
      <c r="M198" s="140">
        <v>0</v>
      </c>
      <c r="N198" s="140">
        <v>0</v>
      </c>
      <c r="O198" s="140">
        <v>0</v>
      </c>
      <c r="P198" s="140">
        <v>2.4900000000000002</v>
      </c>
      <c r="Q198" s="356">
        <f t="shared" si="16"/>
        <v>0.88454545454545463</v>
      </c>
      <c r="R198" s="146" t="str">
        <f t="shared" si="17"/>
        <v>SI</v>
      </c>
      <c r="S198" s="145" t="str">
        <f t="shared" si="15"/>
        <v>Sin Riesgo</v>
      </c>
      <c r="T198" s="230"/>
    </row>
    <row r="199" spans="1:20" s="163" customFormat="1" ht="32.1" customHeight="1">
      <c r="A199" s="125" t="s">
        <v>107</v>
      </c>
      <c r="B199" s="329" t="s">
        <v>4303</v>
      </c>
      <c r="C199" s="330" t="s">
        <v>4123</v>
      </c>
      <c r="D199" s="173">
        <v>10416</v>
      </c>
      <c r="E199" s="140">
        <v>0</v>
      </c>
      <c r="F199" s="140">
        <v>0</v>
      </c>
      <c r="G199" s="140">
        <v>0</v>
      </c>
      <c r="H199" s="140">
        <v>0</v>
      </c>
      <c r="I199" s="140">
        <v>0</v>
      </c>
      <c r="J199" s="140">
        <v>0</v>
      </c>
      <c r="K199" s="140"/>
      <c r="L199" s="140">
        <v>0</v>
      </c>
      <c r="M199" s="140">
        <v>0</v>
      </c>
      <c r="N199" s="140">
        <v>0</v>
      </c>
      <c r="O199" s="140">
        <v>0</v>
      </c>
      <c r="P199" s="140">
        <v>0</v>
      </c>
      <c r="Q199" s="356">
        <f t="shared" si="16"/>
        <v>0</v>
      </c>
      <c r="R199" s="146" t="str">
        <f t="shared" si="17"/>
        <v>SI</v>
      </c>
      <c r="S199" s="145" t="str">
        <f t="shared" si="15"/>
        <v>Sin Riesgo</v>
      </c>
      <c r="T199" s="230"/>
    </row>
    <row r="200" spans="1:20" s="163" customFormat="1" ht="32.1" customHeight="1">
      <c r="A200" s="125" t="s">
        <v>107</v>
      </c>
      <c r="B200" s="329" t="s">
        <v>457</v>
      </c>
      <c r="C200" s="330" t="s">
        <v>4124</v>
      </c>
      <c r="D200" s="173">
        <v>1606</v>
      </c>
      <c r="E200" s="140">
        <v>0.15</v>
      </c>
      <c r="F200" s="140">
        <v>0</v>
      </c>
      <c r="G200" s="140">
        <v>0</v>
      </c>
      <c r="H200" s="140">
        <v>0</v>
      </c>
      <c r="I200" s="140">
        <v>0</v>
      </c>
      <c r="J200" s="140">
        <v>0</v>
      </c>
      <c r="K200" s="140"/>
      <c r="L200" s="140">
        <v>0</v>
      </c>
      <c r="M200" s="140">
        <v>4.26</v>
      </c>
      <c r="N200" s="140">
        <v>1.94</v>
      </c>
      <c r="O200" s="140">
        <v>0</v>
      </c>
      <c r="P200" s="140">
        <v>0</v>
      </c>
      <c r="Q200" s="356">
        <f t="shared" si="16"/>
        <v>0.57727272727272727</v>
      </c>
      <c r="R200" s="146" t="str">
        <f t="shared" si="17"/>
        <v>SI</v>
      </c>
      <c r="S200" s="145" t="str">
        <f t="shared" si="15"/>
        <v>Sin Riesgo</v>
      </c>
      <c r="T200" s="230"/>
    </row>
    <row r="201" spans="1:20" s="163" customFormat="1" ht="32.1" customHeight="1">
      <c r="A201" s="125" t="s">
        <v>107</v>
      </c>
      <c r="B201" s="329" t="s">
        <v>4310</v>
      </c>
      <c r="C201" s="330" t="s">
        <v>4125</v>
      </c>
      <c r="D201" s="173">
        <v>183</v>
      </c>
      <c r="E201" s="140">
        <v>0</v>
      </c>
      <c r="F201" s="140">
        <v>0</v>
      </c>
      <c r="G201" s="140">
        <v>0</v>
      </c>
      <c r="H201" s="140">
        <v>0</v>
      </c>
      <c r="I201" s="140">
        <v>6.02</v>
      </c>
      <c r="J201" s="140">
        <v>0</v>
      </c>
      <c r="K201" s="140"/>
      <c r="L201" s="140"/>
      <c r="M201" s="140">
        <v>0.87</v>
      </c>
      <c r="N201" s="140">
        <v>0</v>
      </c>
      <c r="O201" s="140">
        <v>0</v>
      </c>
      <c r="P201" s="140">
        <v>15.5</v>
      </c>
      <c r="Q201" s="356">
        <f t="shared" si="16"/>
        <v>2.2389999999999999</v>
      </c>
      <c r="R201" s="146" t="str">
        <f t="shared" si="17"/>
        <v>SI</v>
      </c>
      <c r="S201" s="145" t="str">
        <f t="shared" si="15"/>
        <v>Sin Riesgo</v>
      </c>
      <c r="T201" s="230"/>
    </row>
    <row r="202" spans="1:20" s="163" customFormat="1" ht="32.1" customHeight="1">
      <c r="A202" s="419" t="s">
        <v>107</v>
      </c>
      <c r="B202" s="419" t="s">
        <v>4126</v>
      </c>
      <c r="C202" s="480" t="s">
        <v>4127</v>
      </c>
      <c r="D202" s="173">
        <v>684</v>
      </c>
      <c r="E202" s="140">
        <v>0</v>
      </c>
      <c r="F202" s="140">
        <v>0</v>
      </c>
      <c r="G202" s="140">
        <v>5.8</v>
      </c>
      <c r="H202" s="140">
        <v>12.2</v>
      </c>
      <c r="I202" s="140">
        <v>0</v>
      </c>
      <c r="J202" s="140">
        <v>0</v>
      </c>
      <c r="K202" s="140">
        <v>0</v>
      </c>
      <c r="L202" s="140">
        <v>0</v>
      </c>
      <c r="M202" s="140">
        <v>7</v>
      </c>
      <c r="N202" s="140">
        <v>0</v>
      </c>
      <c r="O202" s="140">
        <v>0</v>
      </c>
      <c r="P202" s="140">
        <v>0</v>
      </c>
      <c r="Q202" s="356">
        <f t="shared" si="16"/>
        <v>2.0833333333333335</v>
      </c>
      <c r="R202" s="146" t="str">
        <f t="shared" si="17"/>
        <v>SI</v>
      </c>
      <c r="S202" s="145" t="str">
        <f t="shared" si="15"/>
        <v>Sin Riesgo</v>
      </c>
      <c r="T202" s="230"/>
    </row>
    <row r="203" spans="1:20" s="163" customFormat="1" ht="32.1" customHeight="1">
      <c r="A203" s="419" t="s">
        <v>107</v>
      </c>
      <c r="B203" s="419" t="s">
        <v>4128</v>
      </c>
      <c r="C203" s="480" t="s">
        <v>4129</v>
      </c>
      <c r="D203" s="173">
        <v>249</v>
      </c>
      <c r="E203" s="140">
        <v>0</v>
      </c>
      <c r="F203" s="140">
        <v>0</v>
      </c>
      <c r="G203" s="140">
        <v>15</v>
      </c>
      <c r="H203" s="140">
        <v>0</v>
      </c>
      <c r="I203" s="140">
        <v>0</v>
      </c>
      <c r="J203" s="140">
        <v>5.8</v>
      </c>
      <c r="K203" s="140">
        <v>11.6</v>
      </c>
      <c r="L203" s="140">
        <v>0</v>
      </c>
      <c r="M203" s="140">
        <v>5.8</v>
      </c>
      <c r="N203" s="140">
        <v>0</v>
      </c>
      <c r="O203" s="140">
        <v>0</v>
      </c>
      <c r="P203" s="140">
        <v>2.2999999999999998</v>
      </c>
      <c r="Q203" s="356">
        <f t="shared" si="16"/>
        <v>3.3749999999999996</v>
      </c>
      <c r="R203" s="146" t="str">
        <f t="shared" si="17"/>
        <v>SI</v>
      </c>
      <c r="S203" s="145" t="str">
        <f t="shared" si="15"/>
        <v>Sin Riesgo</v>
      </c>
      <c r="T203" s="230"/>
    </row>
    <row r="204" spans="1:20" s="163" customFormat="1" ht="32.1" customHeight="1">
      <c r="A204" s="474" t="s">
        <v>112</v>
      </c>
      <c r="B204" s="481" t="s">
        <v>91</v>
      </c>
      <c r="C204" s="481" t="s">
        <v>359</v>
      </c>
      <c r="D204" s="359">
        <v>3400</v>
      </c>
      <c r="E204" s="140">
        <v>0</v>
      </c>
      <c r="F204" s="140">
        <v>0</v>
      </c>
      <c r="G204" s="140">
        <v>0</v>
      </c>
      <c r="H204" s="140"/>
      <c r="I204" s="140">
        <v>0</v>
      </c>
      <c r="J204" s="140">
        <v>0</v>
      </c>
      <c r="K204" s="140"/>
      <c r="L204" s="140"/>
      <c r="M204" s="140"/>
      <c r="N204" s="140"/>
      <c r="O204" s="140"/>
      <c r="P204" s="140"/>
      <c r="Q204" s="139">
        <f t="shared" si="16"/>
        <v>0</v>
      </c>
      <c r="R204" s="144" t="str">
        <f t="shared" si="17"/>
        <v>SI</v>
      </c>
      <c r="S204" s="145" t="str">
        <f t="shared" ref="S204:S211" si="20">IF(Q204&lt;5,"Sin Riesgo",IF(Q204 &lt;=14,"Bajo",IF(Q204&lt;=35,"Medio",IF(Q204&lt;=80,"Alto","Inviable Sanitariamente"))))</f>
        <v>Sin Riesgo</v>
      </c>
    </row>
    <row r="205" spans="1:20" s="163" customFormat="1" ht="32.1" customHeight="1">
      <c r="A205" s="474" t="s">
        <v>112</v>
      </c>
      <c r="B205" s="481" t="s">
        <v>2313</v>
      </c>
      <c r="C205" s="481" t="s">
        <v>363</v>
      </c>
      <c r="D205" s="359"/>
      <c r="E205" s="140"/>
      <c r="F205" s="140"/>
      <c r="G205" s="140"/>
      <c r="H205" s="140"/>
      <c r="I205" s="140"/>
      <c r="J205" s="140"/>
      <c r="K205" s="140"/>
      <c r="L205" s="140"/>
      <c r="M205" s="140"/>
      <c r="N205" s="140"/>
      <c r="O205" s="140"/>
      <c r="P205" s="140"/>
      <c r="Q205" s="139" t="e">
        <f t="shared" ref="Q205" si="21">AVERAGE(E205:P205)</f>
        <v>#DIV/0!</v>
      </c>
      <c r="R205" s="144" t="e">
        <f t="shared" ref="R205" si="22">IF(Q205&lt;5,"SI","NO")</f>
        <v>#DIV/0!</v>
      </c>
      <c r="S205" s="145" t="e">
        <f t="shared" si="20"/>
        <v>#DIV/0!</v>
      </c>
    </row>
    <row r="206" spans="1:20" s="163" customFormat="1" ht="32.1" customHeight="1">
      <c r="A206" s="474" t="s">
        <v>112</v>
      </c>
      <c r="B206" s="481" t="s">
        <v>92</v>
      </c>
      <c r="C206" s="481" t="s">
        <v>360</v>
      </c>
      <c r="D206" s="359">
        <v>1270</v>
      </c>
      <c r="E206" s="140">
        <v>0</v>
      </c>
      <c r="F206" s="140">
        <v>0</v>
      </c>
      <c r="G206" s="140">
        <v>0</v>
      </c>
      <c r="H206" s="140"/>
      <c r="I206" s="140">
        <v>0</v>
      </c>
      <c r="J206" s="140">
        <v>0</v>
      </c>
      <c r="K206" s="140"/>
      <c r="L206" s="140"/>
      <c r="M206" s="140"/>
      <c r="N206" s="140"/>
      <c r="O206" s="140"/>
      <c r="P206" s="140"/>
      <c r="Q206" s="139">
        <f t="shared" si="16"/>
        <v>0</v>
      </c>
      <c r="R206" s="144" t="str">
        <f t="shared" si="17"/>
        <v>SI</v>
      </c>
      <c r="S206" s="145" t="str">
        <f t="shared" si="20"/>
        <v>Sin Riesgo</v>
      </c>
    </row>
    <row r="207" spans="1:20" s="163" customFormat="1" ht="32.1" customHeight="1">
      <c r="A207" s="474" t="s">
        <v>112</v>
      </c>
      <c r="B207" s="481" t="s">
        <v>514</v>
      </c>
      <c r="C207" s="481" t="s">
        <v>361</v>
      </c>
      <c r="D207" s="360">
        <v>400</v>
      </c>
      <c r="E207" s="140">
        <v>0</v>
      </c>
      <c r="F207" s="140">
        <v>0</v>
      </c>
      <c r="G207" s="140">
        <v>0</v>
      </c>
      <c r="H207" s="140"/>
      <c r="I207" s="140">
        <v>0</v>
      </c>
      <c r="J207" s="140">
        <v>0</v>
      </c>
      <c r="K207" s="140"/>
      <c r="L207" s="140"/>
      <c r="M207" s="140"/>
      <c r="N207" s="140"/>
      <c r="O207" s="140"/>
      <c r="P207" s="140"/>
      <c r="Q207" s="139">
        <f t="shared" si="16"/>
        <v>0</v>
      </c>
      <c r="R207" s="144" t="str">
        <f t="shared" si="17"/>
        <v>SI</v>
      </c>
      <c r="S207" s="145" t="str">
        <f t="shared" si="20"/>
        <v>Sin Riesgo</v>
      </c>
    </row>
    <row r="208" spans="1:20" s="163" customFormat="1" ht="32.1" customHeight="1">
      <c r="A208" s="474" t="s">
        <v>112</v>
      </c>
      <c r="B208" s="481" t="s">
        <v>93</v>
      </c>
      <c r="C208" s="481" t="s">
        <v>362</v>
      </c>
      <c r="D208" s="360">
        <v>3960</v>
      </c>
      <c r="E208" s="140">
        <v>0</v>
      </c>
      <c r="F208" s="140">
        <v>47.06</v>
      </c>
      <c r="G208" s="140">
        <v>0</v>
      </c>
      <c r="H208" s="140"/>
      <c r="I208" s="140">
        <v>24.7</v>
      </c>
      <c r="J208" s="140">
        <v>0</v>
      </c>
      <c r="K208" s="140"/>
      <c r="L208" s="140"/>
      <c r="M208" s="140"/>
      <c r="N208" s="140"/>
      <c r="O208" s="140"/>
      <c r="P208" s="140"/>
      <c r="Q208" s="139">
        <f t="shared" si="16"/>
        <v>14.352</v>
      </c>
      <c r="R208" s="144" t="str">
        <f t="shared" si="17"/>
        <v>NO</v>
      </c>
      <c r="S208" s="145" t="str">
        <f t="shared" si="20"/>
        <v>Medio</v>
      </c>
    </row>
    <row r="209" spans="1:19" s="163" customFormat="1" ht="32.1" customHeight="1">
      <c r="A209" s="474" t="s">
        <v>112</v>
      </c>
      <c r="B209" s="481" t="s">
        <v>94</v>
      </c>
      <c r="C209" s="481" t="s">
        <v>363</v>
      </c>
      <c r="D209" s="360">
        <v>388</v>
      </c>
      <c r="E209" s="140">
        <v>0</v>
      </c>
      <c r="F209" s="140">
        <v>0</v>
      </c>
      <c r="G209" s="140">
        <v>0</v>
      </c>
      <c r="H209" s="140"/>
      <c r="I209" s="140">
        <v>24.7</v>
      </c>
      <c r="J209" s="140">
        <v>0</v>
      </c>
      <c r="K209" s="140"/>
      <c r="L209" s="140"/>
      <c r="M209" s="140"/>
      <c r="N209" s="140"/>
      <c r="O209" s="140"/>
      <c r="P209" s="140"/>
      <c r="Q209" s="139">
        <f t="shared" si="16"/>
        <v>4.9399999999999995</v>
      </c>
      <c r="R209" s="144" t="str">
        <f t="shared" si="17"/>
        <v>SI</v>
      </c>
      <c r="S209" s="145" t="str">
        <f t="shared" si="20"/>
        <v>Sin Riesgo</v>
      </c>
    </row>
    <row r="210" spans="1:19" s="163" customFormat="1" ht="32.1" customHeight="1">
      <c r="A210" s="474" t="s">
        <v>112</v>
      </c>
      <c r="B210" s="481" t="s">
        <v>95</v>
      </c>
      <c r="C210" s="481" t="s">
        <v>364</v>
      </c>
      <c r="D210" s="360">
        <v>393</v>
      </c>
      <c r="E210" s="140">
        <v>0</v>
      </c>
      <c r="F210" s="140">
        <v>0</v>
      </c>
      <c r="G210" s="140">
        <v>0</v>
      </c>
      <c r="H210" s="140"/>
      <c r="I210" s="140">
        <v>24.7</v>
      </c>
      <c r="J210" s="140">
        <v>0</v>
      </c>
      <c r="K210" s="140"/>
      <c r="L210" s="140"/>
      <c r="M210" s="140"/>
      <c r="N210" s="140"/>
      <c r="O210" s="140"/>
      <c r="P210" s="140"/>
      <c r="Q210" s="139">
        <f t="shared" si="16"/>
        <v>4.9399999999999995</v>
      </c>
      <c r="R210" s="144" t="str">
        <f t="shared" si="17"/>
        <v>SI</v>
      </c>
      <c r="S210" s="145" t="str">
        <f t="shared" si="20"/>
        <v>Sin Riesgo</v>
      </c>
    </row>
    <row r="211" spans="1:19" s="163" customFormat="1" ht="41.25" customHeight="1">
      <c r="A211" s="474" t="s">
        <v>112</v>
      </c>
      <c r="B211" s="481" t="s">
        <v>96</v>
      </c>
      <c r="C211" s="481" t="s">
        <v>4248</v>
      </c>
      <c r="D211" s="360">
        <v>486</v>
      </c>
      <c r="E211" s="140">
        <v>0</v>
      </c>
      <c r="F211" s="140">
        <v>0</v>
      </c>
      <c r="G211" s="140">
        <v>0</v>
      </c>
      <c r="H211" s="140"/>
      <c r="I211" s="140">
        <v>24.7</v>
      </c>
      <c r="J211" s="140">
        <v>0</v>
      </c>
      <c r="K211" s="140"/>
      <c r="L211" s="140"/>
      <c r="M211" s="140"/>
      <c r="N211" s="140"/>
      <c r="O211" s="140"/>
      <c r="P211" s="140"/>
      <c r="Q211" s="139">
        <f t="shared" si="16"/>
        <v>4.9399999999999995</v>
      </c>
      <c r="R211" s="144" t="str">
        <f t="shared" si="17"/>
        <v>SI</v>
      </c>
      <c r="S211" s="145" t="str">
        <f t="shared" si="20"/>
        <v>Sin Riesgo</v>
      </c>
    </row>
    <row r="212" spans="1:19" ht="32.1" customHeight="1">
      <c r="A212" s="339"/>
      <c r="B212" s="340"/>
      <c r="C212" s="341"/>
      <c r="D212" s="342"/>
      <c r="E212" s="343"/>
      <c r="F212" s="343"/>
      <c r="G212" s="343"/>
      <c r="H212" s="344"/>
      <c r="I212" s="344"/>
      <c r="J212" s="344"/>
      <c r="K212" s="344"/>
      <c r="L212" s="344"/>
      <c r="M212" s="344"/>
      <c r="N212" s="344"/>
      <c r="O212" s="344"/>
      <c r="P212" s="339"/>
      <c r="Q212" s="344"/>
      <c r="R212" s="345"/>
      <c r="S212" s="344"/>
    </row>
    <row r="213" spans="1:19" ht="21.75" customHeight="1">
      <c r="A213" s="339"/>
      <c r="B213" s="346"/>
      <c r="C213" s="341"/>
      <c r="D213" s="342"/>
      <c r="E213" s="347"/>
      <c r="F213" s="347"/>
      <c r="G213" s="347"/>
      <c r="H213" s="348"/>
      <c r="I213" s="348"/>
      <c r="J213" s="348"/>
      <c r="K213" s="348"/>
      <c r="L213" s="348"/>
      <c r="M213" s="348"/>
      <c r="N213" s="348"/>
      <c r="O213" s="348"/>
      <c r="P213" s="339"/>
      <c r="Q213" s="344"/>
      <c r="R213" s="345"/>
      <c r="S213" s="344"/>
    </row>
    <row r="214" spans="1:19" ht="40.5" customHeight="1">
      <c r="A214" s="433" t="s">
        <v>4369</v>
      </c>
      <c r="B214" s="432" t="s">
        <v>4432</v>
      </c>
      <c r="C214" s="547" t="s">
        <v>4571</v>
      </c>
      <c r="D214" s="548"/>
      <c r="E214" s="548"/>
      <c r="F214" s="548"/>
      <c r="G214" s="548"/>
      <c r="H214" s="548"/>
      <c r="I214" s="548"/>
      <c r="J214" s="548"/>
      <c r="K214" s="548"/>
      <c r="L214" s="548"/>
      <c r="M214" s="548"/>
      <c r="N214" s="548"/>
      <c r="O214" s="548"/>
      <c r="P214" s="548"/>
      <c r="Q214" s="548"/>
      <c r="R214" s="548"/>
      <c r="S214" s="548"/>
    </row>
    <row r="215" spans="1:19" ht="42.75" customHeight="1">
      <c r="A215" s="427" t="s">
        <v>4313</v>
      </c>
      <c r="B215" s="435">
        <f>COUNTIF(E11:P211,"&lt;=5")</f>
        <v>690</v>
      </c>
      <c r="C215" s="549" t="s">
        <v>4530</v>
      </c>
      <c r="D215" s="550"/>
      <c r="E215" s="550"/>
      <c r="F215" s="550"/>
      <c r="G215" s="550"/>
      <c r="H215" s="550"/>
      <c r="I215" s="550"/>
      <c r="J215" s="550"/>
      <c r="K215" s="550"/>
      <c r="L215" s="550"/>
      <c r="M215" s="550"/>
      <c r="N215" s="550"/>
      <c r="O215" s="550"/>
      <c r="P215" s="550"/>
      <c r="Q215" s="550"/>
      <c r="R215" s="550"/>
      <c r="S215" s="550"/>
    </row>
    <row r="216" spans="1:19" ht="43.5" customHeight="1">
      <c r="A216" s="428" t="s">
        <v>4314</v>
      </c>
      <c r="B216" s="435">
        <f>COUNTIFS(E11:P211,"&gt;5",E11:P211,"&lt;=14")</f>
        <v>48</v>
      </c>
      <c r="C216" s="549" t="s">
        <v>4531</v>
      </c>
      <c r="D216" s="550"/>
      <c r="E216" s="550"/>
      <c r="F216" s="550"/>
      <c r="G216" s="550"/>
      <c r="H216" s="550"/>
      <c r="I216" s="550"/>
      <c r="J216" s="550"/>
      <c r="K216" s="550"/>
      <c r="L216" s="550"/>
      <c r="M216" s="550"/>
      <c r="N216" s="550"/>
      <c r="O216" s="550"/>
      <c r="P216" s="550"/>
      <c r="Q216" s="550"/>
      <c r="R216" s="550"/>
      <c r="S216" s="550"/>
    </row>
    <row r="217" spans="1:19" ht="37.5" customHeight="1">
      <c r="A217" s="429" t="s">
        <v>4315</v>
      </c>
      <c r="B217" s="435">
        <f>COUNTIFS(E11:P211,"&gt;14",E11:P211,"&lt;=35")</f>
        <v>140</v>
      </c>
      <c r="E217" s="347"/>
      <c r="F217" s="347"/>
      <c r="G217" s="347"/>
      <c r="H217" s="348"/>
      <c r="I217" s="348"/>
      <c r="J217" s="348"/>
      <c r="K217" s="348"/>
      <c r="L217" s="348"/>
      <c r="M217" s="348"/>
      <c r="N217" s="348"/>
      <c r="O217" s="348"/>
      <c r="P217" s="344"/>
      <c r="Q217" s="344"/>
      <c r="R217" s="345"/>
      <c r="S217" s="344"/>
    </row>
    <row r="218" spans="1:19" ht="37.5" customHeight="1">
      <c r="A218" s="430" t="s">
        <v>4316</v>
      </c>
      <c r="B218" s="435">
        <f>COUNTIFS(E11:P211,"&gt;35",E11:P211,"&lt;=80")</f>
        <v>128</v>
      </c>
      <c r="E218" s="347"/>
      <c r="F218" s="347"/>
      <c r="G218" s="347"/>
      <c r="H218" s="348"/>
      <c r="I218" s="348"/>
      <c r="J218" s="348"/>
      <c r="K218" s="348"/>
      <c r="L218" s="348"/>
      <c r="M218" s="348"/>
      <c r="N218" s="348"/>
      <c r="O218" s="348"/>
      <c r="P218" s="348"/>
      <c r="Q218" s="344"/>
      <c r="R218" s="345"/>
      <c r="S218" s="344"/>
    </row>
    <row r="219" spans="1:19" ht="37.5" customHeight="1">
      <c r="A219" s="431" t="s">
        <v>4317</v>
      </c>
      <c r="B219" s="435">
        <f>COUNTIFS(E11:P211,"&gt;80",E11:P211,"&lt;=100")</f>
        <v>54</v>
      </c>
      <c r="E219" s="347"/>
      <c r="F219" s="347"/>
      <c r="G219" s="347"/>
      <c r="H219" s="348"/>
      <c r="I219" s="348"/>
      <c r="J219" s="348"/>
      <c r="K219" s="348"/>
      <c r="L219" s="348"/>
      <c r="M219" s="348"/>
      <c r="N219" s="348"/>
      <c r="O219" s="348"/>
      <c r="P219" s="348"/>
      <c r="Q219" s="344"/>
      <c r="R219" s="345"/>
      <c r="S219" s="344"/>
    </row>
    <row r="220" spans="1:19" ht="37.5" customHeight="1">
      <c r="A220" s="434" t="s">
        <v>4318</v>
      </c>
      <c r="B220" s="436">
        <f>COUNT(E11:P211)</f>
        <v>1060</v>
      </c>
      <c r="E220" s="347"/>
      <c r="F220" s="347"/>
      <c r="G220" s="347"/>
      <c r="H220" s="348"/>
      <c r="I220" s="348"/>
      <c r="J220" s="348"/>
      <c r="K220" s="348"/>
      <c r="L220" s="348"/>
      <c r="M220" s="348"/>
      <c r="N220" s="348"/>
      <c r="O220" s="348"/>
      <c r="P220" s="348"/>
      <c r="Q220" s="344"/>
      <c r="R220" s="345"/>
      <c r="S220" s="344"/>
    </row>
    <row r="221" spans="1:19" ht="32.1" customHeight="1">
      <c r="A221" s="449" t="s">
        <v>4370</v>
      </c>
      <c r="B221" s="450">
        <f>B220-B215</f>
        <v>370</v>
      </c>
      <c r="C221" s="341"/>
      <c r="D221" s="342"/>
      <c r="E221" s="343"/>
      <c r="F221" s="343"/>
      <c r="G221" s="343"/>
      <c r="H221" s="344"/>
      <c r="I221" s="344"/>
      <c r="J221" s="344"/>
      <c r="K221" s="344"/>
      <c r="L221" s="344"/>
      <c r="M221" s="344"/>
      <c r="N221" s="344"/>
      <c r="O221" s="344"/>
      <c r="P221" s="348"/>
      <c r="Q221" s="344"/>
      <c r="R221" s="345"/>
      <c r="S221" s="344"/>
    </row>
    <row r="222" spans="1:19" ht="32.1" customHeight="1">
      <c r="A222" s="339"/>
      <c r="B222" s="346"/>
      <c r="C222" s="341"/>
      <c r="D222" s="342"/>
      <c r="E222" s="105"/>
      <c r="F222" s="105"/>
      <c r="G222" s="105"/>
      <c r="H222" s="90"/>
      <c r="I222" s="90"/>
      <c r="J222" s="90"/>
      <c r="K222" s="90"/>
      <c r="L222" s="349"/>
      <c r="M222" s="349"/>
      <c r="N222" s="349"/>
      <c r="O222" s="349"/>
      <c r="P222" s="349"/>
      <c r="Q222" s="344"/>
      <c r="R222" s="345"/>
      <c r="S222" s="344"/>
    </row>
    <row r="223" spans="1:19" ht="32.1" customHeight="1">
      <c r="A223" s="339"/>
      <c r="B223" s="346"/>
      <c r="C223" s="341"/>
      <c r="D223" s="342"/>
      <c r="E223" s="105"/>
      <c r="F223" s="105"/>
      <c r="G223" s="105"/>
      <c r="H223" s="90"/>
      <c r="I223" s="90"/>
      <c r="J223" s="90"/>
      <c r="K223" s="90"/>
      <c r="L223" s="344"/>
      <c r="M223" s="344"/>
      <c r="N223" s="344"/>
      <c r="O223" s="344"/>
      <c r="P223" s="344"/>
      <c r="Q223" s="344"/>
      <c r="R223" s="345"/>
      <c r="S223" s="344"/>
    </row>
    <row r="224" spans="1:19" ht="32.1" customHeight="1">
      <c r="A224" s="339"/>
      <c r="B224" s="346"/>
      <c r="C224" s="341"/>
      <c r="D224" s="342"/>
      <c r="E224" s="105"/>
      <c r="F224" s="105"/>
      <c r="G224" s="105"/>
      <c r="H224" s="90"/>
      <c r="I224" s="90"/>
      <c r="J224" s="90"/>
      <c r="K224" s="90"/>
      <c r="L224" s="349"/>
      <c r="M224" s="349"/>
      <c r="N224" s="349"/>
      <c r="O224" s="349"/>
      <c r="P224" s="349"/>
      <c r="Q224" s="344"/>
      <c r="R224" s="345"/>
      <c r="S224" s="344"/>
    </row>
    <row r="225" spans="1:19" ht="32.1" customHeight="1">
      <c r="A225" s="339"/>
      <c r="B225" s="470" t="s">
        <v>473</v>
      </c>
      <c r="C225" s="470"/>
      <c r="D225" s="470"/>
      <c r="E225" s="470"/>
      <c r="F225" s="470"/>
      <c r="G225" s="470"/>
      <c r="H225" s="90"/>
      <c r="I225" s="90"/>
      <c r="J225" s="90"/>
      <c r="K225" s="90"/>
      <c r="L225" s="349"/>
      <c r="M225" s="349"/>
      <c r="N225" s="349"/>
      <c r="O225" s="349"/>
      <c r="P225" s="349"/>
      <c r="Q225" s="344"/>
      <c r="R225" s="345"/>
      <c r="S225" s="344"/>
    </row>
    <row r="226" spans="1:19" ht="32.1" customHeight="1">
      <c r="A226" s="350"/>
      <c r="B226" s="470"/>
      <c r="C226" s="470"/>
      <c r="D226" s="470"/>
      <c r="E226" s="470"/>
      <c r="F226" s="470"/>
      <c r="G226" s="470"/>
      <c r="H226" s="351"/>
      <c r="I226" s="351"/>
      <c r="J226" s="351"/>
      <c r="K226" s="351"/>
      <c r="L226" s="351"/>
      <c r="M226" s="352"/>
      <c r="N226" s="352"/>
      <c r="O226" s="352"/>
      <c r="P226" s="346"/>
      <c r="Q226" s="344"/>
      <c r="R226" s="345"/>
      <c r="S226" s="344"/>
    </row>
    <row r="227" spans="1:19" ht="32.1" customHeight="1">
      <c r="A227" s="350"/>
      <c r="B227" s="470"/>
      <c r="C227" s="470"/>
      <c r="D227" s="470"/>
      <c r="E227" s="470"/>
      <c r="F227" s="470"/>
      <c r="G227" s="470"/>
      <c r="H227" s="351"/>
      <c r="I227" s="351"/>
      <c r="J227" s="351"/>
      <c r="K227" s="351"/>
      <c r="L227" s="351"/>
      <c r="M227" s="352"/>
      <c r="N227" s="352"/>
      <c r="O227" s="352"/>
      <c r="P227" s="346"/>
      <c r="Q227" s="344"/>
      <c r="R227" s="345"/>
      <c r="S227" s="344"/>
    </row>
    <row r="228" spans="1:19" ht="32.1" customHeight="1">
      <c r="A228" s="350"/>
      <c r="B228" s="470"/>
      <c r="C228" s="470"/>
      <c r="D228" s="470"/>
      <c r="E228" s="470"/>
      <c r="F228" s="470"/>
      <c r="G228" s="470"/>
      <c r="H228" s="351"/>
      <c r="I228" s="351"/>
      <c r="J228" s="351"/>
      <c r="K228" s="351"/>
      <c r="L228" s="351"/>
      <c r="M228" s="352"/>
      <c r="N228" s="352"/>
      <c r="O228" s="352"/>
      <c r="P228" s="352"/>
      <c r="Q228" s="344"/>
      <c r="R228" s="345"/>
      <c r="S228" s="344"/>
    </row>
    <row r="229" spans="1:19" ht="32.1" customHeight="1">
      <c r="A229" s="350"/>
      <c r="B229" s="470"/>
      <c r="C229" s="470"/>
      <c r="D229" s="470"/>
      <c r="E229" s="470"/>
      <c r="F229" s="470"/>
      <c r="G229" s="470"/>
      <c r="H229" s="351"/>
      <c r="I229" s="351"/>
      <c r="J229" s="351"/>
      <c r="K229" s="351"/>
      <c r="L229" s="351"/>
      <c r="M229" s="352"/>
      <c r="N229" s="352"/>
      <c r="O229" s="352"/>
      <c r="P229" s="352"/>
      <c r="Q229" s="344"/>
      <c r="R229" s="345"/>
      <c r="S229" s="344"/>
    </row>
    <row r="230" spans="1:19" ht="32.1" customHeight="1">
      <c r="A230" s="350"/>
      <c r="B230" s="470"/>
      <c r="C230" s="470"/>
      <c r="D230" s="470"/>
      <c r="E230" s="470"/>
      <c r="F230" s="470"/>
      <c r="G230" s="470"/>
      <c r="H230" s="351"/>
      <c r="I230" s="351"/>
      <c r="J230" s="351"/>
      <c r="K230" s="351"/>
      <c r="L230" s="351"/>
      <c r="M230" s="352"/>
      <c r="N230" s="352"/>
      <c r="O230" s="352"/>
      <c r="P230" s="352"/>
      <c r="Q230" s="344"/>
      <c r="R230" s="345"/>
      <c r="S230" s="344"/>
    </row>
    <row r="231" spans="1:19" ht="32.1" customHeight="1">
      <c r="A231" s="350"/>
      <c r="B231" s="470"/>
      <c r="C231" s="470"/>
      <c r="D231" s="470"/>
      <c r="E231" s="470"/>
      <c r="F231" s="470"/>
      <c r="G231" s="470"/>
      <c r="H231" s="351"/>
      <c r="I231" s="351"/>
      <c r="J231" s="351"/>
      <c r="K231" s="351"/>
      <c r="L231" s="351"/>
      <c r="M231" s="352"/>
      <c r="N231" s="352"/>
      <c r="O231" s="352"/>
      <c r="P231" s="352"/>
      <c r="Q231" s="344"/>
      <c r="R231" s="345"/>
      <c r="S231" s="344"/>
    </row>
    <row r="232" spans="1:19" ht="32.1" customHeight="1">
      <c r="A232" s="350"/>
      <c r="B232" s="470"/>
      <c r="C232" s="470"/>
      <c r="D232" s="470"/>
      <c r="E232" s="470"/>
      <c r="F232" s="470"/>
      <c r="G232" s="470"/>
      <c r="H232" s="351"/>
      <c r="I232" s="351"/>
      <c r="J232" s="351"/>
      <c r="K232" s="351"/>
      <c r="L232" s="351"/>
      <c r="M232" s="352"/>
      <c r="N232" s="352"/>
      <c r="O232" s="352"/>
      <c r="P232" s="352"/>
      <c r="Q232" s="344"/>
      <c r="R232" s="345"/>
      <c r="S232" s="344"/>
    </row>
    <row r="233" spans="1:19" ht="36.75" customHeight="1">
      <c r="A233" s="320"/>
      <c r="B233" s="470"/>
      <c r="C233" s="470"/>
      <c r="D233" s="470"/>
      <c r="E233" s="470"/>
      <c r="F233" s="470"/>
      <c r="G233" s="470"/>
      <c r="H233" s="90"/>
      <c r="I233" s="90"/>
      <c r="J233" s="90"/>
      <c r="K233" s="90"/>
      <c r="L233" s="90"/>
      <c r="M233" s="90"/>
      <c r="N233" s="90"/>
      <c r="O233" s="90"/>
      <c r="P233" s="90"/>
      <c r="Q233" s="91"/>
      <c r="R233" s="92"/>
      <c r="S233" s="93"/>
    </row>
    <row r="234" spans="1:19" ht="36.75" customHeight="1">
      <c r="A234" s="320"/>
      <c r="B234" s="470"/>
      <c r="C234" s="470"/>
      <c r="D234" s="470"/>
      <c r="E234" s="470"/>
      <c r="F234" s="470"/>
      <c r="G234" s="470"/>
      <c r="H234" s="90"/>
      <c r="I234" s="90"/>
      <c r="J234" s="90"/>
      <c r="K234" s="90"/>
      <c r="L234" s="90"/>
      <c r="M234" s="90"/>
      <c r="N234" s="90"/>
      <c r="O234" s="90"/>
      <c r="P234" s="90"/>
      <c r="Q234" s="91"/>
      <c r="R234" s="92"/>
      <c r="S234" s="93"/>
    </row>
    <row r="235" spans="1:19" ht="36.75" customHeight="1">
      <c r="A235" s="320"/>
      <c r="B235" s="90"/>
      <c r="C235" s="90"/>
      <c r="D235" s="108"/>
      <c r="E235" s="90"/>
      <c r="F235" s="90"/>
      <c r="G235" s="90"/>
      <c r="H235" s="90"/>
      <c r="I235" s="90"/>
      <c r="J235" s="90"/>
      <c r="K235" s="90"/>
      <c r="L235" s="90"/>
      <c r="M235" s="90"/>
      <c r="N235" s="90"/>
      <c r="O235" s="90"/>
      <c r="P235" s="90"/>
      <c r="Q235" s="91"/>
      <c r="R235" s="92"/>
      <c r="S235" s="93"/>
    </row>
    <row r="236" spans="1:19" ht="36.75" customHeight="1">
      <c r="A236" s="320"/>
      <c r="B236" s="90"/>
      <c r="C236" s="90"/>
      <c r="D236" s="108"/>
      <c r="E236" s="90"/>
      <c r="F236" s="90"/>
      <c r="G236" s="90"/>
      <c r="H236" s="90"/>
      <c r="I236" s="90"/>
      <c r="J236" s="90"/>
      <c r="K236" s="90"/>
      <c r="L236" s="90"/>
      <c r="M236" s="90"/>
      <c r="N236" s="90"/>
      <c r="O236" s="90"/>
      <c r="P236" s="90"/>
      <c r="Q236" s="91"/>
      <c r="R236" s="92"/>
      <c r="S236" s="93"/>
    </row>
    <row r="237" spans="1:19" ht="36.75" customHeight="1">
      <c r="A237" s="320"/>
      <c r="B237" s="90"/>
      <c r="C237" s="90"/>
      <c r="D237" s="108"/>
      <c r="E237" s="90"/>
      <c r="F237" s="90"/>
      <c r="G237" s="90"/>
      <c r="H237" s="90"/>
      <c r="I237" s="90"/>
      <c r="J237" s="90"/>
      <c r="K237" s="90"/>
      <c r="L237" s="90"/>
      <c r="M237" s="90"/>
      <c r="N237" s="90"/>
      <c r="O237" s="90"/>
      <c r="P237" s="90"/>
      <c r="Q237" s="91"/>
      <c r="R237" s="92"/>
      <c r="S237" s="93"/>
    </row>
    <row r="238" spans="1:19" ht="36.75" customHeight="1">
      <c r="A238" s="320"/>
      <c r="B238" s="90"/>
      <c r="C238" s="90"/>
      <c r="D238" s="108"/>
      <c r="E238" s="90"/>
      <c r="F238" s="90"/>
      <c r="G238" s="90"/>
      <c r="H238" s="90"/>
      <c r="I238" s="90"/>
      <c r="J238" s="90"/>
      <c r="K238" s="90"/>
      <c r="L238" s="90"/>
      <c r="M238" s="90"/>
      <c r="N238" s="90"/>
      <c r="O238" s="90"/>
      <c r="P238" s="90"/>
      <c r="Q238" s="91"/>
      <c r="R238" s="92"/>
      <c r="S238" s="93"/>
    </row>
  </sheetData>
  <autoFilter ref="A10:W211">
    <sortState ref="A12:W210">
      <sortCondition ref="A10:A210"/>
    </sortState>
  </autoFilter>
  <customSheetViews>
    <customSheetView guid="{45C8AF51-29EC-46A5-AB7F-1F0634E55D82}" scale="60" showAutoFilter="1" hiddenColumns="1">
      <pane xSplit="3" ySplit="10" topLeftCell="D95" activePane="bottomRight" state="frozenSplit"/>
      <selection pane="bottomRight" activeCell="A220" sqref="A220"/>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08">
        <sortState ref="A12:W210">
          <sortCondition ref="A10:A210"/>
        </sortState>
      </autoFilter>
    </customSheetView>
    <customSheetView guid="{FCC3B493-4306-43B2-9C73-76324485DD47}" scale="60" showAutoFilter="1" hiddenColumns="1">
      <pane xSplit="3" ySplit="10" topLeftCell="D29" activePane="bottomRight" state="frozenSplit"/>
      <selection pane="bottomRight" activeCell="C215" sqref="C215"/>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10">
        <sortState ref="A12:W210">
          <sortCondition ref="A10:A210"/>
        </sortState>
      </autoFilter>
    </customSheetView>
    <customSheetView guid="{AEDE1BDB-8710-4CDA-8488-31F49D423ACE}" scale="70" showAutoFilter="1">
      <pane xSplit="3" ySplit="10" topLeftCell="S11" activePane="bottomRight" state="frozenSplit"/>
      <selection pane="bottomRight" activeCell="S11" sqref="S11"/>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33"/>
    </customSheetView>
    <customSheetView guid="{75DD7674-E7DE-4BB1-A36D-76AA33452CB3}" scale="60" showAutoFilter="1" hiddenColumns="1">
      <pane xSplit="3" ySplit="10" topLeftCell="D11" activePane="bottomRight" state="frozenSplit"/>
      <selection pane="bottomRight" activeCell="B3" sqref="B3"/>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208">
        <sortState ref="A12:W210">
          <sortCondition ref="A10:A210"/>
        </sortState>
      </autoFilter>
    </customSheetView>
  </customSheetViews>
  <mergeCells count="24">
    <mergeCell ref="C214:S214"/>
    <mergeCell ref="C215:S215"/>
    <mergeCell ref="C216:S216"/>
    <mergeCell ref="B1:D1"/>
    <mergeCell ref="B2:D2"/>
    <mergeCell ref="B4:D4"/>
    <mergeCell ref="C5:C6"/>
    <mergeCell ref="C9:C10"/>
    <mergeCell ref="A7:B7"/>
    <mergeCell ref="A9:A10"/>
    <mergeCell ref="D5:D6"/>
    <mergeCell ref="B5:B6"/>
    <mergeCell ref="B9:B10"/>
    <mergeCell ref="D9:D10"/>
    <mergeCell ref="S9:S10"/>
    <mergeCell ref="Q5:R6"/>
    <mergeCell ref="S5:S6"/>
    <mergeCell ref="H5:J6"/>
    <mergeCell ref="E9:P9"/>
    <mergeCell ref="R9:R10"/>
    <mergeCell ref="N5:P6"/>
    <mergeCell ref="E5:G6"/>
    <mergeCell ref="Q9:Q10"/>
    <mergeCell ref="K5:M6"/>
  </mergeCells>
  <conditionalFormatting sqref="R233:R238 R180 R83 R11:R76 R100:R116 R157:R161 R118:R123 R163:R173 R186:R194">
    <cfRule type="cellIs" dxfId="9105" priority="3130" stopIfTrue="1" operator="equal">
      <formula>"NO"</formula>
    </cfRule>
  </conditionalFormatting>
  <conditionalFormatting sqref="S233:S238 S118:S211">
    <cfRule type="cellIs" dxfId="9104" priority="3097" stopIfTrue="1" operator="equal">
      <formula>"INVIABLE SANITARIAMENTE"</formula>
    </cfRule>
  </conditionalFormatting>
  <conditionalFormatting sqref="S233:S238">
    <cfRule type="containsText" dxfId="9103" priority="3092" stopIfTrue="1" operator="containsText" text="INVIABLE SANITARIAMENTE">
      <formula>NOT(ISERROR(SEARCH("INVIABLE SANITARIAMENTE",S233)))</formula>
    </cfRule>
    <cfRule type="containsText" dxfId="9102" priority="3093" stopIfTrue="1" operator="containsText" text="ALTO">
      <formula>NOT(ISERROR(SEARCH("ALTO",S233)))</formula>
    </cfRule>
    <cfRule type="containsText" dxfId="9101" priority="3094" stopIfTrue="1" operator="containsText" text="MEDIO">
      <formula>NOT(ISERROR(SEARCH("MEDIO",S233)))</formula>
    </cfRule>
    <cfRule type="containsText" dxfId="9100" priority="3095" stopIfTrue="1" operator="containsText" text="BAJO">
      <formula>NOT(ISERROR(SEARCH("BAJO",S233)))</formula>
    </cfRule>
    <cfRule type="containsText" dxfId="9099" priority="3096" stopIfTrue="1" operator="containsText" text="SIN RIESGO">
      <formula>NOT(ISERROR(SEARCH("SIN RIESGO",S233)))</formula>
    </cfRule>
  </conditionalFormatting>
  <conditionalFormatting sqref="S233:S238 S118:S211">
    <cfRule type="containsText" dxfId="9098" priority="3091" stopIfTrue="1" operator="containsText" text="SIN RIESGO">
      <formula>NOT(ISERROR(SEARCH("SIN RIESGO",S118)))</formula>
    </cfRule>
  </conditionalFormatting>
  <conditionalFormatting sqref="E82:Q82 E29:Q29 E43:Q50 Q42 E33:Q34 Q35 Q83:Q87 Q233:Q238 Q136:Q138 Q145 Q30:Q31 Q90:Q94 Q115 Q177:Q181 Q183 Q201 Q206:Q208 Q109:Q111 Q113 Q51:Q76 Q11:Q28 Q78:Q81 E36:Q41 L32:Q32 Q119:Q122 Q100:Q106 E11:P116 Q157:Q161 E118:P161 E163:P184 Q163:Q173 E186:P204 Q186:Q187 E206:P211">
    <cfRule type="containsBlanks" dxfId="9097" priority="3084" stopIfTrue="1">
      <formula>LEN(TRIM(E11))=0</formula>
    </cfRule>
    <cfRule type="cellIs" dxfId="9096" priority="3085" stopIfTrue="1" operator="between">
      <formula>80.1</formula>
      <formula>100</formula>
    </cfRule>
    <cfRule type="cellIs" dxfId="9095" priority="3086" stopIfTrue="1" operator="between">
      <formula>35.1</formula>
      <formula>80</formula>
    </cfRule>
    <cfRule type="cellIs" dxfId="9094" priority="3087" stopIfTrue="1" operator="between">
      <formula>14.1</formula>
      <formula>35</formula>
    </cfRule>
    <cfRule type="cellIs" dxfId="9093" priority="3088" stopIfTrue="1" operator="between">
      <formula>5.1</formula>
      <formula>14</formula>
    </cfRule>
    <cfRule type="cellIs" dxfId="9092" priority="3089" stopIfTrue="1" operator="between">
      <formula>0</formula>
      <formula>5</formula>
    </cfRule>
    <cfRule type="containsBlanks" dxfId="9091" priority="3090" stopIfTrue="1">
      <formula>LEN(TRIM(E11))=0</formula>
    </cfRule>
  </conditionalFormatting>
  <conditionalFormatting sqref="E54:J54 L54:P54 E13:P15 E18:P18 E27:P27">
    <cfRule type="containsBlanks" dxfId="9090" priority="3070" stopIfTrue="1">
      <formula>LEN(TRIM(E13))=0</formula>
    </cfRule>
    <cfRule type="cellIs" dxfId="9089" priority="3071" stopIfTrue="1" operator="between">
      <formula>79.1</formula>
      <formula>100</formula>
    </cfRule>
    <cfRule type="cellIs" dxfId="9088" priority="3072" stopIfTrue="1" operator="between">
      <formula>34.1</formula>
      <formula>79</formula>
    </cfRule>
    <cfRule type="cellIs" dxfId="9087" priority="3073" stopIfTrue="1" operator="between">
      <formula>13.1</formula>
      <formula>34</formula>
    </cfRule>
    <cfRule type="cellIs" dxfId="9086" priority="3074" stopIfTrue="1" operator="between">
      <formula>5.1</formula>
      <formula>13</formula>
    </cfRule>
    <cfRule type="cellIs" dxfId="9085" priority="3075" stopIfTrue="1" operator="between">
      <formula>0</formula>
      <formula>5</formula>
    </cfRule>
    <cfRule type="containsBlanks" dxfId="9084" priority="3076" stopIfTrue="1">
      <formula>LEN(TRIM(E13))=0</formula>
    </cfRule>
  </conditionalFormatting>
  <conditionalFormatting sqref="F20:Q20">
    <cfRule type="containsBlanks" dxfId="9083" priority="3063" stopIfTrue="1">
      <formula>LEN(TRIM(F20))=0</formula>
    </cfRule>
    <cfRule type="cellIs" dxfId="9082" priority="3064" stopIfTrue="1" operator="between">
      <formula>80.1</formula>
      <formula>100</formula>
    </cfRule>
    <cfRule type="cellIs" dxfId="9081" priority="3065" stopIfTrue="1" operator="between">
      <formula>35.1</formula>
      <formula>80</formula>
    </cfRule>
    <cfRule type="cellIs" dxfId="9080" priority="3066" stopIfTrue="1" operator="between">
      <formula>14.1</formula>
      <formula>35</formula>
    </cfRule>
    <cfRule type="cellIs" dxfId="9079" priority="3067" stopIfTrue="1" operator="between">
      <formula>5.1</formula>
      <formula>14</formula>
    </cfRule>
    <cfRule type="cellIs" dxfId="9078" priority="3068" stopIfTrue="1" operator="between">
      <formula>0</formula>
      <formula>5</formula>
    </cfRule>
    <cfRule type="containsBlanks" dxfId="9077" priority="3069" stopIfTrue="1">
      <formula>LEN(TRIM(F20))=0</formula>
    </cfRule>
  </conditionalFormatting>
  <conditionalFormatting sqref="E20">
    <cfRule type="containsBlanks" dxfId="9076" priority="3056" stopIfTrue="1">
      <formula>LEN(TRIM(E20))=0</formula>
    </cfRule>
    <cfRule type="cellIs" dxfId="9075" priority="3057" stopIfTrue="1" operator="between">
      <formula>80.1</formula>
      <formula>100</formula>
    </cfRule>
    <cfRule type="cellIs" dxfId="9074" priority="3058" stopIfTrue="1" operator="between">
      <formula>35.1</formula>
      <formula>80</formula>
    </cfRule>
    <cfRule type="cellIs" dxfId="9073" priority="3059" stopIfTrue="1" operator="between">
      <formula>14.1</formula>
      <formula>35</formula>
    </cfRule>
    <cfRule type="cellIs" dxfId="9072" priority="3060" stopIfTrue="1" operator="between">
      <formula>5.1</formula>
      <formula>14</formula>
    </cfRule>
    <cfRule type="cellIs" dxfId="9071" priority="3061" stopIfTrue="1" operator="between">
      <formula>0</formula>
      <formula>5</formula>
    </cfRule>
    <cfRule type="containsBlanks" dxfId="9070" priority="3062" stopIfTrue="1">
      <formula>LEN(TRIM(E20))=0</formula>
    </cfRule>
  </conditionalFormatting>
  <conditionalFormatting sqref="F24:Q24">
    <cfRule type="containsBlanks" dxfId="9069" priority="3035" stopIfTrue="1">
      <formula>LEN(TRIM(F24))=0</formula>
    </cfRule>
    <cfRule type="cellIs" dxfId="9068" priority="3036" stopIfTrue="1" operator="between">
      <formula>80.1</formula>
      <formula>100</formula>
    </cfRule>
    <cfRule type="cellIs" dxfId="9067" priority="3037" stopIfTrue="1" operator="between">
      <formula>35.1</formula>
      <formula>80</formula>
    </cfRule>
    <cfRule type="cellIs" dxfId="9066" priority="3038" stopIfTrue="1" operator="between">
      <formula>14.1</formula>
      <formula>35</formula>
    </cfRule>
    <cfRule type="cellIs" dxfId="9065" priority="3039" stopIfTrue="1" operator="between">
      <formula>5.1</formula>
      <formula>14</formula>
    </cfRule>
    <cfRule type="cellIs" dxfId="9064" priority="3040" stopIfTrue="1" operator="between">
      <formula>0</formula>
      <formula>5</formula>
    </cfRule>
    <cfRule type="containsBlanks" dxfId="9063" priority="3041" stopIfTrue="1">
      <formula>LEN(TRIM(F24))=0</formula>
    </cfRule>
  </conditionalFormatting>
  <conditionalFormatting sqref="E24">
    <cfRule type="containsBlanks" dxfId="9062" priority="3028" stopIfTrue="1">
      <formula>LEN(TRIM(E24))=0</formula>
    </cfRule>
    <cfRule type="cellIs" dxfId="9061" priority="3029" stopIfTrue="1" operator="between">
      <formula>80.1</formula>
      <formula>100</formula>
    </cfRule>
    <cfRule type="cellIs" dxfId="9060" priority="3030" stopIfTrue="1" operator="between">
      <formula>35.1</formula>
      <formula>80</formula>
    </cfRule>
    <cfRule type="cellIs" dxfId="9059" priority="3031" stopIfTrue="1" operator="between">
      <formula>14.1</formula>
      <formula>35</formula>
    </cfRule>
    <cfRule type="cellIs" dxfId="9058" priority="3032" stopIfTrue="1" operator="between">
      <formula>5.1</formula>
      <formula>14</formula>
    </cfRule>
    <cfRule type="cellIs" dxfId="9057" priority="3033" stopIfTrue="1" operator="between">
      <formula>0</formula>
      <formula>5</formula>
    </cfRule>
    <cfRule type="containsBlanks" dxfId="9056" priority="3034" stopIfTrue="1">
      <formula>LEN(TRIM(E24))=0</formula>
    </cfRule>
  </conditionalFormatting>
  <conditionalFormatting sqref="F21:Q21">
    <cfRule type="containsBlanks" dxfId="9055" priority="3021" stopIfTrue="1">
      <formula>LEN(TRIM(F21))=0</formula>
    </cfRule>
    <cfRule type="cellIs" dxfId="9054" priority="3022" stopIfTrue="1" operator="between">
      <formula>80.1</formula>
      <formula>100</formula>
    </cfRule>
    <cfRule type="cellIs" dxfId="9053" priority="3023" stopIfTrue="1" operator="between">
      <formula>35.1</formula>
      <formula>80</formula>
    </cfRule>
    <cfRule type="cellIs" dxfId="9052" priority="3024" stopIfTrue="1" operator="between">
      <formula>14.1</formula>
      <formula>35</formula>
    </cfRule>
    <cfRule type="cellIs" dxfId="9051" priority="3025" stopIfTrue="1" operator="between">
      <formula>5.1</formula>
      <formula>14</formula>
    </cfRule>
    <cfRule type="cellIs" dxfId="9050" priority="3026" stopIfTrue="1" operator="between">
      <formula>0</formula>
      <formula>5</formula>
    </cfRule>
    <cfRule type="containsBlanks" dxfId="9049" priority="3027" stopIfTrue="1">
      <formula>LEN(TRIM(F21))=0</formula>
    </cfRule>
  </conditionalFormatting>
  <conditionalFormatting sqref="E21">
    <cfRule type="containsBlanks" dxfId="9048" priority="3014" stopIfTrue="1">
      <formula>LEN(TRIM(E21))=0</formula>
    </cfRule>
    <cfRule type="cellIs" dxfId="9047" priority="3015" stopIfTrue="1" operator="between">
      <formula>80.1</formula>
      <formula>100</formula>
    </cfRule>
    <cfRule type="cellIs" dxfId="9046" priority="3016" stopIfTrue="1" operator="between">
      <formula>35.1</formula>
      <formula>80</formula>
    </cfRule>
    <cfRule type="cellIs" dxfId="9045" priority="3017" stopIfTrue="1" operator="between">
      <formula>14.1</formula>
      <formula>35</formula>
    </cfRule>
    <cfRule type="cellIs" dxfId="9044" priority="3018" stopIfTrue="1" operator="between">
      <formula>5.1</formula>
      <formula>14</formula>
    </cfRule>
    <cfRule type="cellIs" dxfId="9043" priority="3019" stopIfTrue="1" operator="between">
      <formula>0</formula>
      <formula>5</formula>
    </cfRule>
    <cfRule type="containsBlanks" dxfId="9042" priority="3020" stopIfTrue="1">
      <formula>LEN(TRIM(E21))=0</formula>
    </cfRule>
  </conditionalFormatting>
  <conditionalFormatting sqref="F22:Q22">
    <cfRule type="containsBlanks" dxfId="9041" priority="2993" stopIfTrue="1">
      <formula>LEN(TRIM(F22))=0</formula>
    </cfRule>
    <cfRule type="cellIs" dxfId="9040" priority="2994" stopIfTrue="1" operator="between">
      <formula>80.1</formula>
      <formula>100</formula>
    </cfRule>
    <cfRule type="cellIs" dxfId="9039" priority="2995" stopIfTrue="1" operator="between">
      <formula>35.1</formula>
      <formula>80</formula>
    </cfRule>
    <cfRule type="cellIs" dxfId="9038" priority="2996" stopIfTrue="1" operator="between">
      <formula>14.1</formula>
      <formula>35</formula>
    </cfRule>
    <cfRule type="cellIs" dxfId="9037" priority="2997" stopIfTrue="1" operator="between">
      <formula>5.1</formula>
      <formula>14</formula>
    </cfRule>
    <cfRule type="cellIs" dxfId="9036" priority="2998" stopIfTrue="1" operator="between">
      <formula>0</formula>
      <formula>5</formula>
    </cfRule>
    <cfRule type="containsBlanks" dxfId="9035" priority="2999" stopIfTrue="1">
      <formula>LEN(TRIM(F22))=0</formula>
    </cfRule>
  </conditionalFormatting>
  <conditionalFormatting sqref="E22">
    <cfRule type="containsBlanks" dxfId="9034" priority="2986" stopIfTrue="1">
      <formula>LEN(TRIM(E22))=0</formula>
    </cfRule>
    <cfRule type="cellIs" dxfId="9033" priority="2987" stopIfTrue="1" operator="between">
      <formula>80.1</formula>
      <formula>100</formula>
    </cfRule>
    <cfRule type="cellIs" dxfId="9032" priority="2988" stopIfTrue="1" operator="between">
      <formula>35.1</formula>
      <formula>80</formula>
    </cfRule>
    <cfRule type="cellIs" dxfId="9031" priority="2989" stopIfTrue="1" operator="between">
      <formula>14.1</formula>
      <formula>35</formula>
    </cfRule>
    <cfRule type="cellIs" dxfId="9030" priority="2990" stopIfTrue="1" operator="between">
      <formula>5.1</formula>
      <formula>14</formula>
    </cfRule>
    <cfRule type="cellIs" dxfId="9029" priority="2991" stopIfTrue="1" operator="between">
      <formula>0</formula>
      <formula>5</formula>
    </cfRule>
    <cfRule type="containsBlanks" dxfId="9028" priority="2992" stopIfTrue="1">
      <formula>LEN(TRIM(E22))=0</formula>
    </cfRule>
  </conditionalFormatting>
  <conditionalFormatting sqref="F26:Q26">
    <cfRule type="containsBlanks" dxfId="9027" priority="2979" stopIfTrue="1">
      <formula>LEN(TRIM(F26))=0</formula>
    </cfRule>
    <cfRule type="cellIs" dxfId="9026" priority="2980" stopIfTrue="1" operator="between">
      <formula>80.1</formula>
      <formula>100</formula>
    </cfRule>
    <cfRule type="cellIs" dxfId="9025" priority="2981" stopIfTrue="1" operator="between">
      <formula>35.1</formula>
      <formula>80</formula>
    </cfRule>
    <cfRule type="cellIs" dxfId="9024" priority="2982" stopIfTrue="1" operator="between">
      <formula>14.1</formula>
      <formula>35</formula>
    </cfRule>
    <cfRule type="cellIs" dxfId="9023" priority="2983" stopIfTrue="1" operator="between">
      <formula>5.1</formula>
      <formula>14</formula>
    </cfRule>
    <cfRule type="cellIs" dxfId="9022" priority="2984" stopIfTrue="1" operator="between">
      <formula>0</formula>
      <formula>5</formula>
    </cfRule>
    <cfRule type="containsBlanks" dxfId="9021" priority="2985" stopIfTrue="1">
      <formula>LEN(TRIM(F26))=0</formula>
    </cfRule>
  </conditionalFormatting>
  <conditionalFormatting sqref="E26">
    <cfRule type="containsBlanks" dxfId="9020" priority="2972" stopIfTrue="1">
      <formula>LEN(TRIM(E26))=0</formula>
    </cfRule>
    <cfRule type="cellIs" dxfId="9019" priority="2973" stopIfTrue="1" operator="between">
      <formula>80.1</formula>
      <formula>100</formula>
    </cfRule>
    <cfRule type="cellIs" dxfId="9018" priority="2974" stopIfTrue="1" operator="between">
      <formula>35.1</formula>
      <formula>80</formula>
    </cfRule>
    <cfRule type="cellIs" dxfId="9017" priority="2975" stopIfTrue="1" operator="between">
      <formula>14.1</formula>
      <formula>35</formula>
    </cfRule>
    <cfRule type="cellIs" dxfId="9016" priority="2976" stopIfTrue="1" operator="between">
      <formula>5.1</formula>
      <formula>14</formula>
    </cfRule>
    <cfRule type="cellIs" dxfId="9015" priority="2977" stopIfTrue="1" operator="between">
      <formula>0</formula>
      <formula>5</formula>
    </cfRule>
    <cfRule type="containsBlanks" dxfId="9014" priority="2978" stopIfTrue="1">
      <formula>LEN(TRIM(E26))=0</formula>
    </cfRule>
  </conditionalFormatting>
  <conditionalFormatting sqref="J32">
    <cfRule type="containsBlanks" dxfId="9013" priority="2923" stopIfTrue="1">
      <formula>LEN(TRIM(J32))=0</formula>
    </cfRule>
    <cfRule type="cellIs" dxfId="9012" priority="2924" stopIfTrue="1" operator="between">
      <formula>79.1</formula>
      <formula>100</formula>
    </cfRule>
    <cfRule type="cellIs" dxfId="9011" priority="2925" stopIfTrue="1" operator="between">
      <formula>34.1</formula>
      <formula>79</formula>
    </cfRule>
    <cfRule type="cellIs" dxfId="9010" priority="2926" stopIfTrue="1" operator="between">
      <formula>13.1</formula>
      <formula>34</formula>
    </cfRule>
    <cfRule type="cellIs" dxfId="9009" priority="2927" stopIfTrue="1" operator="between">
      <formula>5.1</formula>
      <formula>13</formula>
    </cfRule>
    <cfRule type="cellIs" dxfId="9008" priority="2928" stopIfTrue="1" operator="between">
      <formula>0</formula>
      <formula>5</formula>
    </cfRule>
    <cfRule type="containsBlanks" dxfId="9007" priority="2929" stopIfTrue="1">
      <formula>LEN(TRIM(J32))=0</formula>
    </cfRule>
  </conditionalFormatting>
  <conditionalFormatting sqref="E11:P12">
    <cfRule type="containsBlanks" dxfId="9006" priority="2909" stopIfTrue="1">
      <formula>LEN(TRIM(E11))=0</formula>
    </cfRule>
    <cfRule type="cellIs" dxfId="9005" priority="2910" stopIfTrue="1" operator="between">
      <formula>79.1</formula>
      <formula>100</formula>
    </cfRule>
    <cfRule type="cellIs" dxfId="9004" priority="2911" stopIfTrue="1" operator="between">
      <formula>34.1</formula>
      <formula>79</formula>
    </cfRule>
    <cfRule type="cellIs" dxfId="9003" priority="2912" stopIfTrue="1" operator="between">
      <formula>13.1</formula>
      <formula>34</formula>
    </cfRule>
    <cfRule type="cellIs" dxfId="9002" priority="2913" stopIfTrue="1" operator="between">
      <formula>5.1</formula>
      <formula>13</formula>
    </cfRule>
    <cfRule type="cellIs" dxfId="9001" priority="2914" stopIfTrue="1" operator="between">
      <formula>0</formula>
      <formula>5</formula>
    </cfRule>
    <cfRule type="containsBlanks" dxfId="9000" priority="2915" stopIfTrue="1">
      <formula>LEN(TRIM(E11))=0</formula>
    </cfRule>
  </conditionalFormatting>
  <conditionalFormatting sqref="E19:P19">
    <cfRule type="containsBlanks" dxfId="8999" priority="2895" stopIfTrue="1">
      <formula>LEN(TRIM(E19))=0</formula>
    </cfRule>
    <cfRule type="cellIs" dxfId="8998" priority="2896" stopIfTrue="1" operator="between">
      <formula>79.1</formula>
      <formula>100</formula>
    </cfRule>
    <cfRule type="cellIs" dxfId="8997" priority="2897" stopIfTrue="1" operator="between">
      <formula>34.1</formula>
      <formula>79</formula>
    </cfRule>
    <cfRule type="cellIs" dxfId="8996" priority="2898" stopIfTrue="1" operator="between">
      <formula>13.1</formula>
      <formula>34</formula>
    </cfRule>
    <cfRule type="cellIs" dxfId="8995" priority="2899" stopIfTrue="1" operator="between">
      <formula>5.1</formula>
      <formula>13</formula>
    </cfRule>
    <cfRule type="cellIs" dxfId="8994" priority="2900" stopIfTrue="1" operator="between">
      <formula>0</formula>
      <formula>5</formula>
    </cfRule>
    <cfRule type="containsBlanks" dxfId="8993" priority="2901" stopIfTrue="1">
      <formula>LEN(TRIM(E19))=0</formula>
    </cfRule>
  </conditionalFormatting>
  <conditionalFormatting sqref="K32">
    <cfRule type="containsBlanks" dxfId="8992" priority="2881" stopIfTrue="1">
      <formula>LEN(TRIM(K32))=0</formula>
    </cfRule>
    <cfRule type="cellIs" dxfId="8991" priority="2882" stopIfTrue="1" operator="between">
      <formula>79.1</formula>
      <formula>100</formula>
    </cfRule>
    <cfRule type="cellIs" dxfId="8990" priority="2883" stopIfTrue="1" operator="between">
      <formula>34.1</formula>
      <formula>79</formula>
    </cfRule>
    <cfRule type="cellIs" dxfId="8989" priority="2884" stopIfTrue="1" operator="between">
      <formula>13.1</formula>
      <formula>34</formula>
    </cfRule>
    <cfRule type="cellIs" dxfId="8988" priority="2885" stopIfTrue="1" operator="between">
      <formula>5.1</formula>
      <formula>13</formula>
    </cfRule>
    <cfRule type="cellIs" dxfId="8987" priority="2886" stopIfTrue="1" operator="between">
      <formula>0</formula>
      <formula>5</formula>
    </cfRule>
    <cfRule type="containsBlanks" dxfId="8986" priority="2887" stopIfTrue="1">
      <formula>LEN(TRIM(K32))=0</formula>
    </cfRule>
  </conditionalFormatting>
  <conditionalFormatting sqref="E66:J68 E73:J74 E77:J77">
    <cfRule type="containsBlanks" dxfId="8985" priority="2874" stopIfTrue="1">
      <formula>LEN(TRIM(E66))=0</formula>
    </cfRule>
    <cfRule type="cellIs" dxfId="8984" priority="2875" stopIfTrue="1" operator="between">
      <formula>79.1</formula>
      <formula>100</formula>
    </cfRule>
    <cfRule type="cellIs" dxfId="8983" priority="2876" stopIfTrue="1" operator="between">
      <formula>34.1</formula>
      <formula>79</formula>
    </cfRule>
    <cfRule type="cellIs" dxfId="8982" priority="2877" stopIfTrue="1" operator="between">
      <formula>13.1</formula>
      <formula>34</formula>
    </cfRule>
    <cfRule type="cellIs" dxfId="8981" priority="2878" stopIfTrue="1" operator="between">
      <formula>5.1</formula>
      <formula>13</formula>
    </cfRule>
    <cfRule type="cellIs" dxfId="8980" priority="2879" stopIfTrue="1" operator="between">
      <formula>0</formula>
      <formula>5</formula>
    </cfRule>
    <cfRule type="containsBlanks" dxfId="8979" priority="2880" stopIfTrue="1">
      <formula>LEN(TRIM(E66))=0</formula>
    </cfRule>
  </conditionalFormatting>
  <conditionalFormatting sqref="E100:J100">
    <cfRule type="containsBlanks" dxfId="8978" priority="2867" stopIfTrue="1">
      <formula>LEN(TRIM(E100))=0</formula>
    </cfRule>
    <cfRule type="cellIs" dxfId="8977" priority="2868" stopIfTrue="1" operator="between">
      <formula>79.1</formula>
      <formula>100</formula>
    </cfRule>
    <cfRule type="cellIs" dxfId="8976" priority="2869" stopIfTrue="1" operator="between">
      <formula>34.1</formula>
      <formula>79</formula>
    </cfRule>
    <cfRule type="cellIs" dxfId="8975" priority="2870" stopIfTrue="1" operator="between">
      <formula>13.1</formula>
      <formula>34</formula>
    </cfRule>
    <cfRule type="cellIs" dxfId="8974" priority="2871" stopIfTrue="1" operator="between">
      <formula>5.1</formula>
      <formula>13</formula>
    </cfRule>
    <cfRule type="cellIs" dxfId="8973" priority="2872" stopIfTrue="1" operator="between">
      <formula>0</formula>
      <formula>5</formula>
    </cfRule>
    <cfRule type="containsBlanks" dxfId="8972" priority="2873" stopIfTrue="1">
      <formula>LEN(TRIM(E100))=0</formula>
    </cfRule>
  </conditionalFormatting>
  <conditionalFormatting sqref="O100">
    <cfRule type="containsBlanks" dxfId="8971" priority="2860" stopIfTrue="1">
      <formula>LEN(TRIM(O100))=0</formula>
    </cfRule>
    <cfRule type="cellIs" dxfId="8970" priority="2861" stopIfTrue="1" operator="between">
      <formula>79.1</formula>
      <formula>100</formula>
    </cfRule>
    <cfRule type="cellIs" dxfId="8969" priority="2862" stopIfTrue="1" operator="between">
      <formula>34.1</formula>
      <formula>79</formula>
    </cfRule>
    <cfRule type="cellIs" dxfId="8968" priority="2863" stopIfTrue="1" operator="between">
      <formula>13.1</formula>
      <formula>34</formula>
    </cfRule>
    <cfRule type="cellIs" dxfId="8967" priority="2864" stopIfTrue="1" operator="between">
      <formula>5.1</formula>
      <formula>13</formula>
    </cfRule>
    <cfRule type="cellIs" dxfId="8966" priority="2865" stopIfTrue="1" operator="between">
      <formula>0</formula>
      <formula>5</formula>
    </cfRule>
    <cfRule type="containsBlanks" dxfId="8965" priority="2866" stopIfTrue="1">
      <formula>LEN(TRIM(O100))=0</formula>
    </cfRule>
  </conditionalFormatting>
  <conditionalFormatting sqref="L80">
    <cfRule type="containsBlanks" dxfId="8964" priority="2832" stopIfTrue="1">
      <formula>LEN(TRIM(L80))=0</formula>
    </cfRule>
    <cfRule type="cellIs" dxfId="8963" priority="2833" stopIfTrue="1" operator="between">
      <formula>80.1</formula>
      <formula>100</formula>
    </cfRule>
    <cfRule type="cellIs" dxfId="8962" priority="2834" stopIfTrue="1" operator="between">
      <formula>35.1</formula>
      <formula>80</formula>
    </cfRule>
    <cfRule type="cellIs" dxfId="8961" priority="2835" stopIfTrue="1" operator="between">
      <formula>14.1</formula>
      <formula>35</formula>
    </cfRule>
    <cfRule type="cellIs" dxfId="8960" priority="2836" stopIfTrue="1" operator="between">
      <formula>5.1</formula>
      <formula>14</formula>
    </cfRule>
    <cfRule type="cellIs" dxfId="8959" priority="2837" stopIfTrue="1" operator="between">
      <formula>0</formula>
      <formula>5</formula>
    </cfRule>
    <cfRule type="containsBlanks" dxfId="8958" priority="2838" stopIfTrue="1">
      <formula>LEN(TRIM(L80))=0</formula>
    </cfRule>
  </conditionalFormatting>
  <conditionalFormatting sqref="I78">
    <cfRule type="containsBlanks" dxfId="8957" priority="2825" stopIfTrue="1">
      <formula>LEN(TRIM(I78))=0</formula>
    </cfRule>
    <cfRule type="cellIs" dxfId="8956" priority="2826" stopIfTrue="1" operator="between">
      <formula>80.1</formula>
      <formula>100</formula>
    </cfRule>
    <cfRule type="cellIs" dxfId="8955" priority="2827" stopIfTrue="1" operator="between">
      <formula>35.1</formula>
      <formula>80</formula>
    </cfRule>
    <cfRule type="cellIs" dxfId="8954" priority="2828" stopIfTrue="1" operator="between">
      <formula>14.1</formula>
      <formula>35</formula>
    </cfRule>
    <cfRule type="cellIs" dxfId="8953" priority="2829" stopIfTrue="1" operator="between">
      <formula>5.1</formula>
      <formula>14</formula>
    </cfRule>
    <cfRule type="cellIs" dxfId="8952" priority="2830" stopIfTrue="1" operator="between">
      <formula>0</formula>
      <formula>5</formula>
    </cfRule>
    <cfRule type="containsBlanks" dxfId="8951" priority="2831" stopIfTrue="1">
      <formula>LEN(TRIM(I78))=0</formula>
    </cfRule>
  </conditionalFormatting>
  <conditionalFormatting sqref="H80">
    <cfRule type="containsBlanks" dxfId="8950" priority="2811" stopIfTrue="1">
      <formula>LEN(TRIM(H80))=0</formula>
    </cfRule>
    <cfRule type="cellIs" dxfId="8949" priority="2812" stopIfTrue="1" operator="between">
      <formula>80.1</formula>
      <formula>100</formula>
    </cfRule>
    <cfRule type="cellIs" dxfId="8948" priority="2813" stopIfTrue="1" operator="between">
      <formula>35.1</formula>
      <formula>80</formula>
    </cfRule>
    <cfRule type="cellIs" dxfId="8947" priority="2814" stopIfTrue="1" operator="between">
      <formula>14.1</formula>
      <formula>35</formula>
    </cfRule>
    <cfRule type="cellIs" dxfId="8946" priority="2815" stopIfTrue="1" operator="between">
      <formula>5.1</formula>
      <formula>14</formula>
    </cfRule>
    <cfRule type="cellIs" dxfId="8945" priority="2816" stopIfTrue="1" operator="between">
      <formula>0</formula>
      <formula>5</formula>
    </cfRule>
    <cfRule type="containsBlanks" dxfId="8944" priority="2817" stopIfTrue="1">
      <formula>LEN(TRIM(H80))=0</formula>
    </cfRule>
  </conditionalFormatting>
  <conditionalFormatting sqref="E79">
    <cfRule type="containsBlanks" dxfId="8943" priority="2804" stopIfTrue="1">
      <formula>LEN(TRIM(E79))=0</formula>
    </cfRule>
    <cfRule type="cellIs" dxfId="8942" priority="2805" stopIfTrue="1" operator="between">
      <formula>80.1</formula>
      <formula>100</formula>
    </cfRule>
    <cfRule type="cellIs" dxfId="8941" priority="2806" stopIfTrue="1" operator="between">
      <formula>35.1</formula>
      <formula>80</formula>
    </cfRule>
    <cfRule type="cellIs" dxfId="8940" priority="2807" stopIfTrue="1" operator="between">
      <formula>14.1</formula>
      <formula>35</formula>
    </cfRule>
    <cfRule type="cellIs" dxfId="8939" priority="2808" stopIfTrue="1" operator="between">
      <formula>5.1</formula>
      <formula>14</formula>
    </cfRule>
    <cfRule type="cellIs" dxfId="8938" priority="2809" stopIfTrue="1" operator="between">
      <formula>0</formula>
      <formula>5</formula>
    </cfRule>
    <cfRule type="containsBlanks" dxfId="8937" priority="2810" stopIfTrue="1">
      <formula>LEN(TRIM(E79))=0</formula>
    </cfRule>
  </conditionalFormatting>
  <conditionalFormatting sqref="E16:P16">
    <cfRule type="containsBlanks" dxfId="8936" priority="2783" stopIfTrue="1">
      <formula>LEN(TRIM(E16))=0</formula>
    </cfRule>
    <cfRule type="cellIs" dxfId="8935" priority="2784" stopIfTrue="1" operator="between">
      <formula>79.1</formula>
      <formula>100</formula>
    </cfRule>
    <cfRule type="cellIs" dxfId="8934" priority="2785" stopIfTrue="1" operator="between">
      <formula>34.1</formula>
      <formula>79</formula>
    </cfRule>
    <cfRule type="cellIs" dxfId="8933" priority="2786" stopIfTrue="1" operator="between">
      <formula>13.1</formula>
      <formula>34</formula>
    </cfRule>
    <cfRule type="cellIs" dxfId="8932" priority="2787" stopIfTrue="1" operator="between">
      <formula>5.1</formula>
      <formula>13</formula>
    </cfRule>
    <cfRule type="cellIs" dxfId="8931" priority="2788" stopIfTrue="1" operator="between">
      <formula>0</formula>
      <formula>5</formula>
    </cfRule>
    <cfRule type="containsBlanks" dxfId="8930" priority="2789" stopIfTrue="1">
      <formula>LEN(TRIM(E16))=0</formula>
    </cfRule>
  </conditionalFormatting>
  <conditionalFormatting sqref="E17:P17">
    <cfRule type="containsBlanks" dxfId="8929" priority="2776" stopIfTrue="1">
      <formula>LEN(TRIM(E17))=0</formula>
    </cfRule>
    <cfRule type="cellIs" dxfId="8928" priority="2777" stopIfTrue="1" operator="between">
      <formula>79.1</formula>
      <formula>100</formula>
    </cfRule>
    <cfRule type="cellIs" dxfId="8927" priority="2778" stopIfTrue="1" operator="between">
      <formula>34.1</formula>
      <formula>79</formula>
    </cfRule>
    <cfRule type="cellIs" dxfId="8926" priority="2779" stopIfTrue="1" operator="between">
      <formula>13.1</formula>
      <formula>34</formula>
    </cfRule>
    <cfRule type="cellIs" dxfId="8925" priority="2780" stopIfTrue="1" operator="between">
      <formula>5.1</formula>
      <formula>13</formula>
    </cfRule>
    <cfRule type="cellIs" dxfId="8924" priority="2781" stopIfTrue="1" operator="between">
      <formula>0</formula>
      <formula>5</formula>
    </cfRule>
    <cfRule type="containsBlanks" dxfId="8923" priority="2782" stopIfTrue="1">
      <formula>LEN(TRIM(E17))=0</formula>
    </cfRule>
  </conditionalFormatting>
  <conditionalFormatting sqref="E28:P28">
    <cfRule type="containsBlanks" dxfId="8922" priority="2741" stopIfTrue="1">
      <formula>LEN(TRIM(E28))=0</formula>
    </cfRule>
    <cfRule type="cellIs" dxfId="8921" priority="2742" stopIfTrue="1" operator="between">
      <formula>80.1</formula>
      <formula>100</formula>
    </cfRule>
    <cfRule type="cellIs" dxfId="8920" priority="2743" stopIfTrue="1" operator="between">
      <formula>35.1</formula>
      <formula>80</formula>
    </cfRule>
    <cfRule type="cellIs" dxfId="8919" priority="2744" stopIfTrue="1" operator="between">
      <formula>14.1</formula>
      <formula>35</formula>
    </cfRule>
    <cfRule type="cellIs" dxfId="8918" priority="2745" stopIfTrue="1" operator="between">
      <formula>5.1</formula>
      <formula>14</formula>
    </cfRule>
    <cfRule type="cellIs" dxfId="8917" priority="2746" stopIfTrue="1" operator="between">
      <formula>0</formula>
      <formula>5</formula>
    </cfRule>
    <cfRule type="containsBlanks" dxfId="8916" priority="2747" stopIfTrue="1">
      <formula>LEN(TRIM(E28))=0</formula>
    </cfRule>
  </conditionalFormatting>
  <conditionalFormatting sqref="Q31">
    <cfRule type="containsBlanks" dxfId="8915" priority="2692" stopIfTrue="1">
      <formula>LEN(TRIM(Q31))=0</formula>
    </cfRule>
    <cfRule type="cellIs" dxfId="8914" priority="2693" stopIfTrue="1" operator="between">
      <formula>80.1</formula>
      <formula>100</formula>
    </cfRule>
    <cfRule type="cellIs" dxfId="8913" priority="2694" stopIfTrue="1" operator="between">
      <formula>35.1</formula>
      <formula>80</formula>
    </cfRule>
    <cfRule type="cellIs" dxfId="8912" priority="2695" stopIfTrue="1" operator="between">
      <formula>14.1</formula>
      <formula>35</formula>
    </cfRule>
    <cfRule type="cellIs" dxfId="8911" priority="2696" stopIfTrue="1" operator="between">
      <formula>5.1</formula>
      <formula>14</formula>
    </cfRule>
    <cfRule type="cellIs" dxfId="8910" priority="2697" stopIfTrue="1" operator="between">
      <formula>0</formula>
      <formula>5</formula>
    </cfRule>
    <cfRule type="containsBlanks" dxfId="8909" priority="2698" stopIfTrue="1">
      <formula>LEN(TRIM(Q31))=0</formula>
    </cfRule>
  </conditionalFormatting>
  <conditionalFormatting sqref="E31:P31">
    <cfRule type="containsBlanks" dxfId="8908" priority="2685" stopIfTrue="1">
      <formula>LEN(TRIM(E31))=0</formula>
    </cfRule>
    <cfRule type="cellIs" dxfId="8907" priority="2686" stopIfTrue="1" operator="between">
      <formula>80.1</formula>
      <formula>100</formula>
    </cfRule>
    <cfRule type="cellIs" dxfId="8906" priority="2687" stopIfTrue="1" operator="between">
      <formula>35.1</formula>
      <formula>80</formula>
    </cfRule>
    <cfRule type="cellIs" dxfId="8905" priority="2688" stopIfTrue="1" operator="between">
      <formula>14.1</formula>
      <formula>35</formula>
    </cfRule>
    <cfRule type="cellIs" dxfId="8904" priority="2689" stopIfTrue="1" operator="between">
      <formula>5.1</formula>
      <formula>14</formula>
    </cfRule>
    <cfRule type="cellIs" dxfId="8903" priority="2690" stopIfTrue="1" operator="between">
      <formula>0</formula>
      <formula>5</formula>
    </cfRule>
    <cfRule type="containsBlanks" dxfId="8902" priority="2691" stopIfTrue="1">
      <formula>LEN(TRIM(E31))=0</formula>
    </cfRule>
  </conditionalFormatting>
  <conditionalFormatting sqref="E30:P30">
    <cfRule type="containsBlanks" dxfId="8901" priority="2664" stopIfTrue="1">
      <formula>LEN(TRIM(E30))=0</formula>
    </cfRule>
    <cfRule type="cellIs" dxfId="8900" priority="2665" stopIfTrue="1" operator="between">
      <formula>80.1</formula>
      <formula>100</formula>
    </cfRule>
    <cfRule type="cellIs" dxfId="8899" priority="2666" stopIfTrue="1" operator="between">
      <formula>35.1</formula>
      <formula>80</formula>
    </cfRule>
    <cfRule type="cellIs" dxfId="8898" priority="2667" stopIfTrue="1" operator="between">
      <formula>14.1</formula>
      <formula>35</formula>
    </cfRule>
    <cfRule type="cellIs" dxfId="8897" priority="2668" stopIfTrue="1" operator="between">
      <formula>5.1</formula>
      <formula>14</formula>
    </cfRule>
    <cfRule type="cellIs" dxfId="8896" priority="2669" stopIfTrue="1" operator="between">
      <formula>0</formula>
      <formula>5</formula>
    </cfRule>
    <cfRule type="containsBlanks" dxfId="8895" priority="2670" stopIfTrue="1">
      <formula>LEN(TRIM(E30))=0</formula>
    </cfRule>
  </conditionalFormatting>
  <conditionalFormatting sqref="E35:P35">
    <cfRule type="containsBlanks" dxfId="8894" priority="2657" stopIfTrue="1">
      <formula>LEN(TRIM(E35))=0</formula>
    </cfRule>
    <cfRule type="cellIs" dxfId="8893" priority="2658" stopIfTrue="1" operator="between">
      <formula>79.1</formula>
      <formula>100</formula>
    </cfRule>
    <cfRule type="cellIs" dxfId="8892" priority="2659" stopIfTrue="1" operator="between">
      <formula>34.1</formula>
      <formula>79</formula>
    </cfRule>
    <cfRule type="cellIs" dxfId="8891" priority="2660" stopIfTrue="1" operator="between">
      <formula>13.1</formula>
      <formula>34</formula>
    </cfRule>
    <cfRule type="cellIs" dxfId="8890" priority="2661" stopIfTrue="1" operator="between">
      <formula>5.1</formula>
      <formula>13</formula>
    </cfRule>
    <cfRule type="cellIs" dxfId="8889" priority="2662" stopIfTrue="1" operator="between">
      <formula>0</formula>
      <formula>5</formula>
    </cfRule>
    <cfRule type="containsBlanks" dxfId="8888" priority="2663" stopIfTrue="1">
      <formula>LEN(TRIM(E35))=0</formula>
    </cfRule>
  </conditionalFormatting>
  <conditionalFormatting sqref="E53:P53">
    <cfRule type="containsBlanks" dxfId="8887" priority="2650" stopIfTrue="1">
      <formula>LEN(TRIM(E53))=0</formula>
    </cfRule>
    <cfRule type="cellIs" dxfId="8886" priority="2651" stopIfTrue="1" operator="between">
      <formula>79.1</formula>
      <formula>100</formula>
    </cfRule>
    <cfRule type="cellIs" dxfId="8885" priority="2652" stopIfTrue="1" operator="between">
      <formula>34.1</formula>
      <formula>79</formula>
    </cfRule>
    <cfRule type="cellIs" dxfId="8884" priority="2653" stopIfTrue="1" operator="between">
      <formula>13.1</formula>
      <formula>34</formula>
    </cfRule>
    <cfRule type="cellIs" dxfId="8883" priority="2654" stopIfTrue="1" operator="between">
      <formula>5.1</formula>
      <formula>13</formula>
    </cfRule>
    <cfRule type="cellIs" dxfId="8882" priority="2655" stopIfTrue="1" operator="between">
      <formula>0</formula>
      <formula>5</formula>
    </cfRule>
    <cfRule type="containsBlanks" dxfId="8881" priority="2656" stopIfTrue="1">
      <formula>LEN(TRIM(E53))=0</formula>
    </cfRule>
  </conditionalFormatting>
  <conditionalFormatting sqref="E55:P55">
    <cfRule type="containsBlanks" dxfId="8880" priority="2643" stopIfTrue="1">
      <formula>LEN(TRIM(E55))=0</formula>
    </cfRule>
    <cfRule type="cellIs" dxfId="8879" priority="2644" stopIfTrue="1" operator="between">
      <formula>79.1</formula>
      <formula>100</formula>
    </cfRule>
    <cfRule type="cellIs" dxfId="8878" priority="2645" stopIfTrue="1" operator="between">
      <formula>34.1</formula>
      <formula>79</formula>
    </cfRule>
    <cfRule type="cellIs" dxfId="8877" priority="2646" stopIfTrue="1" operator="between">
      <formula>13.1</formula>
      <formula>34</formula>
    </cfRule>
    <cfRule type="cellIs" dxfId="8876" priority="2647" stopIfTrue="1" operator="between">
      <formula>5.1</formula>
      <formula>13</formula>
    </cfRule>
    <cfRule type="cellIs" dxfId="8875" priority="2648" stopIfTrue="1" operator="between">
      <formula>0</formula>
      <formula>5</formula>
    </cfRule>
    <cfRule type="containsBlanks" dxfId="8874" priority="2649" stopIfTrue="1">
      <formula>LEN(TRIM(E55))=0</formula>
    </cfRule>
  </conditionalFormatting>
  <conditionalFormatting sqref="E56:P56">
    <cfRule type="containsBlanks" dxfId="8873" priority="2636" stopIfTrue="1">
      <formula>LEN(TRIM(E56))=0</formula>
    </cfRule>
    <cfRule type="cellIs" dxfId="8872" priority="2637" stopIfTrue="1" operator="between">
      <formula>79.1</formula>
      <formula>100</formula>
    </cfRule>
    <cfRule type="cellIs" dxfId="8871" priority="2638" stopIfTrue="1" operator="between">
      <formula>34.1</formula>
      <formula>79</formula>
    </cfRule>
    <cfRule type="cellIs" dxfId="8870" priority="2639" stopIfTrue="1" operator="between">
      <formula>13.1</formula>
      <formula>34</formula>
    </cfRule>
    <cfRule type="cellIs" dxfId="8869" priority="2640" stopIfTrue="1" operator="between">
      <formula>5.1</formula>
      <formula>13</formula>
    </cfRule>
    <cfRule type="cellIs" dxfId="8868" priority="2641" stopIfTrue="1" operator="between">
      <formula>0</formula>
      <formula>5</formula>
    </cfRule>
    <cfRule type="containsBlanks" dxfId="8867" priority="2642" stopIfTrue="1">
      <formula>LEN(TRIM(E56))=0</formula>
    </cfRule>
  </conditionalFormatting>
  <conditionalFormatting sqref="E57:P57">
    <cfRule type="containsBlanks" dxfId="8866" priority="2629" stopIfTrue="1">
      <formula>LEN(TRIM(E57))=0</formula>
    </cfRule>
    <cfRule type="cellIs" dxfId="8865" priority="2630" stopIfTrue="1" operator="between">
      <formula>79.1</formula>
      <formula>100</formula>
    </cfRule>
    <cfRule type="cellIs" dxfId="8864" priority="2631" stopIfTrue="1" operator="between">
      <formula>34.1</formula>
      <formula>79</formula>
    </cfRule>
    <cfRule type="cellIs" dxfId="8863" priority="2632" stopIfTrue="1" operator="between">
      <formula>13.1</formula>
      <formula>34</formula>
    </cfRule>
    <cfRule type="cellIs" dxfId="8862" priority="2633" stopIfTrue="1" operator="between">
      <formula>5.1</formula>
      <formula>13</formula>
    </cfRule>
    <cfRule type="cellIs" dxfId="8861" priority="2634" stopIfTrue="1" operator="between">
      <formula>0</formula>
      <formula>5</formula>
    </cfRule>
    <cfRule type="containsBlanks" dxfId="8860" priority="2635" stopIfTrue="1">
      <formula>LEN(TRIM(E57))=0</formula>
    </cfRule>
  </conditionalFormatting>
  <conditionalFormatting sqref="E58:P58">
    <cfRule type="containsBlanks" dxfId="8859" priority="2622" stopIfTrue="1">
      <formula>LEN(TRIM(E58))=0</formula>
    </cfRule>
    <cfRule type="cellIs" dxfId="8858" priority="2623" stopIfTrue="1" operator="between">
      <formula>79.1</formula>
      <formula>100</formula>
    </cfRule>
    <cfRule type="cellIs" dxfId="8857" priority="2624" stopIfTrue="1" operator="between">
      <formula>34.1</formula>
      <formula>79</formula>
    </cfRule>
    <cfRule type="cellIs" dxfId="8856" priority="2625" stopIfTrue="1" operator="between">
      <formula>13.1</formula>
      <formula>34</formula>
    </cfRule>
    <cfRule type="cellIs" dxfId="8855" priority="2626" stopIfTrue="1" operator="between">
      <formula>5.1</formula>
      <formula>13</formula>
    </cfRule>
    <cfRule type="cellIs" dxfId="8854" priority="2627" stopIfTrue="1" operator="between">
      <formula>0</formula>
      <formula>5</formula>
    </cfRule>
    <cfRule type="containsBlanks" dxfId="8853" priority="2628" stopIfTrue="1">
      <formula>LEN(TRIM(E58))=0</formula>
    </cfRule>
  </conditionalFormatting>
  <conditionalFormatting sqref="E59:P59">
    <cfRule type="containsBlanks" dxfId="8852" priority="2615" stopIfTrue="1">
      <formula>LEN(TRIM(E59))=0</formula>
    </cfRule>
    <cfRule type="cellIs" dxfId="8851" priority="2616" stopIfTrue="1" operator="between">
      <formula>79.1</formula>
      <formula>100</formula>
    </cfRule>
    <cfRule type="cellIs" dxfId="8850" priority="2617" stopIfTrue="1" operator="between">
      <formula>34.1</formula>
      <formula>79</formula>
    </cfRule>
    <cfRule type="cellIs" dxfId="8849" priority="2618" stopIfTrue="1" operator="between">
      <formula>13.1</formula>
      <formula>34</formula>
    </cfRule>
    <cfRule type="cellIs" dxfId="8848" priority="2619" stopIfTrue="1" operator="between">
      <formula>5.1</formula>
      <formula>13</formula>
    </cfRule>
    <cfRule type="cellIs" dxfId="8847" priority="2620" stopIfTrue="1" operator="between">
      <formula>0</formula>
      <formula>5</formula>
    </cfRule>
    <cfRule type="containsBlanks" dxfId="8846" priority="2621" stopIfTrue="1">
      <formula>LEN(TRIM(E59))=0</formula>
    </cfRule>
  </conditionalFormatting>
  <conditionalFormatting sqref="E69:P69">
    <cfRule type="containsBlanks" dxfId="8845" priority="2601" stopIfTrue="1">
      <formula>LEN(TRIM(E69))=0</formula>
    </cfRule>
    <cfRule type="cellIs" dxfId="8844" priority="2602" stopIfTrue="1" operator="between">
      <formula>79.1</formula>
      <formula>100</formula>
    </cfRule>
    <cfRule type="cellIs" dxfId="8843" priority="2603" stopIfTrue="1" operator="between">
      <formula>34.1</formula>
      <formula>79</formula>
    </cfRule>
    <cfRule type="cellIs" dxfId="8842" priority="2604" stopIfTrue="1" operator="between">
      <formula>13.1</formula>
      <formula>34</formula>
    </cfRule>
    <cfRule type="cellIs" dxfId="8841" priority="2605" stopIfTrue="1" operator="between">
      <formula>5.1</formula>
      <formula>13</formula>
    </cfRule>
    <cfRule type="cellIs" dxfId="8840" priority="2606" stopIfTrue="1" operator="between">
      <formula>0</formula>
      <formula>5</formula>
    </cfRule>
    <cfRule type="containsBlanks" dxfId="8839" priority="2607" stopIfTrue="1">
      <formula>LEN(TRIM(E69))=0</formula>
    </cfRule>
  </conditionalFormatting>
  <conditionalFormatting sqref="E70:P70">
    <cfRule type="containsBlanks" dxfId="8838" priority="2587" stopIfTrue="1">
      <formula>LEN(TRIM(E70))=0</formula>
    </cfRule>
    <cfRule type="cellIs" dxfId="8837" priority="2588" stopIfTrue="1" operator="between">
      <formula>79.1</formula>
      <formula>100</formula>
    </cfRule>
    <cfRule type="cellIs" dxfId="8836" priority="2589" stopIfTrue="1" operator="between">
      <formula>34.1</formula>
      <formula>79</formula>
    </cfRule>
    <cfRule type="cellIs" dxfId="8835" priority="2590" stopIfTrue="1" operator="between">
      <formula>13.1</formula>
      <formula>34</formula>
    </cfRule>
    <cfRule type="cellIs" dxfId="8834" priority="2591" stopIfTrue="1" operator="between">
      <formula>5.1</formula>
      <formula>13</formula>
    </cfRule>
    <cfRule type="cellIs" dxfId="8833" priority="2592" stopIfTrue="1" operator="between">
      <formula>0</formula>
      <formula>5</formula>
    </cfRule>
    <cfRule type="containsBlanks" dxfId="8832" priority="2593" stopIfTrue="1">
      <formula>LEN(TRIM(E70))=0</formula>
    </cfRule>
  </conditionalFormatting>
  <conditionalFormatting sqref="E52:P52">
    <cfRule type="containsBlanks" dxfId="8831" priority="2580" stopIfTrue="1">
      <formula>LEN(TRIM(E52))=0</formula>
    </cfRule>
    <cfRule type="cellIs" dxfId="8830" priority="2581" stopIfTrue="1" operator="between">
      <formula>79.1</formula>
      <formula>100</formula>
    </cfRule>
    <cfRule type="cellIs" dxfId="8829" priority="2582" stopIfTrue="1" operator="between">
      <formula>34.1</formula>
      <formula>79</formula>
    </cfRule>
    <cfRule type="cellIs" dxfId="8828" priority="2583" stopIfTrue="1" operator="between">
      <formula>13.1</formula>
      <formula>34</formula>
    </cfRule>
    <cfRule type="cellIs" dxfId="8827" priority="2584" stopIfTrue="1" operator="between">
      <formula>5.1</formula>
      <formula>13</formula>
    </cfRule>
    <cfRule type="cellIs" dxfId="8826" priority="2585" stopIfTrue="1" operator="between">
      <formula>0</formula>
      <formula>5</formula>
    </cfRule>
    <cfRule type="containsBlanks" dxfId="8825" priority="2586" stopIfTrue="1">
      <formula>LEN(TRIM(E52))=0</formula>
    </cfRule>
  </conditionalFormatting>
  <conditionalFormatting sqref="E84:P84">
    <cfRule type="containsBlanks" dxfId="8824" priority="2524" stopIfTrue="1">
      <formula>LEN(TRIM(E84))=0</formula>
    </cfRule>
    <cfRule type="cellIs" dxfId="8823" priority="2525" stopIfTrue="1" operator="between">
      <formula>79.1</formula>
      <formula>100</formula>
    </cfRule>
    <cfRule type="cellIs" dxfId="8822" priority="2526" stopIfTrue="1" operator="between">
      <formula>34.1</formula>
      <formula>79</formula>
    </cfRule>
    <cfRule type="cellIs" dxfId="8821" priority="2527" stopIfTrue="1" operator="between">
      <formula>13.1</formula>
      <formula>34</formula>
    </cfRule>
    <cfRule type="cellIs" dxfId="8820" priority="2528" stopIfTrue="1" operator="between">
      <formula>5.1</formula>
      <formula>13</formula>
    </cfRule>
    <cfRule type="cellIs" dxfId="8819" priority="2529" stopIfTrue="1" operator="between">
      <formula>0</formula>
      <formula>5</formula>
    </cfRule>
    <cfRule type="containsBlanks" dxfId="8818" priority="2530" stopIfTrue="1">
      <formula>LEN(TRIM(E84))=0</formula>
    </cfRule>
  </conditionalFormatting>
  <conditionalFormatting sqref="Q71">
    <cfRule type="containsBlanks" dxfId="8817" priority="2573" stopIfTrue="1">
      <formula>LEN(TRIM(Q71))=0</formula>
    </cfRule>
    <cfRule type="cellIs" dxfId="8816" priority="2574" stopIfTrue="1" operator="between">
      <formula>80.1</formula>
      <formula>100</formula>
    </cfRule>
    <cfRule type="cellIs" dxfId="8815" priority="2575" stopIfTrue="1" operator="between">
      <formula>35.1</formula>
      <formula>80</formula>
    </cfRule>
    <cfRule type="cellIs" dxfId="8814" priority="2576" stopIfTrue="1" operator="between">
      <formula>14.1</formula>
      <formula>35</formula>
    </cfRule>
    <cfRule type="cellIs" dxfId="8813" priority="2577" stopIfTrue="1" operator="between">
      <formula>5.1</formula>
      <formula>14</formula>
    </cfRule>
    <cfRule type="cellIs" dxfId="8812" priority="2578" stopIfTrue="1" operator="between">
      <formula>0</formula>
      <formula>5</formula>
    </cfRule>
    <cfRule type="containsBlanks" dxfId="8811" priority="2579" stopIfTrue="1">
      <formula>LEN(TRIM(Q71))=0</formula>
    </cfRule>
  </conditionalFormatting>
  <conditionalFormatting sqref="E71:P71">
    <cfRule type="containsBlanks" dxfId="8810" priority="2566" stopIfTrue="1">
      <formula>LEN(TRIM(E71))=0</formula>
    </cfRule>
    <cfRule type="cellIs" dxfId="8809" priority="2567" stopIfTrue="1" operator="between">
      <formula>79.1</formula>
      <formula>100</formula>
    </cfRule>
    <cfRule type="cellIs" dxfId="8808" priority="2568" stopIfTrue="1" operator="between">
      <formula>34.1</formula>
      <formula>79</formula>
    </cfRule>
    <cfRule type="cellIs" dxfId="8807" priority="2569" stopIfTrue="1" operator="between">
      <formula>13.1</formula>
      <formula>34</formula>
    </cfRule>
    <cfRule type="cellIs" dxfId="8806" priority="2570" stopIfTrue="1" operator="between">
      <formula>5.1</formula>
      <formula>13</formula>
    </cfRule>
    <cfRule type="cellIs" dxfId="8805" priority="2571" stopIfTrue="1" operator="between">
      <formula>0</formula>
      <formula>5</formula>
    </cfRule>
    <cfRule type="containsBlanks" dxfId="8804" priority="2572" stopIfTrue="1">
      <formula>LEN(TRIM(E71))=0</formula>
    </cfRule>
  </conditionalFormatting>
  <conditionalFormatting sqref="E87:P87">
    <cfRule type="containsBlanks" dxfId="8803" priority="2517" stopIfTrue="1">
      <formula>LEN(TRIM(E87))=0</formula>
    </cfRule>
    <cfRule type="cellIs" dxfId="8802" priority="2518" stopIfTrue="1" operator="between">
      <formula>79.1</formula>
      <formula>100</formula>
    </cfRule>
    <cfRule type="cellIs" dxfId="8801" priority="2519" stopIfTrue="1" operator="between">
      <formula>34.1</formula>
      <formula>79</formula>
    </cfRule>
    <cfRule type="cellIs" dxfId="8800" priority="2520" stopIfTrue="1" operator="between">
      <formula>13.1</formula>
      <formula>34</formula>
    </cfRule>
    <cfRule type="cellIs" dxfId="8799" priority="2521" stopIfTrue="1" operator="between">
      <formula>5.1</formula>
      <formula>13</formula>
    </cfRule>
    <cfRule type="cellIs" dxfId="8798" priority="2522" stopIfTrue="1" operator="between">
      <formula>0</formula>
      <formula>5</formula>
    </cfRule>
    <cfRule type="containsBlanks" dxfId="8797" priority="2523" stopIfTrue="1">
      <formula>LEN(TRIM(E87))=0</formula>
    </cfRule>
  </conditionalFormatting>
  <conditionalFormatting sqref="E72:P72">
    <cfRule type="containsBlanks" dxfId="8796" priority="2545" stopIfTrue="1">
      <formula>LEN(TRIM(E72))=0</formula>
    </cfRule>
    <cfRule type="cellIs" dxfId="8795" priority="2546" stopIfTrue="1" operator="between">
      <formula>79.1</formula>
      <formula>100</formula>
    </cfRule>
    <cfRule type="cellIs" dxfId="8794" priority="2547" stopIfTrue="1" operator="between">
      <formula>34.1</formula>
      <formula>79</formula>
    </cfRule>
    <cfRule type="cellIs" dxfId="8793" priority="2548" stopIfTrue="1" operator="between">
      <formula>13.1</formula>
      <formula>34</formula>
    </cfRule>
    <cfRule type="cellIs" dxfId="8792" priority="2549" stopIfTrue="1" operator="between">
      <formula>5.1</formula>
      <formula>13</formula>
    </cfRule>
    <cfRule type="cellIs" dxfId="8791" priority="2550" stopIfTrue="1" operator="between">
      <formula>0</formula>
      <formula>5</formula>
    </cfRule>
    <cfRule type="containsBlanks" dxfId="8790" priority="2551" stopIfTrue="1">
      <formula>LEN(TRIM(E72))=0</formula>
    </cfRule>
  </conditionalFormatting>
  <conditionalFormatting sqref="E81:P81">
    <cfRule type="containsBlanks" dxfId="8789" priority="2538" stopIfTrue="1">
      <formula>LEN(TRIM(E81))=0</formula>
    </cfRule>
    <cfRule type="cellIs" dxfId="8788" priority="2539" stopIfTrue="1" operator="between">
      <formula>79.1</formula>
      <formula>100</formula>
    </cfRule>
    <cfRule type="cellIs" dxfId="8787" priority="2540" stopIfTrue="1" operator="between">
      <formula>34.1</formula>
      <formula>79</formula>
    </cfRule>
    <cfRule type="cellIs" dxfId="8786" priority="2541" stopIfTrue="1" operator="between">
      <formula>13.1</formula>
      <formula>34</formula>
    </cfRule>
    <cfRule type="cellIs" dxfId="8785" priority="2542" stopIfTrue="1" operator="between">
      <formula>5.1</formula>
      <formula>13</formula>
    </cfRule>
    <cfRule type="cellIs" dxfId="8784" priority="2543" stopIfTrue="1" operator="between">
      <formula>0</formula>
      <formula>5</formula>
    </cfRule>
    <cfRule type="containsBlanks" dxfId="8783" priority="2544" stopIfTrue="1">
      <formula>LEN(TRIM(E81))=0</formula>
    </cfRule>
  </conditionalFormatting>
  <conditionalFormatting sqref="E83:P83">
    <cfRule type="containsBlanks" dxfId="8782" priority="2531" stopIfTrue="1">
      <formula>LEN(TRIM(E83))=0</formula>
    </cfRule>
    <cfRule type="cellIs" dxfId="8781" priority="2532" stopIfTrue="1" operator="between">
      <formula>79.1</formula>
      <formula>100</formula>
    </cfRule>
    <cfRule type="cellIs" dxfId="8780" priority="2533" stopIfTrue="1" operator="between">
      <formula>34.1</formula>
      <formula>79</formula>
    </cfRule>
    <cfRule type="cellIs" dxfId="8779" priority="2534" stopIfTrue="1" operator="between">
      <formula>13.1</formula>
      <formula>34</formula>
    </cfRule>
    <cfRule type="cellIs" dxfId="8778" priority="2535" stopIfTrue="1" operator="between">
      <formula>5.1</formula>
      <formula>13</formula>
    </cfRule>
    <cfRule type="cellIs" dxfId="8777" priority="2536" stopIfTrue="1" operator="between">
      <formula>0</formula>
      <formula>5</formula>
    </cfRule>
    <cfRule type="containsBlanks" dxfId="8776" priority="2537" stopIfTrue="1">
      <formula>LEN(TRIM(E83))=0</formula>
    </cfRule>
  </conditionalFormatting>
  <conditionalFormatting sqref="Q86">
    <cfRule type="containsBlanks" dxfId="8775" priority="2510" stopIfTrue="1">
      <formula>LEN(TRIM(Q86))=0</formula>
    </cfRule>
    <cfRule type="cellIs" dxfId="8774" priority="2511" stopIfTrue="1" operator="between">
      <formula>80.1</formula>
      <formula>100</formula>
    </cfRule>
    <cfRule type="cellIs" dxfId="8773" priority="2512" stopIfTrue="1" operator="between">
      <formula>35.1</formula>
      <formula>80</formula>
    </cfRule>
    <cfRule type="cellIs" dxfId="8772" priority="2513" stopIfTrue="1" operator="between">
      <formula>14.1</formula>
      <formula>35</formula>
    </cfRule>
    <cfRule type="cellIs" dxfId="8771" priority="2514" stopIfTrue="1" operator="between">
      <formula>5.1</formula>
      <formula>14</formula>
    </cfRule>
    <cfRule type="cellIs" dxfId="8770" priority="2515" stopIfTrue="1" operator="between">
      <formula>0</formula>
      <formula>5</formula>
    </cfRule>
    <cfRule type="containsBlanks" dxfId="8769" priority="2516" stopIfTrue="1">
      <formula>LEN(TRIM(Q86))=0</formula>
    </cfRule>
  </conditionalFormatting>
  <conditionalFormatting sqref="Q85">
    <cfRule type="containsBlanks" dxfId="8768" priority="2503" stopIfTrue="1">
      <formula>LEN(TRIM(Q85))=0</formula>
    </cfRule>
    <cfRule type="cellIs" dxfId="8767" priority="2504" stopIfTrue="1" operator="between">
      <formula>80.1</formula>
      <formula>100</formula>
    </cfRule>
    <cfRule type="cellIs" dxfId="8766" priority="2505" stopIfTrue="1" operator="between">
      <formula>35.1</formula>
      <formula>80</formula>
    </cfRule>
    <cfRule type="cellIs" dxfId="8765" priority="2506" stopIfTrue="1" operator="between">
      <formula>14.1</formula>
      <formula>35</formula>
    </cfRule>
    <cfRule type="cellIs" dxfId="8764" priority="2507" stopIfTrue="1" operator="between">
      <formula>5.1</formula>
      <formula>14</formula>
    </cfRule>
    <cfRule type="cellIs" dxfId="8763" priority="2508" stopIfTrue="1" operator="between">
      <formula>0</formula>
      <formula>5</formula>
    </cfRule>
    <cfRule type="containsBlanks" dxfId="8762" priority="2509" stopIfTrue="1">
      <formula>LEN(TRIM(Q85))=0</formula>
    </cfRule>
  </conditionalFormatting>
  <conditionalFormatting sqref="E85:P85">
    <cfRule type="containsBlanks" dxfId="8761" priority="2496" stopIfTrue="1">
      <formula>LEN(TRIM(E85))=0</formula>
    </cfRule>
    <cfRule type="cellIs" dxfId="8760" priority="2497" stopIfTrue="1" operator="between">
      <formula>79.1</formula>
      <formula>100</formula>
    </cfRule>
    <cfRule type="cellIs" dxfId="8759" priority="2498" stopIfTrue="1" operator="between">
      <formula>34.1</formula>
      <formula>79</formula>
    </cfRule>
    <cfRule type="cellIs" dxfId="8758" priority="2499" stopIfTrue="1" operator="between">
      <formula>13.1</formula>
      <formula>34</formula>
    </cfRule>
    <cfRule type="cellIs" dxfId="8757" priority="2500" stopIfTrue="1" operator="between">
      <formula>5.1</formula>
      <formula>13</formula>
    </cfRule>
    <cfRule type="cellIs" dxfId="8756" priority="2501" stopIfTrue="1" operator="between">
      <formula>0</formula>
      <formula>5</formula>
    </cfRule>
    <cfRule type="containsBlanks" dxfId="8755" priority="2502" stopIfTrue="1">
      <formula>LEN(TRIM(E85))=0</formula>
    </cfRule>
  </conditionalFormatting>
  <conditionalFormatting sqref="E86:P86">
    <cfRule type="containsBlanks" dxfId="8754" priority="2489" stopIfTrue="1">
      <formula>LEN(TRIM(E86))=0</formula>
    </cfRule>
    <cfRule type="cellIs" dxfId="8753" priority="2490" stopIfTrue="1" operator="between">
      <formula>79.1</formula>
      <formula>100</formula>
    </cfRule>
    <cfRule type="cellIs" dxfId="8752" priority="2491" stopIfTrue="1" operator="between">
      <formula>34.1</formula>
      <formula>79</formula>
    </cfRule>
    <cfRule type="cellIs" dxfId="8751" priority="2492" stopIfTrue="1" operator="between">
      <formula>13.1</formula>
      <formula>34</formula>
    </cfRule>
    <cfRule type="cellIs" dxfId="8750" priority="2493" stopIfTrue="1" operator="between">
      <formula>5.1</formula>
      <formula>13</formula>
    </cfRule>
    <cfRule type="cellIs" dxfId="8749" priority="2494" stopIfTrue="1" operator="between">
      <formula>0</formula>
      <formula>5</formula>
    </cfRule>
    <cfRule type="containsBlanks" dxfId="8748" priority="2495" stopIfTrue="1">
      <formula>LEN(TRIM(E86))=0</formula>
    </cfRule>
  </conditionalFormatting>
  <conditionalFormatting sqref="E88:P88">
    <cfRule type="containsBlanks" dxfId="8747" priority="2482" stopIfTrue="1">
      <formula>LEN(TRIM(E88))=0</formula>
    </cfRule>
    <cfRule type="cellIs" dxfId="8746" priority="2483" stopIfTrue="1" operator="between">
      <formula>79.1</formula>
      <formula>100</formula>
    </cfRule>
    <cfRule type="cellIs" dxfId="8745" priority="2484" stopIfTrue="1" operator="between">
      <formula>34.1</formula>
      <formula>79</formula>
    </cfRule>
    <cfRule type="cellIs" dxfId="8744" priority="2485" stopIfTrue="1" operator="between">
      <formula>13.1</formula>
      <formula>34</formula>
    </cfRule>
    <cfRule type="cellIs" dxfId="8743" priority="2486" stopIfTrue="1" operator="between">
      <formula>5.1</formula>
      <formula>13</formula>
    </cfRule>
    <cfRule type="cellIs" dxfId="8742" priority="2487" stopIfTrue="1" operator="between">
      <formula>0</formula>
      <formula>5</formula>
    </cfRule>
    <cfRule type="containsBlanks" dxfId="8741" priority="2488" stopIfTrue="1">
      <formula>LEN(TRIM(E88))=0</formula>
    </cfRule>
  </conditionalFormatting>
  <conditionalFormatting sqref="E94:P94 E96:K96">
    <cfRule type="containsBlanks" dxfId="8740" priority="2468" stopIfTrue="1">
      <formula>LEN(TRIM(E94))=0</formula>
    </cfRule>
    <cfRule type="cellIs" dxfId="8739" priority="2469" stopIfTrue="1" operator="between">
      <formula>79.1</formula>
      <formula>100</formula>
    </cfRule>
    <cfRule type="cellIs" dxfId="8738" priority="2470" stopIfTrue="1" operator="between">
      <formula>34.1</formula>
      <formula>79</formula>
    </cfRule>
    <cfRule type="cellIs" dxfId="8737" priority="2471" stopIfTrue="1" operator="between">
      <formula>13.1</formula>
      <formula>34</formula>
    </cfRule>
    <cfRule type="cellIs" dxfId="8736" priority="2472" stopIfTrue="1" operator="between">
      <formula>5.1</formula>
      <formula>13</formula>
    </cfRule>
    <cfRule type="cellIs" dxfId="8735" priority="2473" stopIfTrue="1" operator="between">
      <formula>0</formula>
      <formula>5</formula>
    </cfRule>
    <cfRule type="containsBlanks" dxfId="8734" priority="2474" stopIfTrue="1">
      <formula>LEN(TRIM(E94))=0</formula>
    </cfRule>
  </conditionalFormatting>
  <conditionalFormatting sqref="E97:P97">
    <cfRule type="containsBlanks" dxfId="8733" priority="2461" stopIfTrue="1">
      <formula>LEN(TRIM(E97))=0</formula>
    </cfRule>
    <cfRule type="cellIs" dxfId="8732" priority="2462" stopIfTrue="1" operator="between">
      <formula>79.1</formula>
      <formula>100</formula>
    </cfRule>
    <cfRule type="cellIs" dxfId="8731" priority="2463" stopIfTrue="1" operator="between">
      <formula>34.1</formula>
      <formula>79</formula>
    </cfRule>
    <cfRule type="cellIs" dxfId="8730" priority="2464" stopIfTrue="1" operator="between">
      <formula>13.1</formula>
      <formula>34</formula>
    </cfRule>
    <cfRule type="cellIs" dxfId="8729" priority="2465" stopIfTrue="1" operator="between">
      <formula>5.1</formula>
      <formula>13</formula>
    </cfRule>
    <cfRule type="cellIs" dxfId="8728" priority="2466" stopIfTrue="1" operator="between">
      <formula>0</formula>
      <formula>5</formula>
    </cfRule>
    <cfRule type="containsBlanks" dxfId="8727" priority="2467" stopIfTrue="1">
      <formula>LEN(TRIM(E97))=0</formula>
    </cfRule>
  </conditionalFormatting>
  <conditionalFormatting sqref="E98:P98">
    <cfRule type="containsBlanks" dxfId="8726" priority="2454" stopIfTrue="1">
      <formula>LEN(TRIM(E98))=0</formula>
    </cfRule>
    <cfRule type="cellIs" dxfId="8725" priority="2455" stopIfTrue="1" operator="between">
      <formula>79.1</formula>
      <formula>100</formula>
    </cfRule>
    <cfRule type="cellIs" dxfId="8724" priority="2456" stopIfTrue="1" operator="between">
      <formula>34.1</formula>
      <formula>79</formula>
    </cfRule>
    <cfRule type="cellIs" dxfId="8723" priority="2457" stopIfTrue="1" operator="between">
      <formula>13.1</formula>
      <formula>34</formula>
    </cfRule>
    <cfRule type="cellIs" dxfId="8722" priority="2458" stopIfTrue="1" operator="between">
      <formula>5.1</formula>
      <formula>13</formula>
    </cfRule>
    <cfRule type="cellIs" dxfId="8721" priority="2459" stopIfTrue="1" operator="between">
      <formula>0</formula>
      <formula>5</formula>
    </cfRule>
    <cfRule type="containsBlanks" dxfId="8720" priority="2460" stopIfTrue="1">
      <formula>LEN(TRIM(E98))=0</formula>
    </cfRule>
  </conditionalFormatting>
  <conditionalFormatting sqref="E99:P99">
    <cfRule type="containsBlanks" dxfId="8719" priority="2447" stopIfTrue="1">
      <formula>LEN(TRIM(E99))=0</formula>
    </cfRule>
    <cfRule type="cellIs" dxfId="8718" priority="2448" stopIfTrue="1" operator="between">
      <formula>79.1</formula>
      <formula>100</formula>
    </cfRule>
    <cfRule type="cellIs" dxfId="8717" priority="2449" stopIfTrue="1" operator="between">
      <formula>34.1</formula>
      <formula>79</formula>
    </cfRule>
    <cfRule type="cellIs" dxfId="8716" priority="2450" stopIfTrue="1" operator="between">
      <formula>13.1</formula>
      <formula>34</formula>
    </cfRule>
    <cfRule type="cellIs" dxfId="8715" priority="2451" stopIfTrue="1" operator="between">
      <formula>5.1</formula>
      <formula>13</formula>
    </cfRule>
    <cfRule type="cellIs" dxfId="8714" priority="2452" stopIfTrue="1" operator="between">
      <formula>0</formula>
      <formula>5</formula>
    </cfRule>
    <cfRule type="containsBlanks" dxfId="8713" priority="2453" stopIfTrue="1">
      <formula>LEN(TRIM(E99))=0</formula>
    </cfRule>
  </conditionalFormatting>
  <conditionalFormatting sqref="E101:P101">
    <cfRule type="containsBlanks" dxfId="8712" priority="2426" stopIfTrue="1">
      <formula>LEN(TRIM(E101))=0</formula>
    </cfRule>
    <cfRule type="cellIs" dxfId="8711" priority="2427" stopIfTrue="1" operator="between">
      <formula>79.1</formula>
      <formula>100</formula>
    </cfRule>
    <cfRule type="cellIs" dxfId="8710" priority="2428" stopIfTrue="1" operator="between">
      <formula>34.1</formula>
      <formula>79</formula>
    </cfRule>
    <cfRule type="cellIs" dxfId="8709" priority="2429" stopIfTrue="1" operator="between">
      <formula>13.1</formula>
      <formula>34</formula>
    </cfRule>
    <cfRule type="cellIs" dxfId="8708" priority="2430" stopIfTrue="1" operator="between">
      <formula>5.1</formula>
      <formula>13</formula>
    </cfRule>
    <cfRule type="cellIs" dxfId="8707" priority="2431" stopIfTrue="1" operator="between">
      <formula>0</formula>
      <formula>5</formula>
    </cfRule>
    <cfRule type="containsBlanks" dxfId="8706" priority="2432" stopIfTrue="1">
      <formula>LEN(TRIM(E101))=0</formula>
    </cfRule>
  </conditionalFormatting>
  <conditionalFormatting sqref="E102:P102">
    <cfRule type="containsBlanks" dxfId="8705" priority="2419" stopIfTrue="1">
      <formula>LEN(TRIM(E102))=0</formula>
    </cfRule>
    <cfRule type="cellIs" dxfId="8704" priority="2420" stopIfTrue="1" operator="between">
      <formula>79.1</formula>
      <formula>100</formula>
    </cfRule>
    <cfRule type="cellIs" dxfId="8703" priority="2421" stopIfTrue="1" operator="between">
      <formula>34.1</formula>
      <formula>79</formula>
    </cfRule>
    <cfRule type="cellIs" dxfId="8702" priority="2422" stopIfTrue="1" operator="between">
      <formula>13.1</formula>
      <formula>34</formula>
    </cfRule>
    <cfRule type="cellIs" dxfId="8701" priority="2423" stopIfTrue="1" operator="between">
      <formula>5.1</formula>
      <formula>13</formula>
    </cfRule>
    <cfRule type="cellIs" dxfId="8700" priority="2424" stopIfTrue="1" operator="between">
      <formula>0</formula>
      <formula>5</formula>
    </cfRule>
    <cfRule type="containsBlanks" dxfId="8699" priority="2425" stopIfTrue="1">
      <formula>LEN(TRIM(E102))=0</formula>
    </cfRule>
  </conditionalFormatting>
  <conditionalFormatting sqref="E103:K103">
    <cfRule type="containsBlanks" dxfId="8698" priority="2377" stopIfTrue="1">
      <formula>LEN(TRIM(E103))=0</formula>
    </cfRule>
    <cfRule type="cellIs" dxfId="8697" priority="2378" stopIfTrue="1" operator="between">
      <formula>79.1</formula>
      <formula>100</formula>
    </cfRule>
    <cfRule type="cellIs" dxfId="8696" priority="2379" stopIfTrue="1" operator="between">
      <formula>34.1</formula>
      <formula>79</formula>
    </cfRule>
    <cfRule type="cellIs" dxfId="8695" priority="2380" stopIfTrue="1" operator="between">
      <formula>13.1</formula>
      <formula>34</formula>
    </cfRule>
    <cfRule type="cellIs" dxfId="8694" priority="2381" stopIfTrue="1" operator="between">
      <formula>5.1</formula>
      <formula>13</formula>
    </cfRule>
    <cfRule type="cellIs" dxfId="8693" priority="2382" stopIfTrue="1" operator="between">
      <formula>0</formula>
      <formula>5</formula>
    </cfRule>
    <cfRule type="containsBlanks" dxfId="8692" priority="2383" stopIfTrue="1">
      <formula>LEN(TRIM(E103))=0</formula>
    </cfRule>
  </conditionalFormatting>
  <conditionalFormatting sqref="L103:P103">
    <cfRule type="containsBlanks" dxfId="8691" priority="2384" stopIfTrue="1">
      <formula>LEN(TRIM(L103))=0</formula>
    </cfRule>
    <cfRule type="cellIs" dxfId="8690" priority="2385" stopIfTrue="1" operator="between">
      <formula>79.1</formula>
      <formula>100</formula>
    </cfRule>
    <cfRule type="cellIs" dxfId="8689" priority="2386" stopIfTrue="1" operator="between">
      <formula>34.1</formula>
      <formula>79</formula>
    </cfRule>
    <cfRule type="cellIs" dxfId="8688" priority="2387" stopIfTrue="1" operator="between">
      <formula>13.1</formula>
      <formula>34</formula>
    </cfRule>
    <cfRule type="cellIs" dxfId="8687" priority="2388" stopIfTrue="1" operator="between">
      <formula>5.1</formula>
      <formula>13</formula>
    </cfRule>
    <cfRule type="cellIs" dxfId="8686" priority="2389" stopIfTrue="1" operator="between">
      <formula>0</formula>
      <formula>5</formula>
    </cfRule>
    <cfRule type="containsBlanks" dxfId="8685" priority="2390" stopIfTrue="1">
      <formula>LEN(TRIM(L103))=0</formula>
    </cfRule>
  </conditionalFormatting>
  <conditionalFormatting sqref="F23:Q23">
    <cfRule type="containsBlanks" dxfId="8684" priority="2342" stopIfTrue="1">
      <formula>LEN(TRIM(F23))=0</formula>
    </cfRule>
    <cfRule type="cellIs" dxfId="8683" priority="2343" stopIfTrue="1" operator="between">
      <formula>80.1</formula>
      <formula>100</formula>
    </cfRule>
    <cfRule type="cellIs" dxfId="8682" priority="2344" stopIfTrue="1" operator="between">
      <formula>35.1</formula>
      <formula>80</formula>
    </cfRule>
    <cfRule type="cellIs" dxfId="8681" priority="2345" stopIfTrue="1" operator="between">
      <formula>14.1</formula>
      <formula>35</formula>
    </cfRule>
    <cfRule type="cellIs" dxfId="8680" priority="2346" stopIfTrue="1" operator="between">
      <formula>5.1</formula>
      <formula>14</formula>
    </cfRule>
    <cfRule type="cellIs" dxfId="8679" priority="2347" stopIfTrue="1" operator="between">
      <formula>0</formula>
      <formula>5</formula>
    </cfRule>
    <cfRule type="containsBlanks" dxfId="8678" priority="2348" stopIfTrue="1">
      <formula>LEN(TRIM(F23))=0</formula>
    </cfRule>
  </conditionalFormatting>
  <conditionalFormatting sqref="E23">
    <cfRule type="containsBlanks" dxfId="8677" priority="2335" stopIfTrue="1">
      <formula>LEN(TRIM(E23))=0</formula>
    </cfRule>
    <cfRule type="cellIs" dxfId="8676" priority="2336" stopIfTrue="1" operator="between">
      <formula>80.1</formula>
      <formula>100</formula>
    </cfRule>
    <cfRule type="cellIs" dxfId="8675" priority="2337" stopIfTrue="1" operator="between">
      <formula>35.1</formula>
      <formula>80</formula>
    </cfRule>
    <cfRule type="cellIs" dxfId="8674" priority="2338" stopIfTrue="1" operator="between">
      <formula>14.1</formula>
      <formula>35</formula>
    </cfRule>
    <cfRule type="cellIs" dxfId="8673" priority="2339" stopIfTrue="1" operator="between">
      <formula>5.1</formula>
      <formula>14</formula>
    </cfRule>
    <cfRule type="cellIs" dxfId="8672" priority="2340" stopIfTrue="1" operator="between">
      <formula>0</formula>
      <formula>5</formula>
    </cfRule>
    <cfRule type="containsBlanks" dxfId="8671" priority="2341" stopIfTrue="1">
      <formula>LEN(TRIM(E23))=0</formula>
    </cfRule>
  </conditionalFormatting>
  <conditionalFormatting sqref="F25:Q25">
    <cfRule type="containsBlanks" dxfId="8670" priority="2328" stopIfTrue="1">
      <formula>LEN(TRIM(F25))=0</formula>
    </cfRule>
    <cfRule type="cellIs" dxfId="8669" priority="2329" stopIfTrue="1" operator="between">
      <formula>80.1</formula>
      <formula>100</formula>
    </cfRule>
    <cfRule type="cellIs" dxfId="8668" priority="2330" stopIfTrue="1" operator="between">
      <formula>35.1</formula>
      <formula>80</formula>
    </cfRule>
    <cfRule type="cellIs" dxfId="8667" priority="2331" stopIfTrue="1" operator="between">
      <formula>14.1</formula>
      <formula>35</formula>
    </cfRule>
    <cfRule type="cellIs" dxfId="8666" priority="2332" stopIfTrue="1" operator="between">
      <formula>5.1</formula>
      <formula>14</formula>
    </cfRule>
    <cfRule type="cellIs" dxfId="8665" priority="2333" stopIfTrue="1" operator="between">
      <formula>0</formula>
      <formula>5</formula>
    </cfRule>
    <cfRule type="containsBlanks" dxfId="8664" priority="2334" stopIfTrue="1">
      <formula>LEN(TRIM(F25))=0</formula>
    </cfRule>
  </conditionalFormatting>
  <conditionalFormatting sqref="E25">
    <cfRule type="containsBlanks" dxfId="8663" priority="2321" stopIfTrue="1">
      <formula>LEN(TRIM(E25))=0</formula>
    </cfRule>
    <cfRule type="cellIs" dxfId="8662" priority="2322" stopIfTrue="1" operator="between">
      <formula>80.1</formula>
      <formula>100</formula>
    </cfRule>
    <cfRule type="cellIs" dxfId="8661" priority="2323" stopIfTrue="1" operator="between">
      <formula>35.1</formula>
      <formula>80</formula>
    </cfRule>
    <cfRule type="cellIs" dxfId="8660" priority="2324" stopIfTrue="1" operator="between">
      <formula>14.1</formula>
      <formula>35</formula>
    </cfRule>
    <cfRule type="cellIs" dxfId="8659" priority="2325" stopIfTrue="1" operator="between">
      <formula>5.1</formula>
      <formula>14</formula>
    </cfRule>
    <cfRule type="cellIs" dxfId="8658" priority="2326" stopIfTrue="1" operator="between">
      <formula>0</formula>
      <formula>5</formula>
    </cfRule>
    <cfRule type="containsBlanks" dxfId="8657" priority="2327" stopIfTrue="1">
      <formula>LEN(TRIM(E25))=0</formula>
    </cfRule>
  </conditionalFormatting>
  <conditionalFormatting sqref="Q60">
    <cfRule type="containsBlanks" dxfId="8656" priority="2251" stopIfTrue="1">
      <formula>LEN(TRIM(Q60))=0</formula>
    </cfRule>
    <cfRule type="cellIs" dxfId="8655" priority="2252" stopIfTrue="1" operator="between">
      <formula>80.1</formula>
      <formula>100</formula>
    </cfRule>
    <cfRule type="cellIs" dxfId="8654" priority="2253" stopIfTrue="1" operator="between">
      <formula>35.1</formula>
      <formula>80</formula>
    </cfRule>
    <cfRule type="cellIs" dxfId="8653" priority="2254" stopIfTrue="1" operator="between">
      <formula>14.1</formula>
      <formula>35</formula>
    </cfRule>
    <cfRule type="cellIs" dxfId="8652" priority="2255" stopIfTrue="1" operator="between">
      <formula>5.1</formula>
      <formula>14</formula>
    </cfRule>
    <cfRule type="cellIs" dxfId="8651" priority="2256" stopIfTrue="1" operator="between">
      <formula>0</formula>
      <formula>5</formula>
    </cfRule>
    <cfRule type="containsBlanks" dxfId="8650" priority="2257" stopIfTrue="1">
      <formula>LEN(TRIM(Q60))=0</formula>
    </cfRule>
  </conditionalFormatting>
  <conditionalFormatting sqref="E60:J60">
    <cfRule type="containsBlanks" dxfId="8649" priority="2244" stopIfTrue="1">
      <formula>LEN(TRIM(E60))=0</formula>
    </cfRule>
    <cfRule type="cellIs" dxfId="8648" priority="2245" stopIfTrue="1" operator="between">
      <formula>79.1</formula>
      <formula>100</formula>
    </cfRule>
    <cfRule type="cellIs" dxfId="8647" priority="2246" stopIfTrue="1" operator="between">
      <formula>34.1</formula>
      <formula>79</formula>
    </cfRule>
    <cfRule type="cellIs" dxfId="8646" priority="2247" stopIfTrue="1" operator="between">
      <formula>13.1</formula>
      <formula>34</formula>
    </cfRule>
    <cfRule type="cellIs" dxfId="8645" priority="2248" stopIfTrue="1" operator="between">
      <formula>5.1</formula>
      <formula>13</formula>
    </cfRule>
    <cfRule type="cellIs" dxfId="8644" priority="2249" stopIfTrue="1" operator="between">
      <formula>0</formula>
      <formula>5</formula>
    </cfRule>
    <cfRule type="containsBlanks" dxfId="8643" priority="2250" stopIfTrue="1">
      <formula>LEN(TRIM(E60))=0</formula>
    </cfRule>
  </conditionalFormatting>
  <conditionalFormatting sqref="Q61">
    <cfRule type="containsBlanks" dxfId="8642" priority="2223" stopIfTrue="1">
      <formula>LEN(TRIM(Q61))=0</formula>
    </cfRule>
    <cfRule type="cellIs" dxfId="8641" priority="2224" stopIfTrue="1" operator="between">
      <formula>80.1</formula>
      <formula>100</formula>
    </cfRule>
    <cfRule type="cellIs" dxfId="8640" priority="2225" stopIfTrue="1" operator="between">
      <formula>35.1</formula>
      <formula>80</formula>
    </cfRule>
    <cfRule type="cellIs" dxfId="8639" priority="2226" stopIfTrue="1" operator="between">
      <formula>14.1</formula>
      <formula>35</formula>
    </cfRule>
    <cfRule type="cellIs" dxfId="8638" priority="2227" stopIfTrue="1" operator="between">
      <formula>5.1</formula>
      <formula>14</formula>
    </cfRule>
    <cfRule type="cellIs" dxfId="8637" priority="2228" stopIfTrue="1" operator="between">
      <formula>0</formula>
      <formula>5</formula>
    </cfRule>
    <cfRule type="containsBlanks" dxfId="8636" priority="2229" stopIfTrue="1">
      <formula>LEN(TRIM(Q61))=0</formula>
    </cfRule>
  </conditionalFormatting>
  <conditionalFormatting sqref="E61:J61">
    <cfRule type="containsBlanks" dxfId="8635" priority="2216" stopIfTrue="1">
      <formula>LEN(TRIM(E61))=0</formula>
    </cfRule>
    <cfRule type="cellIs" dxfId="8634" priority="2217" stopIfTrue="1" operator="between">
      <formula>79.1</formula>
      <formula>100</formula>
    </cfRule>
    <cfRule type="cellIs" dxfId="8633" priority="2218" stopIfTrue="1" operator="between">
      <formula>34.1</formula>
      <formula>79</formula>
    </cfRule>
    <cfRule type="cellIs" dxfId="8632" priority="2219" stopIfTrue="1" operator="between">
      <formula>13.1</formula>
      <formula>34</formula>
    </cfRule>
    <cfRule type="cellIs" dxfId="8631" priority="2220" stopIfTrue="1" operator="between">
      <formula>5.1</formula>
      <formula>13</formula>
    </cfRule>
    <cfRule type="cellIs" dxfId="8630" priority="2221" stopIfTrue="1" operator="between">
      <formula>0</formula>
      <formula>5</formula>
    </cfRule>
    <cfRule type="containsBlanks" dxfId="8629" priority="2222" stopIfTrue="1">
      <formula>LEN(TRIM(E61))=0</formula>
    </cfRule>
  </conditionalFormatting>
  <conditionalFormatting sqref="Q62">
    <cfRule type="containsBlanks" dxfId="8628" priority="2209" stopIfTrue="1">
      <formula>LEN(TRIM(Q62))=0</formula>
    </cfRule>
    <cfRule type="cellIs" dxfId="8627" priority="2210" stopIfTrue="1" operator="between">
      <formula>80.1</formula>
      <formula>100</formula>
    </cfRule>
    <cfRule type="cellIs" dxfId="8626" priority="2211" stopIfTrue="1" operator="between">
      <formula>35.1</formula>
      <formula>80</formula>
    </cfRule>
    <cfRule type="cellIs" dxfId="8625" priority="2212" stopIfTrue="1" operator="between">
      <formula>14.1</formula>
      <formula>35</formula>
    </cfRule>
    <cfRule type="cellIs" dxfId="8624" priority="2213" stopIfTrue="1" operator="between">
      <formula>5.1</formula>
      <formula>14</formula>
    </cfRule>
    <cfRule type="cellIs" dxfId="8623" priority="2214" stopIfTrue="1" operator="between">
      <formula>0</formula>
      <formula>5</formula>
    </cfRule>
    <cfRule type="containsBlanks" dxfId="8622" priority="2215" stopIfTrue="1">
      <formula>LEN(TRIM(Q62))=0</formula>
    </cfRule>
  </conditionalFormatting>
  <conditionalFormatting sqref="E62:J62">
    <cfRule type="containsBlanks" dxfId="8621" priority="2202" stopIfTrue="1">
      <formula>LEN(TRIM(E62))=0</formula>
    </cfRule>
    <cfRule type="cellIs" dxfId="8620" priority="2203" stopIfTrue="1" operator="between">
      <formula>79.1</formula>
      <formula>100</formula>
    </cfRule>
    <cfRule type="cellIs" dxfId="8619" priority="2204" stopIfTrue="1" operator="between">
      <formula>34.1</formula>
      <formula>79</formula>
    </cfRule>
    <cfRule type="cellIs" dxfId="8618" priority="2205" stopIfTrue="1" operator="between">
      <formula>13.1</formula>
      <formula>34</formula>
    </cfRule>
    <cfRule type="cellIs" dxfId="8617" priority="2206" stopIfTrue="1" operator="between">
      <formula>5.1</formula>
      <formula>13</formula>
    </cfRule>
    <cfRule type="cellIs" dxfId="8616" priority="2207" stopIfTrue="1" operator="between">
      <formula>0</formula>
      <formula>5</formula>
    </cfRule>
    <cfRule type="containsBlanks" dxfId="8615" priority="2208" stopIfTrue="1">
      <formula>LEN(TRIM(E62))=0</formula>
    </cfRule>
  </conditionalFormatting>
  <conditionalFormatting sqref="Q63">
    <cfRule type="containsBlanks" dxfId="8614" priority="2181" stopIfTrue="1">
      <formula>LEN(TRIM(Q63))=0</formula>
    </cfRule>
    <cfRule type="cellIs" dxfId="8613" priority="2182" stopIfTrue="1" operator="between">
      <formula>80.1</formula>
      <formula>100</formula>
    </cfRule>
    <cfRule type="cellIs" dxfId="8612" priority="2183" stopIfTrue="1" operator="between">
      <formula>35.1</formula>
      <formula>80</formula>
    </cfRule>
    <cfRule type="cellIs" dxfId="8611" priority="2184" stopIfTrue="1" operator="between">
      <formula>14.1</formula>
      <formula>35</formula>
    </cfRule>
    <cfRule type="cellIs" dxfId="8610" priority="2185" stopIfTrue="1" operator="between">
      <formula>5.1</formula>
      <formula>14</formula>
    </cfRule>
    <cfRule type="cellIs" dxfId="8609" priority="2186" stopIfTrue="1" operator="between">
      <formula>0</formula>
      <formula>5</formula>
    </cfRule>
    <cfRule type="containsBlanks" dxfId="8608" priority="2187" stopIfTrue="1">
      <formula>LEN(TRIM(Q63))=0</formula>
    </cfRule>
  </conditionalFormatting>
  <conditionalFormatting sqref="E63:J63">
    <cfRule type="containsBlanks" dxfId="8607" priority="2174" stopIfTrue="1">
      <formula>LEN(TRIM(E63))=0</formula>
    </cfRule>
    <cfRule type="cellIs" dxfId="8606" priority="2175" stopIfTrue="1" operator="between">
      <formula>79.1</formula>
      <formula>100</formula>
    </cfRule>
    <cfRule type="cellIs" dxfId="8605" priority="2176" stopIfTrue="1" operator="between">
      <formula>34.1</formula>
      <formula>79</formula>
    </cfRule>
    <cfRule type="cellIs" dxfId="8604" priority="2177" stopIfTrue="1" operator="between">
      <formula>13.1</formula>
      <formula>34</formula>
    </cfRule>
    <cfRule type="cellIs" dxfId="8603" priority="2178" stopIfTrue="1" operator="between">
      <formula>5.1</formula>
      <formula>13</formula>
    </cfRule>
    <cfRule type="cellIs" dxfId="8602" priority="2179" stopIfTrue="1" operator="between">
      <formula>0</formula>
      <formula>5</formula>
    </cfRule>
    <cfRule type="containsBlanks" dxfId="8601" priority="2180" stopIfTrue="1">
      <formula>LEN(TRIM(E63))=0</formula>
    </cfRule>
  </conditionalFormatting>
  <conditionalFormatting sqref="Q64">
    <cfRule type="containsBlanks" dxfId="8600" priority="2153" stopIfTrue="1">
      <formula>LEN(TRIM(Q64))=0</formula>
    </cfRule>
    <cfRule type="cellIs" dxfId="8599" priority="2154" stopIfTrue="1" operator="between">
      <formula>80.1</formula>
      <formula>100</formula>
    </cfRule>
    <cfRule type="cellIs" dxfId="8598" priority="2155" stopIfTrue="1" operator="between">
      <formula>35.1</formula>
      <formula>80</formula>
    </cfRule>
    <cfRule type="cellIs" dxfId="8597" priority="2156" stopIfTrue="1" operator="between">
      <formula>14.1</formula>
      <formula>35</formula>
    </cfRule>
    <cfRule type="cellIs" dxfId="8596" priority="2157" stopIfTrue="1" operator="between">
      <formula>5.1</formula>
      <formula>14</formula>
    </cfRule>
    <cfRule type="cellIs" dxfId="8595" priority="2158" stopIfTrue="1" operator="between">
      <formula>0</formula>
      <formula>5</formula>
    </cfRule>
    <cfRule type="containsBlanks" dxfId="8594" priority="2159" stopIfTrue="1">
      <formula>LEN(TRIM(Q64))=0</formula>
    </cfRule>
  </conditionalFormatting>
  <conditionalFormatting sqref="E64:J64">
    <cfRule type="containsBlanks" dxfId="8593" priority="2146" stopIfTrue="1">
      <formula>LEN(TRIM(E64))=0</formula>
    </cfRule>
    <cfRule type="cellIs" dxfId="8592" priority="2147" stopIfTrue="1" operator="between">
      <formula>79.1</formula>
      <formula>100</formula>
    </cfRule>
    <cfRule type="cellIs" dxfId="8591" priority="2148" stopIfTrue="1" operator="between">
      <formula>34.1</formula>
      <formula>79</formula>
    </cfRule>
    <cfRule type="cellIs" dxfId="8590" priority="2149" stopIfTrue="1" operator="between">
      <formula>13.1</formula>
      <formula>34</formula>
    </cfRule>
    <cfRule type="cellIs" dxfId="8589" priority="2150" stopIfTrue="1" operator="between">
      <formula>5.1</formula>
      <formula>13</formula>
    </cfRule>
    <cfRule type="cellIs" dxfId="8588" priority="2151" stopIfTrue="1" operator="between">
      <formula>0</formula>
      <formula>5</formula>
    </cfRule>
    <cfRule type="containsBlanks" dxfId="8587" priority="2152" stopIfTrue="1">
      <formula>LEN(TRIM(E64))=0</formula>
    </cfRule>
  </conditionalFormatting>
  <conditionalFormatting sqref="Q65">
    <cfRule type="containsBlanks" dxfId="8586" priority="2139" stopIfTrue="1">
      <formula>LEN(TRIM(Q65))=0</formula>
    </cfRule>
    <cfRule type="cellIs" dxfId="8585" priority="2140" stopIfTrue="1" operator="between">
      <formula>80.1</formula>
      <formula>100</formula>
    </cfRule>
    <cfRule type="cellIs" dxfId="8584" priority="2141" stopIfTrue="1" operator="between">
      <formula>35.1</formula>
      <formula>80</formula>
    </cfRule>
    <cfRule type="cellIs" dxfId="8583" priority="2142" stopIfTrue="1" operator="between">
      <formula>14.1</formula>
      <formula>35</formula>
    </cfRule>
    <cfRule type="cellIs" dxfId="8582" priority="2143" stopIfTrue="1" operator="between">
      <formula>5.1</formula>
      <formula>14</formula>
    </cfRule>
    <cfRule type="cellIs" dxfId="8581" priority="2144" stopIfTrue="1" operator="between">
      <formula>0</formula>
      <formula>5</formula>
    </cfRule>
    <cfRule type="containsBlanks" dxfId="8580" priority="2145" stopIfTrue="1">
      <formula>LEN(TRIM(Q65))=0</formula>
    </cfRule>
  </conditionalFormatting>
  <conditionalFormatting sqref="E65:J65">
    <cfRule type="containsBlanks" dxfId="8579" priority="2132" stopIfTrue="1">
      <formula>LEN(TRIM(E65))=0</formula>
    </cfRule>
    <cfRule type="cellIs" dxfId="8578" priority="2133" stopIfTrue="1" operator="between">
      <formula>79.1</formula>
      <formula>100</formula>
    </cfRule>
    <cfRule type="cellIs" dxfId="8577" priority="2134" stopIfTrue="1" operator="between">
      <formula>34.1</formula>
      <formula>79</formula>
    </cfRule>
    <cfRule type="cellIs" dxfId="8576" priority="2135" stopIfTrue="1" operator="between">
      <formula>13.1</formula>
      <formula>34</formula>
    </cfRule>
    <cfRule type="cellIs" dxfId="8575" priority="2136" stopIfTrue="1" operator="between">
      <formula>5.1</formula>
      <formula>13</formula>
    </cfRule>
    <cfRule type="cellIs" dxfId="8574" priority="2137" stopIfTrue="1" operator="between">
      <formula>0</formula>
      <formula>5</formula>
    </cfRule>
    <cfRule type="containsBlanks" dxfId="8573" priority="2138" stopIfTrue="1">
      <formula>LEN(TRIM(E65))=0</formula>
    </cfRule>
  </conditionalFormatting>
  <conditionalFormatting sqref="E42:Q42">
    <cfRule type="containsBlanks" dxfId="8572" priority="2125" stopIfTrue="1">
      <formula>LEN(TRIM(E42))=0</formula>
    </cfRule>
    <cfRule type="cellIs" dxfId="8571" priority="2126" stopIfTrue="1" operator="between">
      <formula>80.1</formula>
      <formula>100</formula>
    </cfRule>
    <cfRule type="cellIs" dxfId="8570" priority="2127" stopIfTrue="1" operator="between">
      <formula>35.1</formula>
      <formula>80</formula>
    </cfRule>
    <cfRule type="cellIs" dxfId="8569" priority="2128" stopIfTrue="1" operator="between">
      <formula>14.1</formula>
      <formula>35</formula>
    </cfRule>
    <cfRule type="cellIs" dxfId="8568" priority="2129" stopIfTrue="1" operator="between">
      <formula>5.1</formula>
      <formula>14</formula>
    </cfRule>
    <cfRule type="cellIs" dxfId="8567" priority="2130" stopIfTrue="1" operator="between">
      <formula>0</formula>
      <formula>5</formula>
    </cfRule>
    <cfRule type="containsBlanks" dxfId="8566" priority="2131" stopIfTrue="1">
      <formula>LEN(TRIM(E42))=0</formula>
    </cfRule>
  </conditionalFormatting>
  <conditionalFormatting sqref="P75:Q76">
    <cfRule type="containsBlanks" dxfId="8565" priority="2118" stopIfTrue="1">
      <formula>LEN(TRIM(P75))=0</formula>
    </cfRule>
    <cfRule type="cellIs" dxfId="8564" priority="2119" stopIfTrue="1" operator="between">
      <formula>80.1</formula>
      <formula>100</formula>
    </cfRule>
    <cfRule type="cellIs" dxfId="8563" priority="2120" stopIfTrue="1" operator="between">
      <formula>35.1</formula>
      <formula>80</formula>
    </cfRule>
    <cfRule type="cellIs" dxfId="8562" priority="2121" stopIfTrue="1" operator="between">
      <formula>14.1</formula>
      <formula>35</formula>
    </cfRule>
    <cfRule type="cellIs" dxfId="8561" priority="2122" stopIfTrue="1" operator="between">
      <formula>5.1</formula>
      <formula>14</formula>
    </cfRule>
    <cfRule type="cellIs" dxfId="8560" priority="2123" stopIfTrue="1" operator="between">
      <formula>0</formula>
      <formula>5</formula>
    </cfRule>
    <cfRule type="containsBlanks" dxfId="8559" priority="2124" stopIfTrue="1">
      <formula>LEN(TRIM(P75))=0</formula>
    </cfRule>
  </conditionalFormatting>
  <conditionalFormatting sqref="E75:J76">
    <cfRule type="containsBlanks" dxfId="8558" priority="2111" stopIfTrue="1">
      <formula>LEN(TRIM(E75))=0</formula>
    </cfRule>
    <cfRule type="cellIs" dxfId="8557" priority="2112" stopIfTrue="1" operator="between">
      <formula>79.1</formula>
      <formula>100</formula>
    </cfRule>
    <cfRule type="cellIs" dxfId="8556" priority="2113" stopIfTrue="1" operator="between">
      <formula>34.1</formula>
      <formula>79</formula>
    </cfRule>
    <cfRule type="cellIs" dxfId="8555" priority="2114" stopIfTrue="1" operator="between">
      <formula>13.1</formula>
      <formula>34</formula>
    </cfRule>
    <cfRule type="cellIs" dxfId="8554" priority="2115" stopIfTrue="1" operator="between">
      <formula>5.1</formula>
      <formula>13</formula>
    </cfRule>
    <cfRule type="cellIs" dxfId="8553" priority="2116" stopIfTrue="1" operator="between">
      <formula>0</formula>
      <formula>5</formula>
    </cfRule>
    <cfRule type="containsBlanks" dxfId="8552" priority="2117" stopIfTrue="1">
      <formula>LEN(TRIM(E75))=0</formula>
    </cfRule>
  </conditionalFormatting>
  <conditionalFormatting sqref="Q51">
    <cfRule type="containsBlanks" dxfId="8551" priority="2104" stopIfTrue="1">
      <formula>LEN(TRIM(Q51))=0</formula>
    </cfRule>
    <cfRule type="cellIs" dxfId="8550" priority="2105" stopIfTrue="1" operator="between">
      <formula>80.1</formula>
      <formula>100</formula>
    </cfRule>
    <cfRule type="cellIs" dxfId="8549" priority="2106" stopIfTrue="1" operator="between">
      <formula>35.1</formula>
      <formula>80</formula>
    </cfRule>
    <cfRule type="cellIs" dxfId="8548" priority="2107" stopIfTrue="1" operator="between">
      <formula>14.1</formula>
      <formula>35</formula>
    </cfRule>
    <cfRule type="cellIs" dxfId="8547" priority="2108" stopIfTrue="1" operator="between">
      <formula>5.1</formula>
      <formula>14</formula>
    </cfRule>
    <cfRule type="cellIs" dxfId="8546" priority="2109" stopIfTrue="1" operator="between">
      <formula>0</formula>
      <formula>5</formula>
    </cfRule>
    <cfRule type="containsBlanks" dxfId="8545" priority="2110" stopIfTrue="1">
      <formula>LEN(TRIM(Q51))=0</formula>
    </cfRule>
  </conditionalFormatting>
  <conditionalFormatting sqref="E51:P51">
    <cfRule type="containsBlanks" dxfId="8544" priority="2097" stopIfTrue="1">
      <formula>LEN(TRIM(E51))=0</formula>
    </cfRule>
    <cfRule type="cellIs" dxfId="8543" priority="2098" stopIfTrue="1" operator="between">
      <formula>79.1</formula>
      <formula>100</formula>
    </cfRule>
    <cfRule type="cellIs" dxfId="8542" priority="2099" stopIfTrue="1" operator="between">
      <formula>34.1</formula>
      <formula>79</formula>
    </cfRule>
    <cfRule type="cellIs" dxfId="8541" priority="2100" stopIfTrue="1" operator="between">
      <formula>13.1</formula>
      <formula>34</formula>
    </cfRule>
    <cfRule type="cellIs" dxfId="8540" priority="2101" stopIfTrue="1" operator="between">
      <formula>5.1</formula>
      <formula>13</formula>
    </cfRule>
    <cfRule type="cellIs" dxfId="8539" priority="2102" stopIfTrue="1" operator="between">
      <formula>0</formula>
      <formula>5</formula>
    </cfRule>
    <cfRule type="containsBlanks" dxfId="8538" priority="2103" stopIfTrue="1">
      <formula>LEN(TRIM(E51))=0</formula>
    </cfRule>
  </conditionalFormatting>
  <conditionalFormatting sqref="Q88 Q97">
    <cfRule type="containsBlanks" dxfId="8537" priority="2067" stopIfTrue="1">
      <formula>LEN(TRIM(Q88))=0</formula>
    </cfRule>
    <cfRule type="cellIs" dxfId="8536" priority="2068" stopIfTrue="1" operator="between">
      <formula>80.1</formula>
      <formula>100</formula>
    </cfRule>
    <cfRule type="cellIs" dxfId="8535" priority="2069" stopIfTrue="1" operator="between">
      <formula>35.1</formula>
      <formula>80</formula>
    </cfRule>
    <cfRule type="cellIs" dxfId="8534" priority="2070" stopIfTrue="1" operator="between">
      <formula>14.1</formula>
      <formula>35</formula>
    </cfRule>
    <cfRule type="cellIs" dxfId="8533" priority="2071" stopIfTrue="1" operator="between">
      <formula>5.1</formula>
      <formula>14</formula>
    </cfRule>
    <cfRule type="cellIs" dxfId="8532" priority="2072" stopIfTrue="1" operator="between">
      <formula>0</formula>
      <formula>5</formula>
    </cfRule>
    <cfRule type="containsBlanks" dxfId="8531" priority="2073" stopIfTrue="1">
      <formula>LEN(TRIM(Q88))=0</formula>
    </cfRule>
  </conditionalFormatting>
  <conditionalFormatting sqref="Q20">
    <cfRule type="containsBlanks" dxfId="8530" priority="2046" stopIfTrue="1">
      <formula>LEN(TRIM(Q20))=0</formula>
    </cfRule>
    <cfRule type="cellIs" dxfId="8529" priority="2047" stopIfTrue="1" operator="between">
      <formula>80.1</formula>
      <formula>100</formula>
    </cfRule>
    <cfRule type="cellIs" dxfId="8528" priority="2048" stopIfTrue="1" operator="between">
      <formula>35.1</formula>
      <formula>80</formula>
    </cfRule>
    <cfRule type="cellIs" dxfId="8527" priority="2049" stopIfTrue="1" operator="between">
      <formula>14.1</formula>
      <formula>35</formula>
    </cfRule>
    <cfRule type="cellIs" dxfId="8526" priority="2050" stopIfTrue="1" operator="between">
      <formula>5.1</formula>
      <formula>14</formula>
    </cfRule>
    <cfRule type="cellIs" dxfId="8525" priority="2051" stopIfTrue="1" operator="between">
      <formula>0</formula>
      <formula>5</formula>
    </cfRule>
    <cfRule type="containsBlanks" dxfId="8524" priority="2052" stopIfTrue="1">
      <formula>LEN(TRIM(Q20))=0</formula>
    </cfRule>
  </conditionalFormatting>
  <conditionalFormatting sqref="Q22">
    <cfRule type="containsBlanks" dxfId="8523" priority="2032" stopIfTrue="1">
      <formula>LEN(TRIM(Q22))=0</formula>
    </cfRule>
    <cfRule type="cellIs" dxfId="8522" priority="2033" stopIfTrue="1" operator="between">
      <formula>80.1</formula>
      <formula>100</formula>
    </cfRule>
    <cfRule type="cellIs" dxfId="8521" priority="2034" stopIfTrue="1" operator="between">
      <formula>35.1</formula>
      <formula>80</formula>
    </cfRule>
    <cfRule type="cellIs" dxfId="8520" priority="2035" stopIfTrue="1" operator="between">
      <formula>14.1</formula>
      <formula>35</formula>
    </cfRule>
    <cfRule type="cellIs" dxfId="8519" priority="2036" stopIfTrue="1" operator="between">
      <formula>5.1</formula>
      <formula>14</formula>
    </cfRule>
    <cfRule type="cellIs" dxfId="8518" priority="2037" stopIfTrue="1" operator="between">
      <formula>0</formula>
      <formula>5</formula>
    </cfRule>
    <cfRule type="containsBlanks" dxfId="8517" priority="2038" stopIfTrue="1">
      <formula>LEN(TRIM(Q22))=0</formula>
    </cfRule>
  </conditionalFormatting>
  <conditionalFormatting sqref="Q26">
    <cfRule type="containsBlanks" dxfId="8516" priority="2022" stopIfTrue="1">
      <formula>LEN(TRIM(Q26))=0</formula>
    </cfRule>
    <cfRule type="cellIs" dxfId="8515" priority="2023" stopIfTrue="1" operator="between">
      <formula>80.1</formula>
      <formula>100</formula>
    </cfRule>
    <cfRule type="cellIs" dxfId="8514" priority="2024" stopIfTrue="1" operator="between">
      <formula>35.1</formula>
      <formula>80</formula>
    </cfRule>
    <cfRule type="cellIs" dxfId="8513" priority="2025" stopIfTrue="1" operator="between">
      <formula>14.1</formula>
      <formula>35</formula>
    </cfRule>
    <cfRule type="cellIs" dxfId="8512" priority="2026" stopIfTrue="1" operator="between">
      <formula>5.1</formula>
      <formula>14</formula>
    </cfRule>
    <cfRule type="cellIs" dxfId="8511" priority="2027" stopIfTrue="1" operator="between">
      <formula>0</formula>
      <formula>5</formula>
    </cfRule>
    <cfRule type="containsBlanks" dxfId="8510" priority="2028" stopIfTrue="1">
      <formula>LEN(TRIM(Q26))=0</formula>
    </cfRule>
  </conditionalFormatting>
  <conditionalFormatting sqref="R211:R212">
    <cfRule type="cellIs" dxfId="8509" priority="1986" stopIfTrue="1" operator="equal">
      <formula>"NO"</formula>
    </cfRule>
  </conditionalFormatting>
  <conditionalFormatting sqref="R211:R212">
    <cfRule type="cellIs" dxfId="8508" priority="1985" stopIfTrue="1" operator="equal">
      <formula>"NO"</formula>
    </cfRule>
  </conditionalFormatting>
  <conditionalFormatting sqref="R211:R212">
    <cfRule type="cellIs" dxfId="8507" priority="1984" stopIfTrue="1" operator="equal">
      <formula>"NO"</formula>
    </cfRule>
  </conditionalFormatting>
  <conditionalFormatting sqref="S212">
    <cfRule type="cellIs" dxfId="8506" priority="1983" stopIfTrue="1" operator="equal">
      <formula>"INVIABLE SANITARIAMENTE"</formula>
    </cfRule>
  </conditionalFormatting>
  <conditionalFormatting sqref="S212">
    <cfRule type="containsText" dxfId="8505" priority="1978" stopIfTrue="1" operator="containsText" text="INVIABLE SANITARIAMENTE">
      <formula>NOT(ISERROR(SEARCH("INVIABLE SANITARIAMENTE",S212)))</formula>
    </cfRule>
    <cfRule type="containsText" dxfId="8504" priority="1979" stopIfTrue="1" operator="containsText" text="ALTO">
      <formula>NOT(ISERROR(SEARCH("ALTO",S212)))</formula>
    </cfRule>
    <cfRule type="containsText" dxfId="8503" priority="1980" stopIfTrue="1" operator="containsText" text="MEDIO">
      <formula>NOT(ISERROR(SEARCH("MEDIO",S212)))</formula>
    </cfRule>
    <cfRule type="containsText" dxfId="8502" priority="1981" stopIfTrue="1" operator="containsText" text="BAJO">
      <formula>NOT(ISERROR(SEARCH("BAJO",S212)))</formula>
    </cfRule>
    <cfRule type="containsText" dxfId="8501" priority="1982" stopIfTrue="1" operator="containsText" text="SIN RIESGO">
      <formula>NOT(ISERROR(SEARCH("SIN RIESGO",S212)))</formula>
    </cfRule>
  </conditionalFormatting>
  <conditionalFormatting sqref="S212">
    <cfRule type="containsText" dxfId="8500" priority="1977" stopIfTrue="1" operator="containsText" text="SIN RIESGO">
      <formula>NOT(ISERROR(SEARCH("SIN RIESGO",S212)))</formula>
    </cfRule>
  </conditionalFormatting>
  <conditionalFormatting sqref="Q211:Q212">
    <cfRule type="containsBlanks" dxfId="8499" priority="1970" stopIfTrue="1">
      <formula>LEN(TRIM(Q211))=0</formula>
    </cfRule>
    <cfRule type="cellIs" dxfId="8498" priority="1971" stopIfTrue="1" operator="between">
      <formula>80.1</formula>
      <formula>100</formula>
    </cfRule>
    <cfRule type="cellIs" dxfId="8497" priority="1972" stopIfTrue="1" operator="between">
      <formula>35.1</formula>
      <formula>80</formula>
    </cfRule>
    <cfRule type="cellIs" dxfId="8496" priority="1973" stopIfTrue="1" operator="between">
      <formula>14.1</formula>
      <formula>35</formula>
    </cfRule>
    <cfRule type="cellIs" dxfId="8495" priority="1974" stopIfTrue="1" operator="between">
      <formula>5.1</formula>
      <formula>14</formula>
    </cfRule>
    <cfRule type="cellIs" dxfId="8494" priority="1975" stopIfTrue="1" operator="between">
      <formula>0</formula>
      <formula>5</formula>
    </cfRule>
    <cfRule type="containsBlanks" dxfId="8493" priority="1976" stopIfTrue="1">
      <formula>LEN(TRIM(Q211))=0</formula>
    </cfRule>
  </conditionalFormatting>
  <conditionalFormatting sqref="R213">
    <cfRule type="cellIs" dxfId="8492" priority="1969" stopIfTrue="1" operator="equal">
      <formula>"NO"</formula>
    </cfRule>
  </conditionalFormatting>
  <conditionalFormatting sqref="R213">
    <cfRule type="cellIs" dxfId="8491" priority="1968" stopIfTrue="1" operator="equal">
      <formula>"NO"</formula>
    </cfRule>
  </conditionalFormatting>
  <conditionalFormatting sqref="R213">
    <cfRule type="cellIs" dxfId="8490" priority="1967" stopIfTrue="1" operator="equal">
      <formula>"NO"</formula>
    </cfRule>
  </conditionalFormatting>
  <conditionalFormatting sqref="S213">
    <cfRule type="cellIs" dxfId="8489" priority="1966" stopIfTrue="1" operator="equal">
      <formula>"INVIABLE SANITARIAMENTE"</formula>
    </cfRule>
  </conditionalFormatting>
  <conditionalFormatting sqref="S213">
    <cfRule type="containsText" dxfId="8488" priority="1961" stopIfTrue="1" operator="containsText" text="INVIABLE SANITARIAMENTE">
      <formula>NOT(ISERROR(SEARCH("INVIABLE SANITARIAMENTE",S213)))</formula>
    </cfRule>
    <cfRule type="containsText" dxfId="8487" priority="1962" stopIfTrue="1" operator="containsText" text="ALTO">
      <formula>NOT(ISERROR(SEARCH("ALTO",S213)))</formula>
    </cfRule>
    <cfRule type="containsText" dxfId="8486" priority="1963" stopIfTrue="1" operator="containsText" text="MEDIO">
      <formula>NOT(ISERROR(SEARCH("MEDIO",S213)))</formula>
    </cfRule>
    <cfRule type="containsText" dxfId="8485" priority="1964" stopIfTrue="1" operator="containsText" text="BAJO">
      <formula>NOT(ISERROR(SEARCH("BAJO",S213)))</formula>
    </cfRule>
    <cfRule type="containsText" dxfId="8484" priority="1965" stopIfTrue="1" operator="containsText" text="SIN RIESGO">
      <formula>NOT(ISERROR(SEARCH("SIN RIESGO",S213)))</formula>
    </cfRule>
  </conditionalFormatting>
  <conditionalFormatting sqref="S213">
    <cfRule type="containsText" dxfId="8483" priority="1960" stopIfTrue="1" operator="containsText" text="SIN RIESGO">
      <formula>NOT(ISERROR(SEARCH("SIN RIESGO",S213)))</formula>
    </cfRule>
  </conditionalFormatting>
  <conditionalFormatting sqref="Q213">
    <cfRule type="containsBlanks" dxfId="8482" priority="1953" stopIfTrue="1">
      <formula>LEN(TRIM(Q213))=0</formula>
    </cfRule>
    <cfRule type="cellIs" dxfId="8481" priority="1954" stopIfTrue="1" operator="between">
      <formula>80.1</formula>
      <formula>100</formula>
    </cfRule>
    <cfRule type="cellIs" dxfId="8480" priority="1955" stopIfTrue="1" operator="between">
      <formula>35.1</formula>
      <formula>80</formula>
    </cfRule>
    <cfRule type="cellIs" dxfId="8479" priority="1956" stopIfTrue="1" operator="between">
      <formula>14.1</formula>
      <formula>35</formula>
    </cfRule>
    <cfRule type="cellIs" dxfId="8478" priority="1957" stopIfTrue="1" operator="between">
      <formula>5.1</formula>
      <formula>14</formula>
    </cfRule>
    <cfRule type="cellIs" dxfId="8477" priority="1958" stopIfTrue="1" operator="between">
      <formula>0</formula>
      <formula>5</formula>
    </cfRule>
    <cfRule type="containsBlanks" dxfId="8476" priority="1959" stopIfTrue="1">
      <formula>LEN(TRIM(Q213))=0</formula>
    </cfRule>
  </conditionalFormatting>
  <conditionalFormatting sqref="S217:S224">
    <cfRule type="cellIs" dxfId="8475" priority="1949" stopIfTrue="1" operator="equal">
      <formula>"INVIABLE SANITARIAMENTE"</formula>
    </cfRule>
  </conditionalFormatting>
  <conditionalFormatting sqref="S217:S224">
    <cfRule type="containsText" dxfId="8474" priority="1944" stopIfTrue="1" operator="containsText" text="INVIABLE SANITARIAMENTE">
      <formula>NOT(ISERROR(SEARCH("INVIABLE SANITARIAMENTE",S217)))</formula>
    </cfRule>
    <cfRule type="containsText" dxfId="8473" priority="1945" stopIfTrue="1" operator="containsText" text="ALTO">
      <formula>NOT(ISERROR(SEARCH("ALTO",S217)))</formula>
    </cfRule>
    <cfRule type="containsText" dxfId="8472" priority="1946" stopIfTrue="1" operator="containsText" text="MEDIO">
      <formula>NOT(ISERROR(SEARCH("MEDIO",S217)))</formula>
    </cfRule>
    <cfRule type="containsText" dxfId="8471" priority="1947" stopIfTrue="1" operator="containsText" text="BAJO">
      <formula>NOT(ISERROR(SEARCH("BAJO",S217)))</formula>
    </cfRule>
    <cfRule type="containsText" dxfId="8470" priority="1948" stopIfTrue="1" operator="containsText" text="SIN RIESGO">
      <formula>NOT(ISERROR(SEARCH("SIN RIESGO",S217)))</formula>
    </cfRule>
  </conditionalFormatting>
  <conditionalFormatting sqref="S217:S224">
    <cfRule type="containsText" dxfId="8469" priority="1943" stopIfTrue="1" operator="containsText" text="SIN RIESGO">
      <formula>NOT(ISERROR(SEARCH("SIN RIESGO",S217)))</formula>
    </cfRule>
  </conditionalFormatting>
  <conditionalFormatting sqref="E95:P95">
    <cfRule type="containsBlanks" dxfId="8468" priority="1929" stopIfTrue="1">
      <formula>LEN(TRIM(E95))=0</formula>
    </cfRule>
    <cfRule type="cellIs" dxfId="8467" priority="1930" stopIfTrue="1" operator="between">
      <formula>79.1</formula>
      <formula>100</formula>
    </cfRule>
    <cfRule type="cellIs" dxfId="8466" priority="1931" stopIfTrue="1" operator="between">
      <formula>34.1</formula>
      <formula>79</formula>
    </cfRule>
    <cfRule type="cellIs" dxfId="8465" priority="1932" stopIfTrue="1" operator="between">
      <formula>13.1</formula>
      <formula>34</formula>
    </cfRule>
    <cfRule type="cellIs" dxfId="8464" priority="1933" stopIfTrue="1" operator="between">
      <formula>5.1</formula>
      <formula>13</formula>
    </cfRule>
    <cfRule type="cellIs" dxfId="8463" priority="1934" stopIfTrue="1" operator="between">
      <formula>0</formula>
      <formula>5</formula>
    </cfRule>
    <cfRule type="containsBlanks" dxfId="8462" priority="1935" stopIfTrue="1">
      <formula>LEN(TRIM(E95))=0</formula>
    </cfRule>
  </conditionalFormatting>
  <conditionalFormatting sqref="Q95">
    <cfRule type="containsBlanks" dxfId="8461" priority="1912" stopIfTrue="1">
      <formula>LEN(TRIM(Q95))=0</formula>
    </cfRule>
    <cfRule type="cellIs" dxfId="8460" priority="1913" stopIfTrue="1" operator="between">
      <formula>80.1</formula>
      <formula>100</formula>
    </cfRule>
    <cfRule type="cellIs" dxfId="8459" priority="1914" stopIfTrue="1" operator="between">
      <formula>35.1</formula>
      <formula>80</formula>
    </cfRule>
    <cfRule type="cellIs" dxfId="8458" priority="1915" stopIfTrue="1" operator="between">
      <formula>14.1</formula>
      <formula>35</formula>
    </cfRule>
    <cfRule type="cellIs" dxfId="8457" priority="1916" stopIfTrue="1" operator="between">
      <formula>5.1</formula>
      <formula>14</formula>
    </cfRule>
    <cfRule type="cellIs" dxfId="8456" priority="1917" stopIfTrue="1" operator="between">
      <formula>0</formula>
      <formula>5</formula>
    </cfRule>
    <cfRule type="containsBlanks" dxfId="8455" priority="1918" stopIfTrue="1">
      <formula>LEN(TRIM(Q95))=0</formula>
    </cfRule>
  </conditionalFormatting>
  <conditionalFormatting sqref="Q96">
    <cfRule type="containsBlanks" dxfId="8454" priority="1895" stopIfTrue="1">
      <formula>LEN(TRIM(Q96))=0</formula>
    </cfRule>
    <cfRule type="cellIs" dxfId="8453" priority="1896" stopIfTrue="1" operator="between">
      <formula>80.1</formula>
      <formula>100</formula>
    </cfRule>
    <cfRule type="cellIs" dxfId="8452" priority="1897" stopIfTrue="1" operator="between">
      <formula>35.1</formula>
      <formula>80</formula>
    </cfRule>
    <cfRule type="cellIs" dxfId="8451" priority="1898" stopIfTrue="1" operator="between">
      <formula>14.1</formula>
      <formula>35</formula>
    </cfRule>
    <cfRule type="cellIs" dxfId="8450" priority="1899" stopIfTrue="1" operator="between">
      <formula>5.1</formula>
      <formula>14</formula>
    </cfRule>
    <cfRule type="cellIs" dxfId="8449" priority="1900" stopIfTrue="1" operator="between">
      <formula>0</formula>
      <formula>5</formula>
    </cfRule>
    <cfRule type="containsBlanks" dxfId="8448" priority="1901" stopIfTrue="1">
      <formula>LEN(TRIM(Q96))=0</formula>
    </cfRule>
  </conditionalFormatting>
  <conditionalFormatting sqref="L96:P96">
    <cfRule type="containsBlanks" dxfId="8447" priority="1888" stopIfTrue="1">
      <formula>LEN(TRIM(L96))=0</formula>
    </cfRule>
    <cfRule type="cellIs" dxfId="8446" priority="1889" stopIfTrue="1" operator="between">
      <formula>79.1</formula>
      <formula>100</formula>
    </cfRule>
    <cfRule type="cellIs" dxfId="8445" priority="1890" stopIfTrue="1" operator="between">
      <formula>34.1</formula>
      <formula>79</formula>
    </cfRule>
    <cfRule type="cellIs" dxfId="8444" priority="1891" stopIfTrue="1" operator="between">
      <formula>13.1</formula>
      <formula>34</formula>
    </cfRule>
    <cfRule type="cellIs" dxfId="8443" priority="1892" stopIfTrue="1" operator="between">
      <formula>5.1</formula>
      <formula>13</formula>
    </cfRule>
    <cfRule type="cellIs" dxfId="8442" priority="1893" stopIfTrue="1" operator="between">
      <formula>0</formula>
      <formula>5</formula>
    </cfRule>
    <cfRule type="containsBlanks" dxfId="8441" priority="1894" stopIfTrue="1">
      <formula>LEN(TRIM(L96))=0</formula>
    </cfRule>
  </conditionalFormatting>
  <conditionalFormatting sqref="N89:P89">
    <cfRule type="containsBlanks" dxfId="8440" priority="1864" stopIfTrue="1">
      <formula>LEN(TRIM(N89))=0</formula>
    </cfRule>
    <cfRule type="cellIs" dxfId="8439" priority="1865" stopIfTrue="1" operator="between">
      <formula>79.1</formula>
      <formula>100</formula>
    </cfRule>
    <cfRule type="cellIs" dxfId="8438" priority="1866" stopIfTrue="1" operator="between">
      <formula>34.1</formula>
      <formula>79</formula>
    </cfRule>
    <cfRule type="cellIs" dxfId="8437" priority="1867" stopIfTrue="1" operator="between">
      <formula>13.1</formula>
      <formula>34</formula>
    </cfRule>
    <cfRule type="cellIs" dxfId="8436" priority="1868" stopIfTrue="1" operator="between">
      <formula>5.1</formula>
      <formula>13</formula>
    </cfRule>
    <cfRule type="cellIs" dxfId="8435" priority="1869" stopIfTrue="1" operator="between">
      <formula>0</formula>
      <formula>5</formula>
    </cfRule>
    <cfRule type="containsBlanks" dxfId="8434" priority="1870" stopIfTrue="1">
      <formula>LEN(TRIM(N89))=0</formula>
    </cfRule>
  </conditionalFormatting>
  <conditionalFormatting sqref="Q89">
    <cfRule type="containsBlanks" dxfId="8433" priority="1881" stopIfTrue="1">
      <formula>LEN(TRIM(Q89))=0</formula>
    </cfRule>
    <cfRule type="cellIs" dxfId="8432" priority="1882" stopIfTrue="1" operator="between">
      <formula>80.1</formula>
      <formula>100</formula>
    </cfRule>
    <cfRule type="cellIs" dxfId="8431" priority="1883" stopIfTrue="1" operator="between">
      <formula>35.1</formula>
      <formula>80</formula>
    </cfRule>
    <cfRule type="cellIs" dxfId="8430" priority="1884" stopIfTrue="1" operator="between">
      <formula>14.1</formula>
      <formula>35</formula>
    </cfRule>
    <cfRule type="cellIs" dxfId="8429" priority="1885" stopIfTrue="1" operator="between">
      <formula>5.1</formula>
      <formula>14</formula>
    </cfRule>
    <cfRule type="cellIs" dxfId="8428" priority="1886" stopIfTrue="1" operator="between">
      <formula>0</formula>
      <formula>5</formula>
    </cfRule>
    <cfRule type="containsBlanks" dxfId="8427" priority="1887" stopIfTrue="1">
      <formula>LEN(TRIM(Q89))=0</formula>
    </cfRule>
  </conditionalFormatting>
  <conditionalFormatting sqref="R84:R99">
    <cfRule type="cellIs" dxfId="8426" priority="1880" stopIfTrue="1" operator="equal">
      <formula>"NO"</formula>
    </cfRule>
  </conditionalFormatting>
  <conditionalFormatting sqref="R84:R99">
    <cfRule type="cellIs" dxfId="8425" priority="1879" stopIfTrue="1" operator="equal">
      <formula>"NO"</formula>
    </cfRule>
  </conditionalFormatting>
  <conditionalFormatting sqref="R84:R99">
    <cfRule type="cellIs" dxfId="8424" priority="1878" stopIfTrue="1" operator="equal">
      <formula>"NO"</formula>
    </cfRule>
  </conditionalFormatting>
  <conditionalFormatting sqref="Q226:Q227">
    <cfRule type="containsBlanks" dxfId="8423" priority="1823" stopIfTrue="1">
      <formula>LEN(TRIM(Q226))=0</formula>
    </cfRule>
    <cfRule type="cellIs" dxfId="8422" priority="1824" stopIfTrue="1" operator="between">
      <formula>80.1</formula>
      <formula>100</formula>
    </cfRule>
    <cfRule type="cellIs" dxfId="8421" priority="1825" stopIfTrue="1" operator="between">
      <formula>35.1</formula>
      <formula>80</formula>
    </cfRule>
    <cfRule type="cellIs" dxfId="8420" priority="1826" stopIfTrue="1" operator="between">
      <formula>14.1</formula>
      <formula>35</formula>
    </cfRule>
    <cfRule type="cellIs" dxfId="8419" priority="1827" stopIfTrue="1" operator="between">
      <formula>5.1</formula>
      <formula>14</formula>
    </cfRule>
    <cfRule type="cellIs" dxfId="8418" priority="1828" stopIfTrue="1" operator="between">
      <formula>0</formula>
      <formula>5</formula>
    </cfRule>
    <cfRule type="containsBlanks" dxfId="8417" priority="1829" stopIfTrue="1">
      <formula>LEN(TRIM(Q226))=0</formula>
    </cfRule>
  </conditionalFormatting>
  <conditionalFormatting sqref="Q230:Q231">
    <cfRule type="containsBlanks" dxfId="8416" priority="1789" stopIfTrue="1">
      <formula>LEN(TRIM(Q230))=0</formula>
    </cfRule>
    <cfRule type="cellIs" dxfId="8415" priority="1790" stopIfTrue="1" operator="between">
      <formula>80.1</formula>
      <formula>100</formula>
    </cfRule>
    <cfRule type="cellIs" dxfId="8414" priority="1791" stopIfTrue="1" operator="between">
      <formula>35.1</formula>
      <formula>80</formula>
    </cfRule>
    <cfRule type="cellIs" dxfId="8413" priority="1792" stopIfTrue="1" operator="between">
      <formula>14.1</formula>
      <formula>35</formula>
    </cfRule>
    <cfRule type="cellIs" dxfId="8412" priority="1793" stopIfTrue="1" operator="between">
      <formula>5.1</formula>
      <formula>14</formula>
    </cfRule>
    <cfRule type="cellIs" dxfId="8411" priority="1794" stopIfTrue="1" operator="between">
      <formula>0</formula>
      <formula>5</formula>
    </cfRule>
    <cfRule type="containsBlanks" dxfId="8410" priority="1795" stopIfTrue="1">
      <formula>LEN(TRIM(Q230))=0</formula>
    </cfRule>
  </conditionalFormatting>
  <conditionalFormatting sqref="Q228:Q229">
    <cfRule type="containsBlanks" dxfId="8409" priority="1806" stopIfTrue="1">
      <formula>LEN(TRIM(Q228))=0</formula>
    </cfRule>
    <cfRule type="cellIs" dxfId="8408" priority="1807" stopIfTrue="1" operator="between">
      <formula>80.1</formula>
      <formula>100</formula>
    </cfRule>
    <cfRule type="cellIs" dxfId="8407" priority="1808" stopIfTrue="1" operator="between">
      <formula>35.1</formula>
      <formula>80</formula>
    </cfRule>
    <cfRule type="cellIs" dxfId="8406" priority="1809" stopIfTrue="1" operator="between">
      <formula>14.1</formula>
      <formula>35</formula>
    </cfRule>
    <cfRule type="cellIs" dxfId="8405" priority="1810" stopIfTrue="1" operator="between">
      <formula>5.1</formula>
      <formula>14</formula>
    </cfRule>
    <cfRule type="cellIs" dxfId="8404" priority="1811" stopIfTrue="1" operator="between">
      <formula>0</formula>
      <formula>5</formula>
    </cfRule>
    <cfRule type="containsBlanks" dxfId="8403" priority="1812" stopIfTrue="1">
      <formula>LEN(TRIM(Q228))=0</formula>
    </cfRule>
  </conditionalFormatting>
  <conditionalFormatting sqref="Q232">
    <cfRule type="containsBlanks" dxfId="8402" priority="1772" stopIfTrue="1">
      <formula>LEN(TRIM(Q232))=0</formula>
    </cfRule>
    <cfRule type="cellIs" dxfId="8401" priority="1773" stopIfTrue="1" operator="between">
      <formula>80.1</formula>
      <formula>100</formula>
    </cfRule>
    <cfRule type="cellIs" dxfId="8400" priority="1774" stopIfTrue="1" operator="between">
      <formula>35.1</formula>
      <formula>80</formula>
    </cfRule>
    <cfRule type="cellIs" dxfId="8399" priority="1775" stopIfTrue="1" operator="between">
      <formula>14.1</formula>
      <formula>35</formula>
    </cfRule>
    <cfRule type="cellIs" dxfId="8398" priority="1776" stopIfTrue="1" operator="between">
      <formula>5.1</formula>
      <formula>14</formula>
    </cfRule>
    <cfRule type="cellIs" dxfId="8397" priority="1777" stopIfTrue="1" operator="between">
      <formula>0</formula>
      <formula>5</formula>
    </cfRule>
    <cfRule type="containsBlanks" dxfId="8396" priority="1778" stopIfTrue="1">
      <formula>LEN(TRIM(Q232))=0</formula>
    </cfRule>
  </conditionalFormatting>
  <conditionalFormatting sqref="Q219:Q220">
    <cfRule type="containsBlanks" dxfId="8395" priority="1704" stopIfTrue="1">
      <formula>LEN(TRIM(Q219))=0</formula>
    </cfRule>
    <cfRule type="cellIs" dxfId="8394" priority="1705" stopIfTrue="1" operator="between">
      <formula>80.1</formula>
      <formula>100</formula>
    </cfRule>
    <cfRule type="cellIs" dxfId="8393" priority="1706" stopIfTrue="1" operator="between">
      <formula>35.1</formula>
      <formula>80</formula>
    </cfRule>
    <cfRule type="cellIs" dxfId="8392" priority="1707" stopIfTrue="1" operator="between">
      <formula>14.1</formula>
      <formula>35</formula>
    </cfRule>
    <cfRule type="cellIs" dxfId="8391" priority="1708" stopIfTrue="1" operator="between">
      <formula>5.1</formula>
      <formula>14</formula>
    </cfRule>
    <cfRule type="cellIs" dxfId="8390" priority="1709" stopIfTrue="1" operator="between">
      <formula>0</formula>
      <formula>5</formula>
    </cfRule>
    <cfRule type="containsBlanks" dxfId="8389" priority="1710" stopIfTrue="1">
      <formula>LEN(TRIM(Q219))=0</formula>
    </cfRule>
  </conditionalFormatting>
  <conditionalFormatting sqref="Q217:Q218">
    <cfRule type="containsBlanks" dxfId="8388" priority="1721" stopIfTrue="1">
      <formula>LEN(TRIM(Q217))=0</formula>
    </cfRule>
    <cfRule type="cellIs" dxfId="8387" priority="1722" stopIfTrue="1" operator="between">
      <formula>80.1</formula>
      <formula>100</formula>
    </cfRule>
    <cfRule type="cellIs" dxfId="8386" priority="1723" stopIfTrue="1" operator="between">
      <formula>35.1</formula>
      <formula>80</formula>
    </cfRule>
    <cfRule type="cellIs" dxfId="8385" priority="1724" stopIfTrue="1" operator="between">
      <formula>14.1</formula>
      <formula>35</formula>
    </cfRule>
    <cfRule type="cellIs" dxfId="8384" priority="1725" stopIfTrue="1" operator="between">
      <formula>5.1</formula>
      <formula>14</formula>
    </cfRule>
    <cfRule type="cellIs" dxfId="8383" priority="1726" stopIfTrue="1" operator="between">
      <formula>0</formula>
      <formula>5</formula>
    </cfRule>
    <cfRule type="containsBlanks" dxfId="8382" priority="1727" stopIfTrue="1">
      <formula>LEN(TRIM(Q217))=0</formula>
    </cfRule>
  </conditionalFormatting>
  <conditionalFormatting sqref="Q223:Q224">
    <cfRule type="containsBlanks" dxfId="8381" priority="1670" stopIfTrue="1">
      <formula>LEN(TRIM(Q223))=0</formula>
    </cfRule>
    <cfRule type="cellIs" dxfId="8380" priority="1671" stopIfTrue="1" operator="between">
      <formula>80.1</formula>
      <formula>100</formula>
    </cfRule>
    <cfRule type="cellIs" dxfId="8379" priority="1672" stopIfTrue="1" operator="between">
      <formula>35.1</formula>
      <formula>80</formula>
    </cfRule>
    <cfRule type="cellIs" dxfId="8378" priority="1673" stopIfTrue="1" operator="between">
      <formula>14.1</formula>
      <formula>35</formula>
    </cfRule>
    <cfRule type="cellIs" dxfId="8377" priority="1674" stopIfTrue="1" operator="between">
      <formula>5.1</formula>
      <formula>14</formula>
    </cfRule>
    <cfRule type="cellIs" dxfId="8376" priority="1675" stopIfTrue="1" operator="between">
      <formula>0</formula>
      <formula>5</formula>
    </cfRule>
    <cfRule type="containsBlanks" dxfId="8375" priority="1676" stopIfTrue="1">
      <formula>LEN(TRIM(Q223))=0</formula>
    </cfRule>
  </conditionalFormatting>
  <conditionalFormatting sqref="Q221:Q222">
    <cfRule type="containsBlanks" dxfId="8374" priority="1687" stopIfTrue="1">
      <formula>LEN(TRIM(Q221))=0</formula>
    </cfRule>
    <cfRule type="cellIs" dxfId="8373" priority="1688" stopIfTrue="1" operator="between">
      <formula>80.1</formula>
      <formula>100</formula>
    </cfRule>
    <cfRule type="cellIs" dxfId="8372" priority="1689" stopIfTrue="1" operator="between">
      <formula>35.1</formula>
      <formula>80</formula>
    </cfRule>
    <cfRule type="cellIs" dxfId="8371" priority="1690" stopIfTrue="1" operator="between">
      <formula>14.1</formula>
      <formula>35</formula>
    </cfRule>
    <cfRule type="cellIs" dxfId="8370" priority="1691" stopIfTrue="1" operator="between">
      <formula>5.1</formula>
      <formula>14</formula>
    </cfRule>
    <cfRule type="cellIs" dxfId="8369" priority="1692" stopIfTrue="1" operator="between">
      <formula>0</formula>
      <formula>5</formula>
    </cfRule>
    <cfRule type="containsBlanks" dxfId="8368" priority="1693" stopIfTrue="1">
      <formula>LEN(TRIM(Q221))=0</formula>
    </cfRule>
  </conditionalFormatting>
  <conditionalFormatting sqref="E211:G212 I212:K212 M211:O212 E221:O221">
    <cfRule type="containsBlanks" dxfId="8367" priority="1663" stopIfTrue="1">
      <formula>LEN(TRIM(E211))=0</formula>
    </cfRule>
    <cfRule type="cellIs" dxfId="8366" priority="1664" stopIfTrue="1" operator="between">
      <formula>80.1</formula>
      <formula>100</formula>
    </cfRule>
    <cfRule type="cellIs" dxfId="8365" priority="1665" stopIfTrue="1" operator="between">
      <formula>35.1</formula>
      <formula>80</formula>
    </cfRule>
    <cfRule type="cellIs" dxfId="8364" priority="1666" stopIfTrue="1" operator="between">
      <formula>14.1</formula>
      <formula>35</formula>
    </cfRule>
    <cfRule type="cellIs" dxfId="8363" priority="1667" stopIfTrue="1" operator="between">
      <formula>5.1</formula>
      <formula>14</formula>
    </cfRule>
    <cfRule type="cellIs" dxfId="8362" priority="1668" stopIfTrue="1" operator="between">
      <formula>0</formula>
      <formula>5</formula>
    </cfRule>
    <cfRule type="containsBlanks" dxfId="8361" priority="1669" stopIfTrue="1">
      <formula>LEN(TRIM(E211))=0</formula>
    </cfRule>
  </conditionalFormatting>
  <conditionalFormatting sqref="K211:L211">
    <cfRule type="containsBlanks" dxfId="8360" priority="1656" stopIfTrue="1">
      <formula>LEN(TRIM(K211))=0</formula>
    </cfRule>
    <cfRule type="cellIs" dxfId="8359" priority="1657" stopIfTrue="1" operator="between">
      <formula>80.1</formula>
      <formula>100</formula>
    </cfRule>
    <cfRule type="cellIs" dxfId="8358" priority="1658" stopIfTrue="1" operator="between">
      <formula>35.1</formula>
      <formula>80</formula>
    </cfRule>
    <cfRule type="cellIs" dxfId="8357" priority="1659" stopIfTrue="1" operator="between">
      <formula>14.1</formula>
      <formula>35</formula>
    </cfRule>
    <cfRule type="cellIs" dxfId="8356" priority="1660" stopIfTrue="1" operator="between">
      <formula>5.1</formula>
      <formula>14</formula>
    </cfRule>
    <cfRule type="cellIs" dxfId="8355" priority="1661" stopIfTrue="1" operator="between">
      <formula>0</formula>
      <formula>5</formula>
    </cfRule>
    <cfRule type="containsBlanks" dxfId="8354" priority="1662" stopIfTrue="1">
      <formula>LEN(TRIM(K211))=0</formula>
    </cfRule>
  </conditionalFormatting>
  <conditionalFormatting sqref="L212">
    <cfRule type="containsBlanks" dxfId="8353" priority="1649" stopIfTrue="1">
      <formula>LEN(TRIM(L212))=0</formula>
    </cfRule>
    <cfRule type="cellIs" dxfId="8352" priority="1650" stopIfTrue="1" operator="between">
      <formula>80.1</formula>
      <formula>100</formula>
    </cfRule>
    <cfRule type="cellIs" dxfId="8351" priority="1651" stopIfTrue="1" operator="between">
      <formula>35.1</formula>
      <formula>80</formula>
    </cfRule>
    <cfRule type="cellIs" dxfId="8350" priority="1652" stopIfTrue="1" operator="between">
      <formula>14.1</formula>
      <formula>35</formula>
    </cfRule>
    <cfRule type="cellIs" dxfId="8349" priority="1653" stopIfTrue="1" operator="between">
      <formula>5.1</formula>
      <formula>14</formula>
    </cfRule>
    <cfRule type="cellIs" dxfId="8348" priority="1654" stopIfTrue="1" operator="between">
      <formula>0</formula>
      <formula>5</formula>
    </cfRule>
    <cfRule type="containsBlanks" dxfId="8347" priority="1655" stopIfTrue="1">
      <formula>LEN(TRIM(L212))=0</formula>
    </cfRule>
  </conditionalFormatting>
  <conditionalFormatting sqref="H211">
    <cfRule type="containsBlanks" dxfId="8346" priority="1642" stopIfTrue="1">
      <formula>LEN(TRIM(H211))=0</formula>
    </cfRule>
    <cfRule type="cellIs" dxfId="8345" priority="1643" stopIfTrue="1" operator="between">
      <formula>80.1</formula>
      <formula>100</formula>
    </cfRule>
    <cfRule type="cellIs" dxfId="8344" priority="1644" stopIfTrue="1" operator="between">
      <formula>35.1</formula>
      <formula>80</formula>
    </cfRule>
    <cfRule type="cellIs" dxfId="8343" priority="1645" stopIfTrue="1" operator="between">
      <formula>14.1</formula>
      <formula>35</formula>
    </cfRule>
    <cfRule type="cellIs" dxfId="8342" priority="1646" stopIfTrue="1" operator="between">
      <formula>5.1</formula>
      <formula>14</formula>
    </cfRule>
    <cfRule type="cellIs" dxfId="8341" priority="1647" stopIfTrue="1" operator="between">
      <formula>0</formula>
      <formula>5</formula>
    </cfRule>
    <cfRule type="containsBlanks" dxfId="8340" priority="1648" stopIfTrue="1">
      <formula>LEN(TRIM(H211))=0</formula>
    </cfRule>
  </conditionalFormatting>
  <conditionalFormatting sqref="H212">
    <cfRule type="containsBlanks" dxfId="8339" priority="1635" stopIfTrue="1">
      <formula>LEN(TRIM(H212))=0</formula>
    </cfRule>
    <cfRule type="cellIs" dxfId="8338" priority="1636" stopIfTrue="1" operator="between">
      <formula>80.1</formula>
      <formula>100</formula>
    </cfRule>
    <cfRule type="cellIs" dxfId="8337" priority="1637" stopIfTrue="1" operator="between">
      <formula>35.1</formula>
      <formula>80</formula>
    </cfRule>
    <cfRule type="cellIs" dxfId="8336" priority="1638" stopIfTrue="1" operator="between">
      <formula>14.1</formula>
      <formula>35</formula>
    </cfRule>
    <cfRule type="cellIs" dxfId="8335" priority="1639" stopIfTrue="1" operator="between">
      <formula>5.1</formula>
      <formula>14</formula>
    </cfRule>
    <cfRule type="cellIs" dxfId="8334" priority="1640" stopIfTrue="1" operator="between">
      <formula>0</formula>
      <formula>5</formula>
    </cfRule>
    <cfRule type="containsBlanks" dxfId="8333" priority="1641" stopIfTrue="1">
      <formula>LEN(TRIM(H212))=0</formula>
    </cfRule>
  </conditionalFormatting>
  <conditionalFormatting sqref="E217:O217">
    <cfRule type="containsBlanks" dxfId="8332" priority="1614" stopIfTrue="1">
      <formula>LEN(TRIM(E217))=0</formula>
    </cfRule>
    <cfRule type="cellIs" dxfId="8331" priority="1615" stopIfTrue="1" operator="between">
      <formula>79.1</formula>
      <formula>100</formula>
    </cfRule>
    <cfRule type="cellIs" dxfId="8330" priority="1616" stopIfTrue="1" operator="between">
      <formula>34.1</formula>
      <formula>79</formula>
    </cfRule>
    <cfRule type="cellIs" dxfId="8329" priority="1617" stopIfTrue="1" operator="between">
      <formula>13.1</formula>
      <formula>34</formula>
    </cfRule>
    <cfRule type="cellIs" dxfId="8328" priority="1618" stopIfTrue="1" operator="between">
      <formula>5.1</formula>
      <formula>13</formula>
    </cfRule>
    <cfRule type="cellIs" dxfId="8327" priority="1619" stopIfTrue="1" operator="between">
      <formula>0</formula>
      <formula>5</formula>
    </cfRule>
    <cfRule type="containsBlanks" dxfId="8326" priority="1620" stopIfTrue="1">
      <formula>LEN(TRIM(E217))=0</formula>
    </cfRule>
  </conditionalFormatting>
  <conditionalFormatting sqref="E220:O220">
    <cfRule type="containsBlanks" dxfId="8325" priority="1607" stopIfTrue="1">
      <formula>LEN(TRIM(E220))=0</formula>
    </cfRule>
    <cfRule type="cellIs" dxfId="8324" priority="1608" stopIfTrue="1" operator="between">
      <formula>79.1</formula>
      <formula>100</formula>
    </cfRule>
    <cfRule type="cellIs" dxfId="8323" priority="1609" stopIfTrue="1" operator="between">
      <formula>34.1</formula>
      <formula>79</formula>
    </cfRule>
    <cfRule type="cellIs" dxfId="8322" priority="1610" stopIfTrue="1" operator="between">
      <formula>13.1</formula>
      <formula>34</formula>
    </cfRule>
    <cfRule type="cellIs" dxfId="8321" priority="1611" stopIfTrue="1" operator="between">
      <formula>5.1</formula>
      <formula>13</formula>
    </cfRule>
    <cfRule type="cellIs" dxfId="8320" priority="1612" stopIfTrue="1" operator="between">
      <formula>0</formula>
      <formula>5</formula>
    </cfRule>
    <cfRule type="containsBlanks" dxfId="8319" priority="1613" stopIfTrue="1">
      <formula>LEN(TRIM(E220))=0</formula>
    </cfRule>
  </conditionalFormatting>
  <conditionalFormatting sqref="E213:O213">
    <cfRule type="containsBlanks" dxfId="8318" priority="1628" stopIfTrue="1">
      <formula>LEN(TRIM(E213))=0</formula>
    </cfRule>
    <cfRule type="cellIs" dxfId="8317" priority="1629" stopIfTrue="1" operator="between">
      <formula>79.1</formula>
      <formula>100</formula>
    </cfRule>
    <cfRule type="cellIs" dxfId="8316" priority="1630" stopIfTrue="1" operator="between">
      <formula>34.1</formula>
      <formula>79</formula>
    </cfRule>
    <cfRule type="cellIs" dxfId="8315" priority="1631" stopIfTrue="1" operator="between">
      <formula>13.1</formula>
      <formula>34</formula>
    </cfRule>
    <cfRule type="cellIs" dxfId="8314" priority="1632" stopIfTrue="1" operator="between">
      <formula>5.1</formula>
      <formula>13</formula>
    </cfRule>
    <cfRule type="cellIs" dxfId="8313" priority="1633" stopIfTrue="1" operator="between">
      <formula>0</formula>
      <formula>5</formula>
    </cfRule>
    <cfRule type="containsBlanks" dxfId="8312" priority="1634" stopIfTrue="1">
      <formula>LEN(TRIM(E213))=0</formula>
    </cfRule>
  </conditionalFormatting>
  <conditionalFormatting sqref="E218:O218">
    <cfRule type="containsBlanks" dxfId="8311" priority="1600" stopIfTrue="1">
      <formula>LEN(TRIM(E218))=0</formula>
    </cfRule>
    <cfRule type="cellIs" dxfId="8310" priority="1601" stopIfTrue="1" operator="between">
      <formula>79.1</formula>
      <formula>100</formula>
    </cfRule>
    <cfRule type="cellIs" dxfId="8309" priority="1602" stopIfTrue="1" operator="between">
      <formula>34.1</formula>
      <formula>79</formula>
    </cfRule>
    <cfRule type="cellIs" dxfId="8308" priority="1603" stopIfTrue="1" operator="between">
      <formula>13.1</formula>
      <formula>34</formula>
    </cfRule>
    <cfRule type="cellIs" dxfId="8307" priority="1604" stopIfTrue="1" operator="between">
      <formula>5.1</formula>
      <formula>13</formula>
    </cfRule>
    <cfRule type="cellIs" dxfId="8306" priority="1605" stopIfTrue="1" operator="between">
      <formula>0</formula>
      <formula>5</formula>
    </cfRule>
    <cfRule type="containsBlanks" dxfId="8305" priority="1606" stopIfTrue="1">
      <formula>LEN(TRIM(E218))=0</formula>
    </cfRule>
  </conditionalFormatting>
  <conditionalFormatting sqref="E219:O219">
    <cfRule type="containsBlanks" dxfId="8304" priority="1593" stopIfTrue="1">
      <formula>LEN(TRIM(E219))=0</formula>
    </cfRule>
    <cfRule type="cellIs" dxfId="8303" priority="1594" stopIfTrue="1" operator="between">
      <formula>79.1</formula>
      <formula>100</formula>
    </cfRule>
    <cfRule type="cellIs" dxfId="8302" priority="1595" stopIfTrue="1" operator="between">
      <formula>34.1</formula>
      <formula>79</formula>
    </cfRule>
    <cfRule type="cellIs" dxfId="8301" priority="1596" stopIfTrue="1" operator="between">
      <formula>13.1</formula>
      <formula>34</formula>
    </cfRule>
    <cfRule type="cellIs" dxfId="8300" priority="1597" stopIfTrue="1" operator="between">
      <formula>5.1</formula>
      <formula>13</formula>
    </cfRule>
    <cfRule type="cellIs" dxfId="8299" priority="1598" stopIfTrue="1" operator="between">
      <formula>0</formula>
      <formula>5</formula>
    </cfRule>
    <cfRule type="containsBlanks" dxfId="8298" priority="1599" stopIfTrue="1">
      <formula>LEN(TRIM(E219))=0</formula>
    </cfRule>
  </conditionalFormatting>
  <conditionalFormatting sqref="P217">
    <cfRule type="containsBlanks" dxfId="8297" priority="1586" stopIfTrue="1">
      <formula>LEN(TRIM(P217))=0</formula>
    </cfRule>
    <cfRule type="cellIs" dxfId="8296" priority="1587" stopIfTrue="1" operator="between">
      <formula>80.1</formula>
      <formula>100</formula>
    </cfRule>
    <cfRule type="cellIs" dxfId="8295" priority="1588" stopIfTrue="1" operator="between">
      <formula>35.1</formula>
      <formula>80</formula>
    </cfRule>
    <cfRule type="cellIs" dxfId="8294" priority="1589" stopIfTrue="1" operator="between">
      <formula>14.1</formula>
      <formula>35</formula>
    </cfRule>
    <cfRule type="cellIs" dxfId="8293" priority="1590" stopIfTrue="1" operator="between">
      <formula>5.1</formula>
      <formula>14</formula>
    </cfRule>
    <cfRule type="cellIs" dxfId="8292" priority="1591" stopIfTrue="1" operator="between">
      <formula>0</formula>
      <formula>5</formula>
    </cfRule>
    <cfRule type="containsBlanks" dxfId="8291" priority="1592" stopIfTrue="1">
      <formula>LEN(TRIM(P217))=0</formula>
    </cfRule>
  </conditionalFormatting>
  <conditionalFormatting sqref="P218">
    <cfRule type="containsBlanks" dxfId="8290" priority="1565" stopIfTrue="1">
      <formula>LEN(TRIM(P218))=0</formula>
    </cfRule>
    <cfRule type="cellIs" dxfId="8289" priority="1566" stopIfTrue="1" operator="between">
      <formula>79.1</formula>
      <formula>100</formula>
    </cfRule>
    <cfRule type="cellIs" dxfId="8288" priority="1567" stopIfTrue="1" operator="between">
      <formula>34.1</formula>
      <formula>79</formula>
    </cfRule>
    <cfRule type="cellIs" dxfId="8287" priority="1568" stopIfTrue="1" operator="between">
      <formula>13.1</formula>
      <formula>34</formula>
    </cfRule>
    <cfRule type="cellIs" dxfId="8286" priority="1569" stopIfTrue="1" operator="between">
      <formula>5.1</formula>
      <formula>13</formula>
    </cfRule>
    <cfRule type="cellIs" dxfId="8285" priority="1570" stopIfTrue="1" operator="between">
      <formula>0</formula>
      <formula>5</formula>
    </cfRule>
    <cfRule type="containsBlanks" dxfId="8284" priority="1571" stopIfTrue="1">
      <formula>LEN(TRIM(P218))=0</formula>
    </cfRule>
  </conditionalFormatting>
  <conditionalFormatting sqref="P221">
    <cfRule type="containsBlanks" dxfId="8283" priority="1558" stopIfTrue="1">
      <formula>LEN(TRIM(P221))=0</formula>
    </cfRule>
    <cfRule type="cellIs" dxfId="8282" priority="1559" stopIfTrue="1" operator="between">
      <formula>79.1</formula>
      <formula>100</formula>
    </cfRule>
    <cfRule type="cellIs" dxfId="8281" priority="1560" stopIfTrue="1" operator="between">
      <formula>34.1</formula>
      <formula>79</formula>
    </cfRule>
    <cfRule type="cellIs" dxfId="8280" priority="1561" stopIfTrue="1" operator="between">
      <formula>13.1</formula>
      <formula>34</formula>
    </cfRule>
    <cfRule type="cellIs" dxfId="8279" priority="1562" stopIfTrue="1" operator="between">
      <formula>5.1</formula>
      <formula>13</formula>
    </cfRule>
    <cfRule type="cellIs" dxfId="8278" priority="1563" stopIfTrue="1" operator="between">
      <formula>0</formula>
      <formula>5</formula>
    </cfRule>
    <cfRule type="containsBlanks" dxfId="8277" priority="1564" stopIfTrue="1">
      <formula>LEN(TRIM(P221))=0</formula>
    </cfRule>
  </conditionalFormatting>
  <conditionalFormatting sqref="P219">
    <cfRule type="containsBlanks" dxfId="8276" priority="1551" stopIfTrue="1">
      <formula>LEN(TRIM(P219))=0</formula>
    </cfRule>
    <cfRule type="cellIs" dxfId="8275" priority="1552" stopIfTrue="1" operator="between">
      <formula>79.1</formula>
      <formula>100</formula>
    </cfRule>
    <cfRule type="cellIs" dxfId="8274" priority="1553" stopIfTrue="1" operator="between">
      <formula>34.1</formula>
      <formula>79</formula>
    </cfRule>
    <cfRule type="cellIs" dxfId="8273" priority="1554" stopIfTrue="1" operator="between">
      <formula>13.1</formula>
      <formula>34</formula>
    </cfRule>
    <cfRule type="cellIs" dxfId="8272" priority="1555" stopIfTrue="1" operator="between">
      <formula>5.1</formula>
      <formula>13</formula>
    </cfRule>
    <cfRule type="cellIs" dxfId="8271" priority="1556" stopIfTrue="1" operator="between">
      <formula>0</formula>
      <formula>5</formula>
    </cfRule>
    <cfRule type="containsBlanks" dxfId="8270" priority="1557" stopIfTrue="1">
      <formula>LEN(TRIM(P219))=0</formula>
    </cfRule>
  </conditionalFormatting>
  <conditionalFormatting sqref="P220">
    <cfRule type="containsBlanks" dxfId="8269" priority="1544" stopIfTrue="1">
      <formula>LEN(TRIM(P220))=0</formula>
    </cfRule>
    <cfRule type="cellIs" dxfId="8268" priority="1545" stopIfTrue="1" operator="between">
      <formula>79.1</formula>
      <formula>100</formula>
    </cfRule>
    <cfRule type="cellIs" dxfId="8267" priority="1546" stopIfTrue="1" operator="between">
      <formula>34.1</formula>
      <formula>79</formula>
    </cfRule>
    <cfRule type="cellIs" dxfId="8266" priority="1547" stopIfTrue="1" operator="between">
      <formula>13.1</formula>
      <formula>34</formula>
    </cfRule>
    <cfRule type="cellIs" dxfId="8265" priority="1548" stopIfTrue="1" operator="between">
      <formula>5.1</formula>
      <formula>13</formula>
    </cfRule>
    <cfRule type="cellIs" dxfId="8264" priority="1549" stopIfTrue="1" operator="between">
      <formula>0</formula>
      <formula>5</formula>
    </cfRule>
    <cfRule type="containsBlanks" dxfId="8263" priority="1550" stopIfTrue="1">
      <formula>LEN(TRIM(P220))=0</formula>
    </cfRule>
  </conditionalFormatting>
  <conditionalFormatting sqref="Q225">
    <cfRule type="containsBlanks" dxfId="8262" priority="1499" stopIfTrue="1">
      <formula>LEN(TRIM(Q225))=0</formula>
    </cfRule>
    <cfRule type="cellIs" dxfId="8261" priority="1500" stopIfTrue="1" operator="between">
      <formula>80.1</formula>
      <formula>100</formula>
    </cfRule>
    <cfRule type="cellIs" dxfId="8260" priority="1501" stopIfTrue="1" operator="between">
      <formula>35.1</formula>
      <formula>80</formula>
    </cfRule>
    <cfRule type="cellIs" dxfId="8259" priority="1502" stopIfTrue="1" operator="between">
      <formula>14.1</formula>
      <formula>35</formula>
    </cfRule>
    <cfRule type="cellIs" dxfId="8258" priority="1503" stopIfTrue="1" operator="between">
      <formula>5.1</formula>
      <formula>14</formula>
    </cfRule>
    <cfRule type="cellIs" dxfId="8257" priority="1504" stopIfTrue="1" operator="between">
      <formula>0</formula>
      <formula>5</formula>
    </cfRule>
    <cfRule type="containsBlanks" dxfId="8256" priority="1505" stopIfTrue="1">
      <formula>LEN(TRIM(Q225))=0</formula>
    </cfRule>
  </conditionalFormatting>
  <conditionalFormatting sqref="L223:P223">
    <cfRule type="containsBlanks" dxfId="8255" priority="1537" stopIfTrue="1">
      <formula>LEN(TRIM(L223))=0</formula>
    </cfRule>
    <cfRule type="cellIs" dxfId="8254" priority="1538" stopIfTrue="1" operator="between">
      <formula>80.1</formula>
      <formula>100</formula>
    </cfRule>
    <cfRule type="cellIs" dxfId="8253" priority="1539" stopIfTrue="1" operator="between">
      <formula>35.1</formula>
      <formula>80</formula>
    </cfRule>
    <cfRule type="cellIs" dxfId="8252" priority="1540" stopIfTrue="1" operator="between">
      <formula>14.1</formula>
      <formula>35</formula>
    </cfRule>
    <cfRule type="cellIs" dxfId="8251" priority="1541" stopIfTrue="1" operator="between">
      <formula>5.1</formula>
      <formula>14</formula>
    </cfRule>
    <cfRule type="cellIs" dxfId="8250" priority="1542" stopIfTrue="1" operator="between">
      <formula>0</formula>
      <formula>5</formula>
    </cfRule>
    <cfRule type="containsBlanks" dxfId="8249" priority="1543" stopIfTrue="1">
      <formula>LEN(TRIM(L223))=0</formula>
    </cfRule>
  </conditionalFormatting>
  <conditionalFormatting sqref="L222:P222">
    <cfRule type="containsBlanks" dxfId="8248" priority="1530" stopIfTrue="1">
      <formula>LEN(TRIM(L222))=0</formula>
    </cfRule>
    <cfRule type="cellIs" dxfId="8247" priority="1531" stopIfTrue="1" operator="between">
      <formula>79.1</formula>
      <formula>100</formula>
    </cfRule>
    <cfRule type="cellIs" dxfId="8246" priority="1532" stopIfTrue="1" operator="between">
      <formula>34.1</formula>
      <formula>79</formula>
    </cfRule>
    <cfRule type="cellIs" dxfId="8245" priority="1533" stopIfTrue="1" operator="between">
      <formula>13.1</formula>
      <formula>34</formula>
    </cfRule>
    <cfRule type="cellIs" dxfId="8244" priority="1534" stopIfTrue="1" operator="between">
      <formula>5.1</formula>
      <formula>13</formula>
    </cfRule>
    <cfRule type="cellIs" dxfId="8243" priority="1535" stopIfTrue="1" operator="between">
      <formula>0</formula>
      <formula>5</formula>
    </cfRule>
    <cfRule type="containsBlanks" dxfId="8242" priority="1536" stopIfTrue="1">
      <formula>LEN(TRIM(L222))=0</formula>
    </cfRule>
  </conditionalFormatting>
  <conditionalFormatting sqref="L224:P224">
    <cfRule type="containsBlanks" dxfId="8241" priority="1523" stopIfTrue="1">
      <formula>LEN(TRIM(L224))=0</formula>
    </cfRule>
    <cfRule type="cellIs" dxfId="8240" priority="1524" stopIfTrue="1" operator="between">
      <formula>79.1</formula>
      <formula>100</formula>
    </cfRule>
    <cfRule type="cellIs" dxfId="8239" priority="1525" stopIfTrue="1" operator="between">
      <formula>34.1</formula>
      <formula>79</formula>
    </cfRule>
    <cfRule type="cellIs" dxfId="8238" priority="1526" stopIfTrue="1" operator="between">
      <formula>13.1</formula>
      <formula>34</formula>
    </cfRule>
    <cfRule type="cellIs" dxfId="8237" priority="1527" stopIfTrue="1" operator="between">
      <formula>5.1</formula>
      <formula>13</formula>
    </cfRule>
    <cfRule type="cellIs" dxfId="8236" priority="1528" stopIfTrue="1" operator="between">
      <formula>0</formula>
      <formula>5</formula>
    </cfRule>
    <cfRule type="containsBlanks" dxfId="8235" priority="1529" stopIfTrue="1">
      <formula>LEN(TRIM(L224))=0</formula>
    </cfRule>
  </conditionalFormatting>
  <conditionalFormatting sqref="L225:P225">
    <cfRule type="containsBlanks" dxfId="8234" priority="1516" stopIfTrue="1">
      <formula>LEN(TRIM(L225))=0</formula>
    </cfRule>
    <cfRule type="cellIs" dxfId="8233" priority="1517" stopIfTrue="1" operator="between">
      <formula>79.1</formula>
      <formula>100</formula>
    </cfRule>
    <cfRule type="cellIs" dxfId="8232" priority="1518" stopIfTrue="1" operator="between">
      <formula>34.1</formula>
      <formula>79</formula>
    </cfRule>
    <cfRule type="cellIs" dxfId="8231" priority="1519" stopIfTrue="1" operator="between">
      <formula>13.1</formula>
      <formula>34</formula>
    </cfRule>
    <cfRule type="cellIs" dxfId="8230" priority="1520" stopIfTrue="1" operator="between">
      <formula>5.1</formula>
      <formula>13</formula>
    </cfRule>
    <cfRule type="cellIs" dxfId="8229" priority="1521" stopIfTrue="1" operator="between">
      <formula>0</formula>
      <formula>5</formula>
    </cfRule>
    <cfRule type="containsBlanks" dxfId="8228" priority="1522" stopIfTrue="1">
      <formula>LEN(TRIM(L225))=0</formula>
    </cfRule>
  </conditionalFormatting>
  <conditionalFormatting sqref="R225:R232">
    <cfRule type="cellIs" dxfId="8227" priority="1515" stopIfTrue="1" operator="equal">
      <formula>"NO"</formula>
    </cfRule>
  </conditionalFormatting>
  <conditionalFormatting sqref="R225:R232">
    <cfRule type="cellIs" dxfId="8226" priority="1514" stopIfTrue="1" operator="equal">
      <formula>"NO"</formula>
    </cfRule>
  </conditionalFormatting>
  <conditionalFormatting sqref="R225:R232">
    <cfRule type="cellIs" dxfId="8225" priority="1513" stopIfTrue="1" operator="equal">
      <formula>"NO"</formula>
    </cfRule>
  </conditionalFormatting>
  <conditionalFormatting sqref="S225:S232">
    <cfRule type="cellIs" dxfId="8224" priority="1512" stopIfTrue="1" operator="equal">
      <formula>"INVIABLE SANITARIAMENTE"</formula>
    </cfRule>
  </conditionalFormatting>
  <conditionalFormatting sqref="S225:S232">
    <cfRule type="containsText" dxfId="8223" priority="1507" stopIfTrue="1" operator="containsText" text="INVIABLE SANITARIAMENTE">
      <formula>NOT(ISERROR(SEARCH("INVIABLE SANITARIAMENTE",S225)))</formula>
    </cfRule>
    <cfRule type="containsText" dxfId="8222" priority="1508" stopIfTrue="1" operator="containsText" text="ALTO">
      <formula>NOT(ISERROR(SEARCH("ALTO",S225)))</formula>
    </cfRule>
    <cfRule type="containsText" dxfId="8221" priority="1509" stopIfTrue="1" operator="containsText" text="MEDIO">
      <formula>NOT(ISERROR(SEARCH("MEDIO",S225)))</formula>
    </cfRule>
    <cfRule type="containsText" dxfId="8220" priority="1510" stopIfTrue="1" operator="containsText" text="BAJO">
      <formula>NOT(ISERROR(SEARCH("BAJO",S225)))</formula>
    </cfRule>
    <cfRule type="containsText" dxfId="8219" priority="1511" stopIfTrue="1" operator="containsText" text="SIN RIESGO">
      <formula>NOT(ISERROR(SEARCH("SIN RIESGO",S225)))</formula>
    </cfRule>
  </conditionalFormatting>
  <conditionalFormatting sqref="S225:S232">
    <cfRule type="containsText" dxfId="8218" priority="1506" stopIfTrue="1" operator="containsText" text="SIN RIESGO">
      <formula>NOT(ISERROR(SEARCH("SIN RIESGO",S225)))</formula>
    </cfRule>
  </conditionalFormatting>
  <conditionalFormatting sqref="Q107:Q108">
    <cfRule type="containsBlanks" dxfId="8217" priority="1424" stopIfTrue="1">
      <formula>LEN(TRIM(Q107))=0</formula>
    </cfRule>
    <cfRule type="cellIs" dxfId="8216" priority="1425" stopIfTrue="1" operator="between">
      <formula>80.1</formula>
      <formula>100</formula>
    </cfRule>
    <cfRule type="cellIs" dxfId="8215" priority="1426" stopIfTrue="1" operator="between">
      <formula>35.1</formula>
      <formula>80</formula>
    </cfRule>
    <cfRule type="cellIs" dxfId="8214" priority="1427" stopIfTrue="1" operator="between">
      <formula>14.1</formula>
      <formula>35</formula>
    </cfRule>
    <cfRule type="cellIs" dxfId="8213" priority="1428" stopIfTrue="1" operator="between">
      <formula>5.1</formula>
      <formula>14</formula>
    </cfRule>
    <cfRule type="cellIs" dxfId="8212" priority="1429" stopIfTrue="1" operator="between">
      <formula>0</formula>
      <formula>5</formula>
    </cfRule>
    <cfRule type="containsBlanks" dxfId="8211" priority="1430" stopIfTrue="1">
      <formula>LEN(TRIM(Q107))=0</formula>
    </cfRule>
  </conditionalFormatting>
  <conditionalFormatting sqref="Q98:Q99">
    <cfRule type="containsBlanks" dxfId="8210" priority="1409" stopIfTrue="1">
      <formula>LEN(TRIM(Q98))=0</formula>
    </cfRule>
    <cfRule type="cellIs" dxfId="8209" priority="1410" stopIfTrue="1" operator="between">
      <formula>80.1</formula>
      <formula>100</formula>
    </cfRule>
    <cfRule type="cellIs" dxfId="8208" priority="1411" stopIfTrue="1" operator="between">
      <formula>35.1</formula>
      <formula>80</formula>
    </cfRule>
    <cfRule type="cellIs" dxfId="8207" priority="1412" stopIfTrue="1" operator="between">
      <formula>14.1</formula>
      <formula>35</formula>
    </cfRule>
    <cfRule type="cellIs" dxfId="8206" priority="1413" stopIfTrue="1" operator="between">
      <formula>5.1</formula>
      <formula>14</formula>
    </cfRule>
    <cfRule type="cellIs" dxfId="8205" priority="1414" stopIfTrue="1" operator="between">
      <formula>0</formula>
      <formula>5</formula>
    </cfRule>
    <cfRule type="containsBlanks" dxfId="8204" priority="1415" stopIfTrue="1">
      <formula>LEN(TRIM(Q98))=0</formula>
    </cfRule>
  </conditionalFormatting>
  <conditionalFormatting sqref="Q112">
    <cfRule type="containsBlanks" dxfId="8203" priority="1334" stopIfTrue="1">
      <formula>LEN(TRIM(Q112))=0</formula>
    </cfRule>
    <cfRule type="cellIs" dxfId="8202" priority="1335" stopIfTrue="1" operator="between">
      <formula>80.1</formula>
      <formula>100</formula>
    </cfRule>
    <cfRule type="cellIs" dxfId="8201" priority="1336" stopIfTrue="1" operator="between">
      <formula>35.1</formula>
      <formula>80</formula>
    </cfRule>
    <cfRule type="cellIs" dxfId="8200" priority="1337" stopIfTrue="1" operator="between">
      <formula>14.1</formula>
      <formula>35</formula>
    </cfRule>
    <cfRule type="cellIs" dxfId="8199" priority="1338" stopIfTrue="1" operator="between">
      <formula>5.1</formula>
      <formula>14</formula>
    </cfRule>
    <cfRule type="cellIs" dxfId="8198" priority="1339" stopIfTrue="1" operator="between">
      <formula>0</formula>
      <formula>5</formula>
    </cfRule>
    <cfRule type="containsBlanks" dxfId="8197" priority="1340" stopIfTrue="1">
      <formula>LEN(TRIM(Q112))=0</formula>
    </cfRule>
  </conditionalFormatting>
  <conditionalFormatting sqref="Q118">
    <cfRule type="containsBlanks" dxfId="8196" priority="1289" stopIfTrue="1">
      <formula>LEN(TRIM(Q118))=0</formula>
    </cfRule>
    <cfRule type="cellIs" dxfId="8195" priority="1290" stopIfTrue="1" operator="between">
      <formula>80.1</formula>
      <formula>100</formula>
    </cfRule>
    <cfRule type="cellIs" dxfId="8194" priority="1291" stopIfTrue="1" operator="between">
      <formula>35.1</formula>
      <formula>80</formula>
    </cfRule>
    <cfRule type="cellIs" dxfId="8193" priority="1292" stopIfTrue="1" operator="between">
      <formula>14.1</formula>
      <formula>35</formula>
    </cfRule>
    <cfRule type="cellIs" dxfId="8192" priority="1293" stopIfTrue="1" operator="between">
      <formula>5.1</formula>
      <formula>14</formula>
    </cfRule>
    <cfRule type="cellIs" dxfId="8191" priority="1294" stopIfTrue="1" operator="between">
      <formula>0</formula>
      <formula>5</formula>
    </cfRule>
    <cfRule type="containsBlanks" dxfId="8190" priority="1295" stopIfTrue="1">
      <formula>LEN(TRIM(Q118))=0</formula>
    </cfRule>
  </conditionalFormatting>
  <conditionalFormatting sqref="Q123">
    <cfRule type="containsBlanks" dxfId="8189" priority="1169" stopIfTrue="1">
      <formula>LEN(TRIM(Q123))=0</formula>
    </cfRule>
    <cfRule type="cellIs" dxfId="8188" priority="1170" stopIfTrue="1" operator="between">
      <formula>80.1</formula>
      <formula>100</formula>
    </cfRule>
    <cfRule type="cellIs" dxfId="8187" priority="1171" stopIfTrue="1" operator="between">
      <formula>35.1</formula>
      <formula>80</formula>
    </cfRule>
    <cfRule type="cellIs" dxfId="8186" priority="1172" stopIfTrue="1" operator="between">
      <formula>14.1</formula>
      <formula>35</formula>
    </cfRule>
    <cfRule type="cellIs" dxfId="8185" priority="1173" stopIfTrue="1" operator="between">
      <formula>5.1</formula>
      <formula>14</formula>
    </cfRule>
    <cfRule type="cellIs" dxfId="8184" priority="1174" stopIfTrue="1" operator="between">
      <formula>0</formula>
      <formula>5</formula>
    </cfRule>
    <cfRule type="containsBlanks" dxfId="8183" priority="1175" stopIfTrue="1">
      <formula>LEN(TRIM(Q123))=0</formula>
    </cfRule>
  </conditionalFormatting>
  <conditionalFormatting sqref="Q124:Q127">
    <cfRule type="containsBlanks" dxfId="8182" priority="1154" stopIfTrue="1">
      <formula>LEN(TRIM(Q124))=0</formula>
    </cfRule>
    <cfRule type="cellIs" dxfId="8181" priority="1155" stopIfTrue="1" operator="between">
      <formula>80.1</formula>
      <formula>100</formula>
    </cfRule>
    <cfRule type="cellIs" dxfId="8180" priority="1156" stopIfTrue="1" operator="between">
      <formula>35.1</formula>
      <formula>80</formula>
    </cfRule>
    <cfRule type="cellIs" dxfId="8179" priority="1157" stopIfTrue="1" operator="between">
      <formula>14.1</formula>
      <formula>35</formula>
    </cfRule>
    <cfRule type="cellIs" dxfId="8178" priority="1158" stopIfTrue="1" operator="between">
      <formula>5.1</formula>
      <formula>14</formula>
    </cfRule>
    <cfRule type="cellIs" dxfId="8177" priority="1159" stopIfTrue="1" operator="between">
      <formula>0</formula>
      <formula>5</formula>
    </cfRule>
    <cfRule type="containsBlanks" dxfId="8176" priority="1160" stopIfTrue="1">
      <formula>LEN(TRIM(Q124))=0</formula>
    </cfRule>
  </conditionalFormatting>
  <conditionalFormatting sqref="R124">
    <cfRule type="cellIs" dxfId="8175" priority="1152" stopIfTrue="1" operator="equal">
      <formula>"NO"</formula>
    </cfRule>
  </conditionalFormatting>
  <conditionalFormatting sqref="Q128:Q131">
    <cfRule type="containsBlanks" dxfId="8174" priority="1139" stopIfTrue="1">
      <formula>LEN(TRIM(Q128))=0</formula>
    </cfRule>
    <cfRule type="cellIs" dxfId="8173" priority="1140" stopIfTrue="1" operator="between">
      <formula>80.1</formula>
      <formula>100</formula>
    </cfRule>
    <cfRule type="cellIs" dxfId="8172" priority="1141" stopIfTrue="1" operator="between">
      <formula>35.1</formula>
      <formula>80</formula>
    </cfRule>
    <cfRule type="cellIs" dxfId="8171" priority="1142" stopIfTrue="1" operator="between">
      <formula>14.1</formula>
      <formula>35</formula>
    </cfRule>
    <cfRule type="cellIs" dxfId="8170" priority="1143" stopIfTrue="1" operator="between">
      <formula>5.1</formula>
      <formula>14</formula>
    </cfRule>
    <cfRule type="cellIs" dxfId="8169" priority="1144" stopIfTrue="1" operator="between">
      <formula>0</formula>
      <formula>5</formula>
    </cfRule>
    <cfRule type="containsBlanks" dxfId="8168" priority="1145" stopIfTrue="1">
      <formula>LEN(TRIM(Q128))=0</formula>
    </cfRule>
  </conditionalFormatting>
  <conditionalFormatting sqref="R130">
    <cfRule type="cellIs" dxfId="8167" priority="1137" stopIfTrue="1" operator="equal">
      <formula>"NO"</formula>
    </cfRule>
  </conditionalFormatting>
  <conditionalFormatting sqref="Q132:Q133">
    <cfRule type="containsBlanks" dxfId="8166" priority="1124" stopIfTrue="1">
      <formula>LEN(TRIM(Q132))=0</formula>
    </cfRule>
    <cfRule type="cellIs" dxfId="8165" priority="1125" stopIfTrue="1" operator="between">
      <formula>80.1</formula>
      <formula>100</formula>
    </cfRule>
    <cfRule type="cellIs" dxfId="8164" priority="1126" stopIfTrue="1" operator="between">
      <formula>35.1</formula>
      <formula>80</formula>
    </cfRule>
    <cfRule type="cellIs" dxfId="8163" priority="1127" stopIfTrue="1" operator="between">
      <formula>14.1</formula>
      <formula>35</formula>
    </cfRule>
    <cfRule type="cellIs" dxfId="8162" priority="1128" stopIfTrue="1" operator="between">
      <formula>5.1</formula>
      <formula>14</formula>
    </cfRule>
    <cfRule type="cellIs" dxfId="8161" priority="1129" stopIfTrue="1" operator="between">
      <formula>0</formula>
      <formula>5</formula>
    </cfRule>
    <cfRule type="containsBlanks" dxfId="8160" priority="1130" stopIfTrue="1">
      <formula>LEN(TRIM(Q132))=0</formula>
    </cfRule>
  </conditionalFormatting>
  <conditionalFormatting sqref="Q134:Q135">
    <cfRule type="containsBlanks" dxfId="8159" priority="1109" stopIfTrue="1">
      <formula>LEN(TRIM(Q134))=0</formula>
    </cfRule>
    <cfRule type="cellIs" dxfId="8158" priority="1110" stopIfTrue="1" operator="between">
      <formula>80.1</formula>
      <formula>100</formula>
    </cfRule>
    <cfRule type="cellIs" dxfId="8157" priority="1111" stopIfTrue="1" operator="between">
      <formula>35.1</formula>
      <formula>80</formula>
    </cfRule>
    <cfRule type="cellIs" dxfId="8156" priority="1112" stopIfTrue="1" operator="between">
      <formula>14.1</formula>
      <formula>35</formula>
    </cfRule>
    <cfRule type="cellIs" dxfId="8155" priority="1113" stopIfTrue="1" operator="between">
      <formula>5.1</formula>
      <formula>14</formula>
    </cfRule>
    <cfRule type="cellIs" dxfId="8154" priority="1114" stopIfTrue="1" operator="between">
      <formula>0</formula>
      <formula>5</formula>
    </cfRule>
    <cfRule type="containsBlanks" dxfId="8153" priority="1115" stopIfTrue="1">
      <formula>LEN(TRIM(Q134))=0</formula>
    </cfRule>
  </conditionalFormatting>
  <conditionalFormatting sqref="R135">
    <cfRule type="cellIs" dxfId="8152" priority="1107" stopIfTrue="1" operator="equal">
      <formula>"NO"</formula>
    </cfRule>
  </conditionalFormatting>
  <conditionalFormatting sqref="Q139:Q142">
    <cfRule type="containsBlanks" dxfId="8151" priority="1079" stopIfTrue="1">
      <formula>LEN(TRIM(Q139))=0</formula>
    </cfRule>
    <cfRule type="cellIs" dxfId="8150" priority="1080" stopIfTrue="1" operator="between">
      <formula>80.1</formula>
      <formula>100</formula>
    </cfRule>
    <cfRule type="cellIs" dxfId="8149" priority="1081" stopIfTrue="1" operator="between">
      <formula>35.1</formula>
      <formula>80</formula>
    </cfRule>
    <cfRule type="cellIs" dxfId="8148" priority="1082" stopIfTrue="1" operator="between">
      <formula>14.1</formula>
      <formula>35</formula>
    </cfRule>
    <cfRule type="cellIs" dxfId="8147" priority="1083" stopIfTrue="1" operator="between">
      <formula>5.1</formula>
      <formula>14</formula>
    </cfRule>
    <cfRule type="cellIs" dxfId="8146" priority="1084" stopIfTrue="1" operator="between">
      <formula>0</formula>
      <formula>5</formula>
    </cfRule>
    <cfRule type="containsBlanks" dxfId="8145" priority="1085" stopIfTrue="1">
      <formula>LEN(TRIM(Q139))=0</formula>
    </cfRule>
  </conditionalFormatting>
  <conditionalFormatting sqref="Q143:Q144">
    <cfRule type="containsBlanks" dxfId="8144" priority="1064" stopIfTrue="1">
      <formula>LEN(TRIM(Q143))=0</formula>
    </cfRule>
    <cfRule type="cellIs" dxfId="8143" priority="1065" stopIfTrue="1" operator="between">
      <formula>80.1</formula>
      <formula>100</formula>
    </cfRule>
    <cfRule type="cellIs" dxfId="8142" priority="1066" stopIfTrue="1" operator="between">
      <formula>35.1</formula>
      <formula>80</formula>
    </cfRule>
    <cfRule type="cellIs" dxfId="8141" priority="1067" stopIfTrue="1" operator="between">
      <formula>14.1</formula>
      <formula>35</formula>
    </cfRule>
    <cfRule type="cellIs" dxfId="8140" priority="1068" stopIfTrue="1" operator="between">
      <formula>5.1</formula>
      <formula>14</formula>
    </cfRule>
    <cfRule type="cellIs" dxfId="8139" priority="1069" stopIfTrue="1" operator="between">
      <formula>0</formula>
      <formula>5</formula>
    </cfRule>
    <cfRule type="containsBlanks" dxfId="8138" priority="1070" stopIfTrue="1">
      <formula>LEN(TRIM(Q143))=0</formula>
    </cfRule>
  </conditionalFormatting>
  <conditionalFormatting sqref="Q146:Q148 Q150">
    <cfRule type="containsBlanks" dxfId="8137" priority="1034" stopIfTrue="1">
      <formula>LEN(TRIM(Q146))=0</formula>
    </cfRule>
    <cfRule type="cellIs" dxfId="8136" priority="1035" stopIfTrue="1" operator="between">
      <formula>80.1</formula>
      <formula>100</formula>
    </cfRule>
    <cfRule type="cellIs" dxfId="8135" priority="1036" stopIfTrue="1" operator="between">
      <formula>35.1</formula>
      <formula>80</formula>
    </cfRule>
    <cfRule type="cellIs" dxfId="8134" priority="1037" stopIfTrue="1" operator="between">
      <formula>14.1</formula>
      <formula>35</formula>
    </cfRule>
    <cfRule type="cellIs" dxfId="8133" priority="1038" stopIfTrue="1" operator="between">
      <formula>5.1</formula>
      <formula>14</formula>
    </cfRule>
    <cfRule type="cellIs" dxfId="8132" priority="1039" stopIfTrue="1" operator="between">
      <formula>0</formula>
      <formula>5</formula>
    </cfRule>
    <cfRule type="containsBlanks" dxfId="8131" priority="1040" stopIfTrue="1">
      <formula>LEN(TRIM(Q146))=0</formula>
    </cfRule>
  </conditionalFormatting>
  <conditionalFormatting sqref="Q151:Q154">
    <cfRule type="containsBlanks" dxfId="8130" priority="1019" stopIfTrue="1">
      <formula>LEN(TRIM(Q151))=0</formula>
    </cfRule>
    <cfRule type="cellIs" dxfId="8129" priority="1020" stopIfTrue="1" operator="between">
      <formula>80.1</formula>
      <formula>100</formula>
    </cfRule>
    <cfRule type="cellIs" dxfId="8128" priority="1021" stopIfTrue="1" operator="between">
      <formula>35.1</formula>
      <formula>80</formula>
    </cfRule>
    <cfRule type="cellIs" dxfId="8127" priority="1022" stopIfTrue="1" operator="between">
      <formula>14.1</formula>
      <formula>35</formula>
    </cfRule>
    <cfRule type="cellIs" dxfId="8126" priority="1023" stopIfTrue="1" operator="between">
      <formula>5.1</formula>
      <formula>14</formula>
    </cfRule>
    <cfRule type="cellIs" dxfId="8125" priority="1024" stopIfTrue="1" operator="between">
      <formula>0</formula>
      <formula>5</formula>
    </cfRule>
    <cfRule type="containsBlanks" dxfId="8124" priority="1025" stopIfTrue="1">
      <formula>LEN(TRIM(Q151))=0</formula>
    </cfRule>
  </conditionalFormatting>
  <conditionalFormatting sqref="Q156">
    <cfRule type="containsBlanks" dxfId="8123" priority="989" stopIfTrue="1">
      <formula>LEN(TRIM(Q156))=0</formula>
    </cfRule>
    <cfRule type="cellIs" dxfId="8122" priority="990" stopIfTrue="1" operator="between">
      <formula>80.1</formula>
      <formula>100</formula>
    </cfRule>
    <cfRule type="cellIs" dxfId="8121" priority="991" stopIfTrue="1" operator="between">
      <formula>35.1</formula>
      <formula>80</formula>
    </cfRule>
    <cfRule type="cellIs" dxfId="8120" priority="992" stopIfTrue="1" operator="between">
      <formula>14.1</formula>
      <formula>35</formula>
    </cfRule>
    <cfRule type="cellIs" dxfId="8119" priority="993" stopIfTrue="1" operator="between">
      <formula>5.1</formula>
      <formula>14</formula>
    </cfRule>
    <cfRule type="cellIs" dxfId="8118" priority="994" stopIfTrue="1" operator="between">
      <formula>0</formula>
      <formula>5</formula>
    </cfRule>
    <cfRule type="containsBlanks" dxfId="8117" priority="995" stopIfTrue="1">
      <formula>LEN(TRIM(Q156))=0</formula>
    </cfRule>
  </conditionalFormatting>
  <conditionalFormatting sqref="R156">
    <cfRule type="cellIs" dxfId="8116" priority="987" stopIfTrue="1" operator="equal">
      <formula>"NO"</formula>
    </cfRule>
  </conditionalFormatting>
  <conditionalFormatting sqref="Q174">
    <cfRule type="containsBlanks" dxfId="8115" priority="884" stopIfTrue="1">
      <formula>LEN(TRIM(Q174))=0</formula>
    </cfRule>
    <cfRule type="cellIs" dxfId="8114" priority="885" stopIfTrue="1" operator="between">
      <formula>80.1</formula>
      <formula>100</formula>
    </cfRule>
    <cfRule type="cellIs" dxfId="8113" priority="886" stopIfTrue="1" operator="between">
      <formula>35.1</formula>
      <formula>80</formula>
    </cfRule>
    <cfRule type="cellIs" dxfId="8112" priority="887" stopIfTrue="1" operator="between">
      <formula>14.1</formula>
      <formula>35</formula>
    </cfRule>
    <cfRule type="cellIs" dxfId="8111" priority="888" stopIfTrue="1" operator="between">
      <formula>5.1</formula>
      <formula>14</formula>
    </cfRule>
    <cfRule type="cellIs" dxfId="8110" priority="889" stopIfTrue="1" operator="between">
      <formula>0</formula>
      <formula>5</formula>
    </cfRule>
    <cfRule type="containsBlanks" dxfId="8109" priority="890" stopIfTrue="1">
      <formula>LEN(TRIM(Q174))=0</formula>
    </cfRule>
  </conditionalFormatting>
  <conditionalFormatting sqref="R174">
    <cfRule type="cellIs" dxfId="8108" priority="882" stopIfTrue="1" operator="equal">
      <formula>"NO"</formula>
    </cfRule>
  </conditionalFormatting>
  <conditionalFormatting sqref="Q175:Q176">
    <cfRule type="containsBlanks" dxfId="8107" priority="869" stopIfTrue="1">
      <formula>LEN(TRIM(Q175))=0</formula>
    </cfRule>
    <cfRule type="cellIs" dxfId="8106" priority="870" stopIfTrue="1" operator="between">
      <formula>80.1</formula>
      <formula>100</formula>
    </cfRule>
    <cfRule type="cellIs" dxfId="8105" priority="871" stopIfTrue="1" operator="between">
      <formula>35.1</formula>
      <formula>80</formula>
    </cfRule>
    <cfRule type="cellIs" dxfId="8104" priority="872" stopIfTrue="1" operator="between">
      <formula>14.1</formula>
      <formula>35</formula>
    </cfRule>
    <cfRule type="cellIs" dxfId="8103" priority="873" stopIfTrue="1" operator="between">
      <formula>5.1</formula>
      <formula>14</formula>
    </cfRule>
    <cfRule type="cellIs" dxfId="8102" priority="874" stopIfTrue="1" operator="between">
      <formula>0</formula>
      <formula>5</formula>
    </cfRule>
    <cfRule type="containsBlanks" dxfId="8101" priority="875" stopIfTrue="1">
      <formula>LEN(TRIM(Q175))=0</formula>
    </cfRule>
  </conditionalFormatting>
  <conditionalFormatting sqref="R175">
    <cfRule type="cellIs" dxfId="8100" priority="867" stopIfTrue="1" operator="equal">
      <formula>"NO"</formula>
    </cfRule>
  </conditionalFormatting>
  <conditionalFormatting sqref="Q182">
    <cfRule type="containsBlanks" dxfId="8099" priority="824" stopIfTrue="1">
      <formula>LEN(TRIM(Q182))=0</formula>
    </cfRule>
    <cfRule type="cellIs" dxfId="8098" priority="825" stopIfTrue="1" operator="between">
      <formula>80.1</formula>
      <formula>100</formula>
    </cfRule>
    <cfRule type="cellIs" dxfId="8097" priority="826" stopIfTrue="1" operator="between">
      <formula>35.1</formula>
      <formula>80</formula>
    </cfRule>
    <cfRule type="cellIs" dxfId="8096" priority="827" stopIfTrue="1" operator="between">
      <formula>14.1</formula>
      <formula>35</formula>
    </cfRule>
    <cfRule type="cellIs" dxfId="8095" priority="828" stopIfTrue="1" operator="between">
      <formula>5.1</formula>
      <formula>14</formula>
    </cfRule>
    <cfRule type="cellIs" dxfId="8094" priority="829" stopIfTrue="1" operator="between">
      <formula>0</formula>
      <formula>5</formula>
    </cfRule>
    <cfRule type="containsBlanks" dxfId="8093" priority="830" stopIfTrue="1">
      <formula>LEN(TRIM(Q182))=0</formula>
    </cfRule>
  </conditionalFormatting>
  <conditionalFormatting sqref="Q184">
    <cfRule type="containsBlanks" dxfId="8092" priority="794" stopIfTrue="1">
      <formula>LEN(TRIM(Q184))=0</formula>
    </cfRule>
    <cfRule type="cellIs" dxfId="8091" priority="795" stopIfTrue="1" operator="between">
      <formula>80.1</formula>
      <formula>100</formula>
    </cfRule>
    <cfRule type="cellIs" dxfId="8090" priority="796" stopIfTrue="1" operator="between">
      <formula>35.1</formula>
      <formula>80</formula>
    </cfRule>
    <cfRule type="cellIs" dxfId="8089" priority="797" stopIfTrue="1" operator="between">
      <formula>14.1</formula>
      <formula>35</formula>
    </cfRule>
    <cfRule type="cellIs" dxfId="8088" priority="798" stopIfTrue="1" operator="between">
      <formula>5.1</formula>
      <formula>14</formula>
    </cfRule>
    <cfRule type="cellIs" dxfId="8087" priority="799" stopIfTrue="1" operator="between">
      <formula>0</formula>
      <formula>5</formula>
    </cfRule>
    <cfRule type="containsBlanks" dxfId="8086" priority="800" stopIfTrue="1">
      <formula>LEN(TRIM(Q184))=0</formula>
    </cfRule>
  </conditionalFormatting>
  <conditionalFormatting sqref="R184">
    <cfRule type="cellIs" dxfId="8085" priority="792" stopIfTrue="1" operator="equal">
      <formula>"NO"</formula>
    </cfRule>
  </conditionalFormatting>
  <conditionalFormatting sqref="Q188:Q191">
    <cfRule type="containsBlanks" dxfId="8084" priority="779" stopIfTrue="1">
      <formula>LEN(TRIM(Q188))=0</formula>
    </cfRule>
    <cfRule type="cellIs" dxfId="8083" priority="780" stopIfTrue="1" operator="between">
      <formula>80.1</formula>
      <formula>100</formula>
    </cfRule>
    <cfRule type="cellIs" dxfId="8082" priority="781" stopIfTrue="1" operator="between">
      <formula>35.1</formula>
      <formula>80</formula>
    </cfRule>
    <cfRule type="cellIs" dxfId="8081" priority="782" stopIfTrue="1" operator="between">
      <formula>14.1</formula>
      <formula>35</formula>
    </cfRule>
    <cfRule type="cellIs" dxfId="8080" priority="783" stopIfTrue="1" operator="between">
      <formula>5.1</formula>
      <formula>14</formula>
    </cfRule>
    <cfRule type="cellIs" dxfId="8079" priority="784" stopIfTrue="1" operator="between">
      <formula>0</formula>
      <formula>5</formula>
    </cfRule>
    <cfRule type="containsBlanks" dxfId="8078" priority="785" stopIfTrue="1">
      <formula>LEN(TRIM(Q188))=0</formula>
    </cfRule>
  </conditionalFormatting>
  <conditionalFormatting sqref="Q193">
    <cfRule type="containsBlanks" dxfId="8077" priority="749" stopIfTrue="1">
      <formula>LEN(TRIM(Q193))=0</formula>
    </cfRule>
    <cfRule type="cellIs" dxfId="8076" priority="750" stopIfTrue="1" operator="between">
      <formula>80.1</formula>
      <formula>100</formula>
    </cfRule>
    <cfRule type="cellIs" dxfId="8075" priority="751" stopIfTrue="1" operator="between">
      <formula>35.1</formula>
      <formula>80</formula>
    </cfRule>
    <cfRule type="cellIs" dxfId="8074" priority="752" stopIfTrue="1" operator="between">
      <formula>14.1</formula>
      <formula>35</formula>
    </cfRule>
    <cfRule type="cellIs" dxfId="8073" priority="753" stopIfTrue="1" operator="between">
      <formula>5.1</formula>
      <formula>14</formula>
    </cfRule>
    <cfRule type="cellIs" dxfId="8072" priority="754" stopIfTrue="1" operator="between">
      <formula>0</formula>
      <formula>5</formula>
    </cfRule>
    <cfRule type="containsBlanks" dxfId="8071" priority="755" stopIfTrue="1">
      <formula>LEN(TRIM(Q193))=0</formula>
    </cfRule>
  </conditionalFormatting>
  <conditionalFormatting sqref="Q194:Q196">
    <cfRule type="containsBlanks" dxfId="8070" priority="734" stopIfTrue="1">
      <formula>LEN(TRIM(Q194))=0</formula>
    </cfRule>
    <cfRule type="cellIs" dxfId="8069" priority="735" stopIfTrue="1" operator="between">
      <formula>80.1</formula>
      <formula>100</formula>
    </cfRule>
    <cfRule type="cellIs" dxfId="8068" priority="736" stopIfTrue="1" operator="between">
      <formula>35.1</formula>
      <formula>80</formula>
    </cfRule>
    <cfRule type="cellIs" dxfId="8067" priority="737" stopIfTrue="1" operator="between">
      <formula>14.1</formula>
      <formula>35</formula>
    </cfRule>
    <cfRule type="cellIs" dxfId="8066" priority="738" stopIfTrue="1" operator="between">
      <formula>5.1</formula>
      <formula>14</formula>
    </cfRule>
    <cfRule type="cellIs" dxfId="8065" priority="739" stopIfTrue="1" operator="between">
      <formula>0</formula>
      <formula>5</formula>
    </cfRule>
    <cfRule type="containsBlanks" dxfId="8064" priority="740" stopIfTrue="1">
      <formula>LEN(TRIM(Q194))=0</formula>
    </cfRule>
  </conditionalFormatting>
  <conditionalFormatting sqref="R195">
    <cfRule type="cellIs" dxfId="8063" priority="732" stopIfTrue="1" operator="equal">
      <formula>"NO"</formula>
    </cfRule>
  </conditionalFormatting>
  <conditionalFormatting sqref="Q197:Q199">
    <cfRule type="containsBlanks" dxfId="8062" priority="719" stopIfTrue="1">
      <formula>LEN(TRIM(Q197))=0</formula>
    </cfRule>
    <cfRule type="cellIs" dxfId="8061" priority="720" stopIfTrue="1" operator="between">
      <formula>80.1</formula>
      <formula>100</formula>
    </cfRule>
    <cfRule type="cellIs" dxfId="8060" priority="721" stopIfTrue="1" operator="between">
      <formula>35.1</formula>
      <formula>80</formula>
    </cfRule>
    <cfRule type="cellIs" dxfId="8059" priority="722" stopIfTrue="1" operator="between">
      <formula>14.1</formula>
      <formula>35</formula>
    </cfRule>
    <cfRule type="cellIs" dxfId="8058" priority="723" stopIfTrue="1" operator="between">
      <formula>5.1</formula>
      <formula>14</formula>
    </cfRule>
    <cfRule type="cellIs" dxfId="8057" priority="724" stopIfTrue="1" operator="between">
      <formula>0</formula>
      <formula>5</formula>
    </cfRule>
    <cfRule type="containsBlanks" dxfId="8056" priority="725" stopIfTrue="1">
      <formula>LEN(TRIM(Q197))=0</formula>
    </cfRule>
  </conditionalFormatting>
  <conditionalFormatting sqref="Q203:Q204">
    <cfRule type="containsBlanks" dxfId="8055" priority="689" stopIfTrue="1">
      <formula>LEN(TRIM(Q203))=0</formula>
    </cfRule>
    <cfRule type="cellIs" dxfId="8054" priority="690" stopIfTrue="1" operator="between">
      <formula>80.1</formula>
      <formula>100</formula>
    </cfRule>
    <cfRule type="cellIs" dxfId="8053" priority="691" stopIfTrue="1" operator="between">
      <formula>35.1</formula>
      <formula>80</formula>
    </cfRule>
    <cfRule type="cellIs" dxfId="8052" priority="692" stopIfTrue="1" operator="between">
      <formula>14.1</formula>
      <formula>35</formula>
    </cfRule>
    <cfRule type="cellIs" dxfId="8051" priority="693" stopIfTrue="1" operator="between">
      <formula>5.1</formula>
      <formula>14</formula>
    </cfRule>
    <cfRule type="cellIs" dxfId="8050" priority="694" stopIfTrue="1" operator="between">
      <formula>0</formula>
      <formula>5</formula>
    </cfRule>
    <cfRule type="containsBlanks" dxfId="8049" priority="695" stopIfTrue="1">
      <formula>LEN(TRIM(Q203))=0</formula>
    </cfRule>
  </conditionalFormatting>
  <conditionalFormatting sqref="Q209:Q210">
    <cfRule type="containsBlanks" dxfId="8048" priority="659" stopIfTrue="1">
      <formula>LEN(TRIM(Q209))=0</formula>
    </cfRule>
    <cfRule type="cellIs" dxfId="8047" priority="660" stopIfTrue="1" operator="between">
      <formula>80.1</formula>
      <formula>100</formula>
    </cfRule>
    <cfRule type="cellIs" dxfId="8046" priority="661" stopIfTrue="1" operator="between">
      <formula>35.1</formula>
      <formula>80</formula>
    </cfRule>
    <cfRule type="cellIs" dxfId="8045" priority="662" stopIfTrue="1" operator="between">
      <formula>14.1</formula>
      <formula>35</formula>
    </cfRule>
    <cfRule type="cellIs" dxfId="8044" priority="663" stopIfTrue="1" operator="between">
      <formula>5.1</formula>
      <formula>14</formula>
    </cfRule>
    <cfRule type="cellIs" dxfId="8043" priority="664" stopIfTrue="1" operator="between">
      <formula>0</formula>
      <formula>5</formula>
    </cfRule>
    <cfRule type="containsBlanks" dxfId="8042" priority="665" stopIfTrue="1">
      <formula>LEN(TRIM(Q209))=0</formula>
    </cfRule>
  </conditionalFormatting>
  <conditionalFormatting sqref="E104:P104">
    <cfRule type="containsBlanks" dxfId="8041" priority="644" stopIfTrue="1">
      <formula>LEN(TRIM(E104))=0</formula>
    </cfRule>
    <cfRule type="cellIs" dxfId="8040" priority="645" stopIfTrue="1" operator="between">
      <formula>79.1</formula>
      <formula>100</formula>
    </cfRule>
    <cfRule type="cellIs" dxfId="8039" priority="646" stopIfTrue="1" operator="between">
      <formula>34.1</formula>
      <formula>79</formula>
    </cfRule>
    <cfRule type="cellIs" dxfId="8038" priority="647" stopIfTrue="1" operator="between">
      <formula>13.1</formula>
      <formula>34</formula>
    </cfRule>
    <cfRule type="cellIs" dxfId="8037" priority="648" stopIfTrue="1" operator="between">
      <formula>5.1</formula>
      <formula>13</formula>
    </cfRule>
    <cfRule type="cellIs" dxfId="8036" priority="649" stopIfTrue="1" operator="between">
      <formula>0</formula>
      <formula>5</formula>
    </cfRule>
    <cfRule type="containsBlanks" dxfId="8035" priority="650" stopIfTrue="1">
      <formula>LEN(TRIM(E104))=0</formula>
    </cfRule>
  </conditionalFormatting>
  <conditionalFormatting sqref="E107:P107">
    <cfRule type="containsBlanks" dxfId="8034" priority="637" stopIfTrue="1">
      <formula>LEN(TRIM(E107))=0</formula>
    </cfRule>
    <cfRule type="cellIs" dxfId="8033" priority="638" stopIfTrue="1" operator="between">
      <formula>79.1</formula>
      <formula>100</formula>
    </cfRule>
    <cfRule type="cellIs" dxfId="8032" priority="639" stopIfTrue="1" operator="between">
      <formula>34.1</formula>
      <formula>79</formula>
    </cfRule>
    <cfRule type="cellIs" dxfId="8031" priority="640" stopIfTrue="1" operator="between">
      <formula>13.1</formula>
      <formula>34</formula>
    </cfRule>
    <cfRule type="cellIs" dxfId="8030" priority="641" stopIfTrue="1" operator="between">
      <formula>5.1</formula>
      <formula>13</formula>
    </cfRule>
    <cfRule type="cellIs" dxfId="8029" priority="642" stopIfTrue="1" operator="between">
      <formula>0</formula>
      <formula>5</formula>
    </cfRule>
    <cfRule type="containsBlanks" dxfId="8028" priority="643" stopIfTrue="1">
      <formula>LEN(TRIM(E107))=0</formula>
    </cfRule>
  </conditionalFormatting>
  <conditionalFormatting sqref="E105:P105">
    <cfRule type="containsBlanks" dxfId="8027" priority="630" stopIfTrue="1">
      <formula>LEN(TRIM(E105))=0</formula>
    </cfRule>
    <cfRule type="cellIs" dxfId="8026" priority="631" stopIfTrue="1" operator="between">
      <formula>79.1</formula>
      <formula>100</formula>
    </cfRule>
    <cfRule type="cellIs" dxfId="8025" priority="632" stopIfTrue="1" operator="between">
      <formula>34.1</formula>
      <formula>79</formula>
    </cfRule>
    <cfRule type="cellIs" dxfId="8024" priority="633" stopIfTrue="1" operator="between">
      <formula>13.1</formula>
      <formula>34</formula>
    </cfRule>
    <cfRule type="cellIs" dxfId="8023" priority="634" stopIfTrue="1" operator="between">
      <formula>5.1</formula>
      <formula>13</formula>
    </cfRule>
    <cfRule type="cellIs" dxfId="8022" priority="635" stopIfTrue="1" operator="between">
      <formula>0</formula>
      <formula>5</formula>
    </cfRule>
    <cfRule type="containsBlanks" dxfId="8021" priority="636" stopIfTrue="1">
      <formula>LEN(TRIM(E105))=0</formula>
    </cfRule>
  </conditionalFormatting>
  <conditionalFormatting sqref="E106:P106">
    <cfRule type="containsBlanks" dxfId="8020" priority="623" stopIfTrue="1">
      <formula>LEN(TRIM(E106))=0</formula>
    </cfRule>
    <cfRule type="cellIs" dxfId="8019" priority="624" stopIfTrue="1" operator="between">
      <formula>79.1</formula>
      <formula>100</formula>
    </cfRule>
    <cfRule type="cellIs" dxfId="8018" priority="625" stopIfTrue="1" operator="between">
      <formula>34.1</formula>
      <formula>79</formula>
    </cfRule>
    <cfRule type="cellIs" dxfId="8017" priority="626" stopIfTrue="1" operator="between">
      <formula>13.1</formula>
      <formula>34</formula>
    </cfRule>
    <cfRule type="cellIs" dxfId="8016" priority="627" stopIfTrue="1" operator="between">
      <formula>5.1</formula>
      <formula>13</formula>
    </cfRule>
    <cfRule type="cellIs" dxfId="8015" priority="628" stopIfTrue="1" operator="between">
      <formula>0</formula>
      <formula>5</formula>
    </cfRule>
    <cfRule type="containsBlanks" dxfId="8014" priority="629" stopIfTrue="1">
      <formula>LEN(TRIM(E106))=0</formula>
    </cfRule>
  </conditionalFormatting>
  <conditionalFormatting sqref="E118:P118">
    <cfRule type="containsBlanks" dxfId="8013" priority="616" stopIfTrue="1">
      <formula>LEN(TRIM(E118))=0</formula>
    </cfRule>
    <cfRule type="cellIs" dxfId="8012" priority="617" stopIfTrue="1" operator="between">
      <formula>79.1</formula>
      <formula>100</formula>
    </cfRule>
    <cfRule type="cellIs" dxfId="8011" priority="618" stopIfTrue="1" operator="between">
      <formula>34.1</formula>
      <formula>79</formula>
    </cfRule>
    <cfRule type="cellIs" dxfId="8010" priority="619" stopIfTrue="1" operator="between">
      <formula>13.1</formula>
      <formula>34</formula>
    </cfRule>
    <cfRule type="cellIs" dxfId="8009" priority="620" stopIfTrue="1" operator="between">
      <formula>5.1</formula>
      <formula>13</formula>
    </cfRule>
    <cfRule type="cellIs" dxfId="8008" priority="621" stopIfTrue="1" operator="between">
      <formula>0</formula>
      <formula>5</formula>
    </cfRule>
    <cfRule type="containsBlanks" dxfId="8007" priority="622" stopIfTrue="1">
      <formula>LEN(TRIM(E118))=0</formula>
    </cfRule>
  </conditionalFormatting>
  <conditionalFormatting sqref="N108:P108 E108:L108">
    <cfRule type="containsBlanks" dxfId="8006" priority="609" stopIfTrue="1">
      <formula>LEN(TRIM(E108))=0</formula>
    </cfRule>
    <cfRule type="cellIs" dxfId="8005" priority="610" stopIfTrue="1" operator="between">
      <formula>79.1</formula>
      <formula>100</formula>
    </cfRule>
    <cfRule type="cellIs" dxfId="8004" priority="611" stopIfTrue="1" operator="between">
      <formula>34.1</formula>
      <formula>79</formula>
    </cfRule>
    <cfRule type="cellIs" dxfId="8003" priority="612" stopIfTrue="1" operator="between">
      <formula>13.1</formula>
      <formula>34</formula>
    </cfRule>
    <cfRule type="cellIs" dxfId="8002" priority="613" stopIfTrue="1" operator="between">
      <formula>5.1</formula>
      <formula>13</formula>
    </cfRule>
    <cfRule type="cellIs" dxfId="8001" priority="614" stopIfTrue="1" operator="between">
      <formula>0</formula>
      <formula>5</formula>
    </cfRule>
    <cfRule type="containsBlanks" dxfId="8000" priority="615" stopIfTrue="1">
      <formula>LEN(TRIM(E108))=0</formula>
    </cfRule>
  </conditionalFormatting>
  <conditionalFormatting sqref="M108">
    <cfRule type="containsBlanks" dxfId="7999" priority="602" stopIfTrue="1">
      <formula>LEN(TRIM(M108))=0</formula>
    </cfRule>
    <cfRule type="cellIs" dxfId="7998" priority="603" stopIfTrue="1" operator="between">
      <formula>79.1</formula>
      <formula>100</formula>
    </cfRule>
    <cfRule type="cellIs" dxfId="7997" priority="604" stopIfTrue="1" operator="between">
      <formula>34.1</formula>
      <formula>79</formula>
    </cfRule>
    <cfRule type="cellIs" dxfId="7996" priority="605" stopIfTrue="1" operator="between">
      <formula>13.1</formula>
      <formula>34</formula>
    </cfRule>
    <cfRule type="cellIs" dxfId="7995" priority="606" stopIfTrue="1" operator="between">
      <formula>5.1</formula>
      <formula>13</formula>
    </cfRule>
    <cfRule type="cellIs" dxfId="7994" priority="607" stopIfTrue="1" operator="between">
      <formula>0</formula>
      <formula>5</formula>
    </cfRule>
    <cfRule type="containsBlanks" dxfId="7993" priority="608" stopIfTrue="1">
      <formula>LEN(TRIM(M108))=0</formula>
    </cfRule>
  </conditionalFormatting>
  <conditionalFormatting sqref="E121:P121">
    <cfRule type="containsBlanks" dxfId="7992" priority="581" stopIfTrue="1">
      <formula>LEN(TRIM(E121))=0</formula>
    </cfRule>
    <cfRule type="cellIs" dxfId="7991" priority="582" stopIfTrue="1" operator="between">
      <formula>79.1</formula>
      <formula>100</formula>
    </cfRule>
    <cfRule type="cellIs" dxfId="7990" priority="583" stopIfTrue="1" operator="between">
      <formula>34.1</formula>
      <formula>79</formula>
    </cfRule>
    <cfRule type="cellIs" dxfId="7989" priority="584" stopIfTrue="1" operator="between">
      <formula>13.1</formula>
      <formula>34</formula>
    </cfRule>
    <cfRule type="cellIs" dxfId="7988" priority="585" stopIfTrue="1" operator="between">
      <formula>5.1</formula>
      <formula>13</formula>
    </cfRule>
    <cfRule type="cellIs" dxfId="7987" priority="586" stopIfTrue="1" operator="between">
      <formula>0</formula>
      <formula>5</formula>
    </cfRule>
    <cfRule type="containsBlanks" dxfId="7986" priority="587" stopIfTrue="1">
      <formula>LEN(TRIM(E121))=0</formula>
    </cfRule>
  </conditionalFormatting>
  <conditionalFormatting sqref="E120:P120">
    <cfRule type="containsBlanks" dxfId="7985" priority="574" stopIfTrue="1">
      <formula>LEN(TRIM(E120))=0</formula>
    </cfRule>
    <cfRule type="cellIs" dxfId="7984" priority="575" stopIfTrue="1" operator="between">
      <formula>79.1</formula>
      <formula>100</formula>
    </cfRule>
    <cfRule type="cellIs" dxfId="7983" priority="576" stopIfTrue="1" operator="between">
      <formula>34.1</formula>
      <formula>79</formula>
    </cfRule>
    <cfRule type="cellIs" dxfId="7982" priority="577" stopIfTrue="1" operator="between">
      <formula>13.1</formula>
      <formula>34</formula>
    </cfRule>
    <cfRule type="cellIs" dxfId="7981" priority="578" stopIfTrue="1" operator="between">
      <formula>5.1</formula>
      <formula>13</formula>
    </cfRule>
    <cfRule type="cellIs" dxfId="7980" priority="579" stopIfTrue="1" operator="between">
      <formula>0</formula>
      <formula>5</formula>
    </cfRule>
    <cfRule type="containsBlanks" dxfId="7979" priority="580" stopIfTrue="1">
      <formula>LEN(TRIM(E120))=0</formula>
    </cfRule>
  </conditionalFormatting>
  <conditionalFormatting sqref="E109:P109">
    <cfRule type="containsBlanks" dxfId="7978" priority="482" stopIfTrue="1">
      <formula>LEN(TRIM(E109))=0</formula>
    </cfRule>
    <cfRule type="cellIs" dxfId="7977" priority="483" stopIfTrue="1" operator="between">
      <formula>79.1</formula>
      <formula>100</formula>
    </cfRule>
    <cfRule type="cellIs" dxfId="7976" priority="484" stopIfTrue="1" operator="between">
      <formula>34.1</formula>
      <formula>79</formula>
    </cfRule>
    <cfRule type="cellIs" dxfId="7975" priority="485" stopIfTrue="1" operator="between">
      <formula>13.1</formula>
      <formula>34</formula>
    </cfRule>
    <cfRule type="cellIs" dxfId="7974" priority="486" stopIfTrue="1" operator="between">
      <formula>5.1</formula>
      <formula>13</formula>
    </cfRule>
    <cfRule type="cellIs" dxfId="7973" priority="487" stopIfTrue="1" operator="between">
      <formula>0</formula>
      <formula>5</formula>
    </cfRule>
    <cfRule type="containsBlanks" dxfId="7972" priority="488" stopIfTrue="1">
      <formula>LEN(TRIM(E109))=0</formula>
    </cfRule>
  </conditionalFormatting>
  <conditionalFormatting sqref="E119:P119">
    <cfRule type="containsBlanks" dxfId="7971" priority="553" stopIfTrue="1">
      <formula>LEN(TRIM(E119))=0</formula>
    </cfRule>
    <cfRule type="cellIs" dxfId="7970" priority="554" stopIfTrue="1" operator="between">
      <formula>79.1</formula>
      <formula>100</formula>
    </cfRule>
    <cfRule type="cellIs" dxfId="7969" priority="555" stopIfTrue="1" operator="between">
      <formula>34.1</formula>
      <formula>79</formula>
    </cfRule>
    <cfRule type="cellIs" dxfId="7968" priority="556" stopIfTrue="1" operator="between">
      <formula>13.1</formula>
      <formula>34</formula>
    </cfRule>
    <cfRule type="cellIs" dxfId="7967" priority="557" stopIfTrue="1" operator="between">
      <formula>5.1</formula>
      <formula>13</formula>
    </cfRule>
    <cfRule type="cellIs" dxfId="7966" priority="558" stopIfTrue="1" operator="between">
      <formula>0</formula>
      <formula>5</formula>
    </cfRule>
    <cfRule type="containsBlanks" dxfId="7965" priority="559" stopIfTrue="1">
      <formula>LEN(TRIM(E119))=0</formula>
    </cfRule>
  </conditionalFormatting>
  <conditionalFormatting sqref="E115:P115">
    <cfRule type="containsBlanks" dxfId="7964" priority="546" stopIfTrue="1">
      <formula>LEN(TRIM(E115))=0</formula>
    </cfRule>
    <cfRule type="cellIs" dxfId="7963" priority="547" stopIfTrue="1" operator="between">
      <formula>79.1</formula>
      <formula>100</formula>
    </cfRule>
    <cfRule type="cellIs" dxfId="7962" priority="548" stopIfTrue="1" operator="between">
      <formula>34.1</formula>
      <formula>79</formula>
    </cfRule>
    <cfRule type="cellIs" dxfId="7961" priority="549" stopIfTrue="1" operator="between">
      <formula>13.1</formula>
      <formula>34</formula>
    </cfRule>
    <cfRule type="cellIs" dxfId="7960" priority="550" stopIfTrue="1" operator="between">
      <formula>5.1</formula>
      <formula>13</formula>
    </cfRule>
    <cfRule type="cellIs" dxfId="7959" priority="551" stopIfTrue="1" operator="between">
      <formula>0</formula>
      <formula>5</formula>
    </cfRule>
    <cfRule type="containsBlanks" dxfId="7958" priority="552" stopIfTrue="1">
      <formula>LEN(TRIM(E115))=0</formula>
    </cfRule>
  </conditionalFormatting>
  <conditionalFormatting sqref="E113:P113">
    <cfRule type="containsBlanks" dxfId="7957" priority="532" stopIfTrue="1">
      <formula>LEN(TRIM(E113))=0</formula>
    </cfRule>
    <cfRule type="cellIs" dxfId="7956" priority="533" stopIfTrue="1" operator="between">
      <formula>79.1</formula>
      <formula>100</formula>
    </cfRule>
    <cfRule type="cellIs" dxfId="7955" priority="534" stopIfTrue="1" operator="between">
      <formula>34.1</formula>
      <formula>79</formula>
    </cfRule>
    <cfRule type="cellIs" dxfId="7954" priority="535" stopIfTrue="1" operator="between">
      <formula>13.1</formula>
      <formula>34</formula>
    </cfRule>
    <cfRule type="cellIs" dxfId="7953" priority="536" stopIfTrue="1" operator="between">
      <formula>5.1</formula>
      <formula>13</formula>
    </cfRule>
    <cfRule type="cellIs" dxfId="7952" priority="537" stopIfTrue="1" operator="between">
      <formula>0</formula>
      <formula>5</formula>
    </cfRule>
    <cfRule type="containsBlanks" dxfId="7951" priority="538" stopIfTrue="1">
      <formula>LEN(TRIM(E113))=0</formula>
    </cfRule>
  </conditionalFormatting>
  <conditionalFormatting sqref="E112:P112">
    <cfRule type="containsBlanks" dxfId="7950" priority="510" stopIfTrue="1">
      <formula>LEN(TRIM(E112))=0</formula>
    </cfRule>
    <cfRule type="cellIs" dxfId="7949" priority="511" stopIfTrue="1" operator="between">
      <formula>79.1</formula>
      <formula>100</formula>
    </cfRule>
    <cfRule type="cellIs" dxfId="7948" priority="512" stopIfTrue="1" operator="between">
      <formula>34.1</formula>
      <formula>79</formula>
    </cfRule>
    <cfRule type="cellIs" dxfId="7947" priority="513" stopIfTrue="1" operator="between">
      <formula>13.1</formula>
      <formula>34</formula>
    </cfRule>
    <cfRule type="cellIs" dxfId="7946" priority="514" stopIfTrue="1" operator="between">
      <formula>5.1</formula>
      <formula>13</formula>
    </cfRule>
    <cfRule type="cellIs" dxfId="7945" priority="515" stopIfTrue="1" operator="between">
      <formula>0</formula>
      <formula>5</formula>
    </cfRule>
    <cfRule type="containsBlanks" dxfId="7944" priority="516" stopIfTrue="1">
      <formula>LEN(TRIM(E112))=0</formula>
    </cfRule>
  </conditionalFormatting>
  <conditionalFormatting sqref="E111:P111">
    <cfRule type="containsBlanks" dxfId="7943" priority="503" stopIfTrue="1">
      <formula>LEN(TRIM(E111))=0</formula>
    </cfRule>
    <cfRule type="cellIs" dxfId="7942" priority="504" stopIfTrue="1" operator="between">
      <formula>79.1</formula>
      <formula>100</formula>
    </cfRule>
    <cfRule type="cellIs" dxfId="7941" priority="505" stopIfTrue="1" operator="between">
      <formula>34.1</formula>
      <formula>79</formula>
    </cfRule>
    <cfRule type="cellIs" dxfId="7940" priority="506" stopIfTrue="1" operator="between">
      <formula>13.1</formula>
      <formula>34</formula>
    </cfRule>
    <cfRule type="cellIs" dxfId="7939" priority="507" stopIfTrue="1" operator="between">
      <formula>5.1</formula>
      <formula>13</formula>
    </cfRule>
    <cfRule type="cellIs" dxfId="7938" priority="508" stopIfTrue="1" operator="between">
      <formula>0</formula>
      <formula>5</formula>
    </cfRule>
    <cfRule type="containsBlanks" dxfId="7937" priority="509" stopIfTrue="1">
      <formula>LEN(TRIM(E111))=0</formula>
    </cfRule>
  </conditionalFormatting>
  <conditionalFormatting sqref="E110:P110">
    <cfRule type="containsBlanks" dxfId="7936" priority="496" stopIfTrue="1">
      <formula>LEN(TRIM(E110))=0</formula>
    </cfRule>
    <cfRule type="cellIs" dxfId="7935" priority="497" stopIfTrue="1" operator="between">
      <formula>79.1</formula>
      <formula>100</formula>
    </cfRule>
    <cfRule type="cellIs" dxfId="7934" priority="498" stopIfTrue="1" operator="between">
      <formula>34.1</formula>
      <formula>79</formula>
    </cfRule>
    <cfRule type="cellIs" dxfId="7933" priority="499" stopIfTrue="1" operator="between">
      <formula>13.1</formula>
      <formula>34</formula>
    </cfRule>
    <cfRule type="cellIs" dxfId="7932" priority="500" stopIfTrue="1" operator="between">
      <formula>5.1</formula>
      <formula>13</formula>
    </cfRule>
    <cfRule type="cellIs" dxfId="7931" priority="501" stopIfTrue="1" operator="between">
      <formula>0</formula>
      <formula>5</formula>
    </cfRule>
    <cfRule type="containsBlanks" dxfId="7930" priority="502" stopIfTrue="1">
      <formula>LEN(TRIM(E110))=0</formula>
    </cfRule>
  </conditionalFormatting>
  <conditionalFormatting sqref="Q149">
    <cfRule type="containsBlanks" dxfId="7929" priority="475" stopIfTrue="1">
      <formula>LEN(TRIM(Q149))=0</formula>
    </cfRule>
    <cfRule type="cellIs" dxfId="7928" priority="476" stopIfTrue="1" operator="between">
      <formula>80.1</formula>
      <formula>100</formula>
    </cfRule>
    <cfRule type="cellIs" dxfId="7927" priority="477" stopIfTrue="1" operator="between">
      <formula>35.1</formula>
      <formula>80</formula>
    </cfRule>
    <cfRule type="cellIs" dxfId="7926" priority="478" stopIfTrue="1" operator="between">
      <formula>14.1</formula>
      <formula>35</formula>
    </cfRule>
    <cfRule type="cellIs" dxfId="7925" priority="479" stopIfTrue="1" operator="between">
      <formula>5.1</formula>
      <formula>14</formula>
    </cfRule>
    <cfRule type="cellIs" dxfId="7924" priority="480" stopIfTrue="1" operator="between">
      <formula>0</formula>
      <formula>5</formula>
    </cfRule>
    <cfRule type="containsBlanks" dxfId="7923" priority="481" stopIfTrue="1">
      <formula>LEN(TRIM(Q149))=0</formula>
    </cfRule>
  </conditionalFormatting>
  <conditionalFormatting sqref="R149:R155">
    <cfRule type="cellIs" dxfId="7922" priority="473" stopIfTrue="1" operator="equal">
      <formula>"NO"</formula>
    </cfRule>
  </conditionalFormatting>
  <conditionalFormatting sqref="E158:P158">
    <cfRule type="containsBlanks" dxfId="7921" priority="362" stopIfTrue="1">
      <formula>LEN(TRIM(E158))=0</formula>
    </cfRule>
    <cfRule type="cellIs" dxfId="7920" priority="363" stopIfTrue="1" operator="between">
      <formula>80.1</formula>
      <formula>100</formula>
    </cfRule>
    <cfRule type="cellIs" dxfId="7919" priority="364" stopIfTrue="1" operator="between">
      <formula>35.1</formula>
      <formula>80</formula>
    </cfRule>
    <cfRule type="cellIs" dxfId="7918" priority="365" stopIfTrue="1" operator="between">
      <formula>14.1</formula>
      <formula>35</formula>
    </cfRule>
    <cfRule type="cellIs" dxfId="7917" priority="366" stopIfTrue="1" operator="between">
      <formula>5.1</formula>
      <formula>14</formula>
    </cfRule>
    <cfRule type="cellIs" dxfId="7916" priority="367" stopIfTrue="1" operator="between">
      <formula>0</formula>
      <formula>5</formula>
    </cfRule>
    <cfRule type="containsBlanks" dxfId="7915" priority="368" stopIfTrue="1">
      <formula>LEN(TRIM(E158))=0</formula>
    </cfRule>
  </conditionalFormatting>
  <conditionalFormatting sqref="E160:P160">
    <cfRule type="containsBlanks" dxfId="7914" priority="460" stopIfTrue="1">
      <formula>LEN(TRIM(E160))=0</formula>
    </cfRule>
    <cfRule type="cellIs" dxfId="7913" priority="461" stopIfTrue="1" operator="between">
      <formula>80.1</formula>
      <formula>100</formula>
    </cfRule>
    <cfRule type="cellIs" dxfId="7912" priority="462" stopIfTrue="1" operator="between">
      <formula>35.1</formula>
      <formula>80</formula>
    </cfRule>
    <cfRule type="cellIs" dxfId="7911" priority="463" stopIfTrue="1" operator="between">
      <formula>14.1</formula>
      <formula>35</formula>
    </cfRule>
    <cfRule type="cellIs" dxfId="7910" priority="464" stopIfTrue="1" operator="between">
      <formula>5.1</formula>
      <formula>14</formula>
    </cfRule>
    <cfRule type="cellIs" dxfId="7909" priority="465" stopIfTrue="1" operator="between">
      <formula>0</formula>
      <formula>5</formula>
    </cfRule>
    <cfRule type="containsBlanks" dxfId="7908" priority="466" stopIfTrue="1">
      <formula>LEN(TRIM(E160))=0</formula>
    </cfRule>
  </conditionalFormatting>
  <conditionalFormatting sqref="E171:P171">
    <cfRule type="containsBlanks" dxfId="7907" priority="453" stopIfTrue="1">
      <formula>LEN(TRIM(E171))=0</formula>
    </cfRule>
    <cfRule type="cellIs" dxfId="7906" priority="454" stopIfTrue="1" operator="between">
      <formula>80.1</formula>
      <formula>100</formula>
    </cfRule>
    <cfRule type="cellIs" dxfId="7905" priority="455" stopIfTrue="1" operator="between">
      <formula>35.1</formula>
      <formula>80</formula>
    </cfRule>
    <cfRule type="cellIs" dxfId="7904" priority="456" stopIfTrue="1" operator="between">
      <formula>14.1</formula>
      <formula>35</formula>
    </cfRule>
    <cfRule type="cellIs" dxfId="7903" priority="457" stopIfTrue="1" operator="between">
      <formula>5.1</formula>
      <formula>14</formula>
    </cfRule>
    <cfRule type="cellIs" dxfId="7902" priority="458" stopIfTrue="1" operator="between">
      <formula>0</formula>
      <formula>5</formula>
    </cfRule>
    <cfRule type="containsBlanks" dxfId="7901" priority="459" stopIfTrue="1">
      <formula>LEN(TRIM(E171))=0</formula>
    </cfRule>
  </conditionalFormatting>
  <conditionalFormatting sqref="E172:P172">
    <cfRule type="containsBlanks" dxfId="7900" priority="446" stopIfTrue="1">
      <formula>LEN(TRIM(E172))=0</formula>
    </cfRule>
    <cfRule type="cellIs" dxfId="7899" priority="447" stopIfTrue="1" operator="between">
      <formula>80.1</formula>
      <formula>100</formula>
    </cfRule>
    <cfRule type="cellIs" dxfId="7898" priority="448" stopIfTrue="1" operator="between">
      <formula>35.1</formula>
      <formula>80</formula>
    </cfRule>
    <cfRule type="cellIs" dxfId="7897" priority="449" stopIfTrue="1" operator="between">
      <formula>14.1</formula>
      <formula>35</formula>
    </cfRule>
    <cfRule type="cellIs" dxfId="7896" priority="450" stopIfTrue="1" operator="between">
      <formula>5.1</formula>
      <formula>14</formula>
    </cfRule>
    <cfRule type="cellIs" dxfId="7895" priority="451" stopIfTrue="1" operator="between">
      <formula>0</formula>
      <formula>5</formula>
    </cfRule>
    <cfRule type="containsBlanks" dxfId="7894" priority="452" stopIfTrue="1">
      <formula>LEN(TRIM(E172))=0</formula>
    </cfRule>
  </conditionalFormatting>
  <conditionalFormatting sqref="E173:P173">
    <cfRule type="containsBlanks" dxfId="7893" priority="439" stopIfTrue="1">
      <formula>LEN(TRIM(E173))=0</formula>
    </cfRule>
    <cfRule type="cellIs" dxfId="7892" priority="440" stopIfTrue="1" operator="between">
      <formula>80.1</formula>
      <formula>100</formula>
    </cfRule>
    <cfRule type="cellIs" dxfId="7891" priority="441" stopIfTrue="1" operator="between">
      <formula>35.1</formula>
      <formula>80</formula>
    </cfRule>
    <cfRule type="cellIs" dxfId="7890" priority="442" stopIfTrue="1" operator="between">
      <formula>14.1</formula>
      <formula>35</formula>
    </cfRule>
    <cfRule type="cellIs" dxfId="7889" priority="443" stopIfTrue="1" operator="between">
      <formula>5.1</formula>
      <formula>14</formula>
    </cfRule>
    <cfRule type="cellIs" dxfId="7888" priority="444" stopIfTrue="1" operator="between">
      <formula>0</formula>
      <formula>5</formula>
    </cfRule>
    <cfRule type="containsBlanks" dxfId="7887" priority="445" stopIfTrue="1">
      <formula>LEN(TRIM(E173))=0</formula>
    </cfRule>
  </conditionalFormatting>
  <conditionalFormatting sqref="E163:P163">
    <cfRule type="containsBlanks" dxfId="7886" priority="425" stopIfTrue="1">
      <formula>LEN(TRIM(E163))=0</formula>
    </cfRule>
    <cfRule type="cellIs" dxfId="7885" priority="426" stopIfTrue="1" operator="between">
      <formula>80.1</formula>
      <formula>100</formula>
    </cfRule>
    <cfRule type="cellIs" dxfId="7884" priority="427" stopIfTrue="1" operator="between">
      <formula>35.1</formula>
      <formula>80</formula>
    </cfRule>
    <cfRule type="cellIs" dxfId="7883" priority="428" stopIfTrue="1" operator="between">
      <formula>14.1</formula>
      <formula>35</formula>
    </cfRule>
    <cfRule type="cellIs" dxfId="7882" priority="429" stopIfTrue="1" operator="between">
      <formula>5.1</formula>
      <formula>14</formula>
    </cfRule>
    <cfRule type="cellIs" dxfId="7881" priority="430" stopIfTrue="1" operator="between">
      <formula>0</formula>
      <formula>5</formula>
    </cfRule>
    <cfRule type="containsBlanks" dxfId="7880" priority="431" stopIfTrue="1">
      <formula>LEN(TRIM(E163))=0</formula>
    </cfRule>
  </conditionalFormatting>
  <conditionalFormatting sqref="E161:P161">
    <cfRule type="containsBlanks" dxfId="7879" priority="348" stopIfTrue="1">
      <formula>LEN(TRIM(E161))=0</formula>
    </cfRule>
    <cfRule type="cellIs" dxfId="7878" priority="349" stopIfTrue="1" operator="between">
      <formula>80.1</formula>
      <formula>100</formula>
    </cfRule>
    <cfRule type="cellIs" dxfId="7877" priority="350" stopIfTrue="1" operator="between">
      <formula>35.1</formula>
      <formula>80</formula>
    </cfRule>
    <cfRule type="cellIs" dxfId="7876" priority="351" stopIfTrue="1" operator="between">
      <formula>14.1</formula>
      <formula>35</formula>
    </cfRule>
    <cfRule type="cellIs" dxfId="7875" priority="352" stopIfTrue="1" operator="between">
      <formula>5.1</formula>
      <formula>14</formula>
    </cfRule>
    <cfRule type="cellIs" dxfId="7874" priority="353" stopIfTrue="1" operator="between">
      <formula>0</formula>
      <formula>5</formula>
    </cfRule>
    <cfRule type="containsBlanks" dxfId="7873" priority="354" stopIfTrue="1">
      <formula>LEN(TRIM(E161))=0</formula>
    </cfRule>
  </conditionalFormatting>
  <conditionalFormatting sqref="E164:P165">
    <cfRule type="containsBlanks" dxfId="7872" priority="418" stopIfTrue="1">
      <formula>LEN(TRIM(E164))=0</formula>
    </cfRule>
    <cfRule type="cellIs" dxfId="7871" priority="419" stopIfTrue="1" operator="between">
      <formula>80.1</formula>
      <formula>100</formula>
    </cfRule>
    <cfRule type="cellIs" dxfId="7870" priority="420" stopIfTrue="1" operator="between">
      <formula>35.1</formula>
      <formula>80</formula>
    </cfRule>
    <cfRule type="cellIs" dxfId="7869" priority="421" stopIfTrue="1" operator="between">
      <formula>14.1</formula>
      <formula>35</formula>
    </cfRule>
    <cfRule type="cellIs" dxfId="7868" priority="422" stopIfTrue="1" operator="between">
      <formula>5.1</formula>
      <formula>14</formula>
    </cfRule>
    <cfRule type="cellIs" dxfId="7867" priority="423" stopIfTrue="1" operator="between">
      <formula>0</formula>
      <formula>5</formula>
    </cfRule>
    <cfRule type="containsBlanks" dxfId="7866" priority="424" stopIfTrue="1">
      <formula>LEN(TRIM(E164))=0</formula>
    </cfRule>
  </conditionalFormatting>
  <conditionalFormatting sqref="E182:O182">
    <cfRule type="containsBlanks" dxfId="7865" priority="292" stopIfTrue="1">
      <formula>LEN(TRIM(E182))=0</formula>
    </cfRule>
    <cfRule type="cellIs" dxfId="7864" priority="293" stopIfTrue="1" operator="between">
      <formula>80.1</formula>
      <formula>100</formula>
    </cfRule>
    <cfRule type="cellIs" dxfId="7863" priority="294" stopIfTrue="1" operator="between">
      <formula>35.1</formula>
      <formula>80</formula>
    </cfRule>
    <cfRule type="cellIs" dxfId="7862" priority="295" stopIfTrue="1" operator="between">
      <formula>14.1</formula>
      <formula>35</formula>
    </cfRule>
    <cfRule type="cellIs" dxfId="7861" priority="296" stopIfTrue="1" operator="between">
      <formula>5.1</formula>
      <formula>14</formula>
    </cfRule>
    <cfRule type="cellIs" dxfId="7860" priority="297" stopIfTrue="1" operator="between">
      <formula>0</formula>
      <formula>5</formula>
    </cfRule>
    <cfRule type="containsBlanks" dxfId="7859" priority="298" stopIfTrue="1">
      <formula>LEN(TRIM(E182))=0</formula>
    </cfRule>
  </conditionalFormatting>
  <conditionalFormatting sqref="E170:P170">
    <cfRule type="containsBlanks" dxfId="7858" priority="397" stopIfTrue="1">
      <formula>LEN(TRIM(E170))=0</formula>
    </cfRule>
    <cfRule type="cellIs" dxfId="7857" priority="398" stopIfTrue="1" operator="between">
      <formula>80.1</formula>
      <formula>100</formula>
    </cfRule>
    <cfRule type="cellIs" dxfId="7856" priority="399" stopIfTrue="1" operator="between">
      <formula>35.1</formula>
      <formula>80</formula>
    </cfRule>
    <cfRule type="cellIs" dxfId="7855" priority="400" stopIfTrue="1" operator="between">
      <formula>14.1</formula>
      <formula>35</formula>
    </cfRule>
    <cfRule type="cellIs" dxfId="7854" priority="401" stopIfTrue="1" operator="between">
      <formula>5.1</formula>
      <formula>14</formula>
    </cfRule>
    <cfRule type="cellIs" dxfId="7853" priority="402" stopIfTrue="1" operator="between">
      <formula>0</formula>
      <formula>5</formula>
    </cfRule>
    <cfRule type="containsBlanks" dxfId="7852" priority="403" stopIfTrue="1">
      <formula>LEN(TRIM(E170))=0</formula>
    </cfRule>
  </conditionalFormatting>
  <conditionalFormatting sqref="E157:P157">
    <cfRule type="containsBlanks" dxfId="7851" priority="390" stopIfTrue="1">
      <formula>LEN(TRIM(E157))=0</formula>
    </cfRule>
    <cfRule type="cellIs" dxfId="7850" priority="391" stopIfTrue="1" operator="between">
      <formula>80.1</formula>
      <formula>100</formula>
    </cfRule>
    <cfRule type="cellIs" dxfId="7849" priority="392" stopIfTrue="1" operator="between">
      <formula>35.1</formula>
      <formula>80</formula>
    </cfRule>
    <cfRule type="cellIs" dxfId="7848" priority="393" stopIfTrue="1" operator="between">
      <formula>14.1</formula>
      <formula>35</formula>
    </cfRule>
    <cfRule type="cellIs" dxfId="7847" priority="394" stopIfTrue="1" operator="between">
      <formula>5.1</formula>
      <formula>14</formula>
    </cfRule>
    <cfRule type="cellIs" dxfId="7846" priority="395" stopIfTrue="1" operator="between">
      <formula>0</formula>
      <formula>5</formula>
    </cfRule>
    <cfRule type="containsBlanks" dxfId="7845" priority="396" stopIfTrue="1">
      <formula>LEN(TRIM(E157))=0</formula>
    </cfRule>
  </conditionalFormatting>
  <conditionalFormatting sqref="E155:Q155">
    <cfRule type="containsBlanks" dxfId="7844" priority="383" stopIfTrue="1">
      <formula>LEN(TRIM(E155))=0</formula>
    </cfRule>
    <cfRule type="cellIs" dxfId="7843" priority="384" stopIfTrue="1" operator="between">
      <formula>80.1</formula>
      <formula>100</formula>
    </cfRule>
    <cfRule type="cellIs" dxfId="7842" priority="385" stopIfTrue="1" operator="between">
      <formula>35.1</formula>
      <formula>80</formula>
    </cfRule>
    <cfRule type="cellIs" dxfId="7841" priority="386" stopIfTrue="1" operator="between">
      <formula>14.1</formula>
      <formula>35</formula>
    </cfRule>
    <cfRule type="cellIs" dxfId="7840" priority="387" stopIfTrue="1" operator="between">
      <formula>5.1</formula>
      <formula>14</formula>
    </cfRule>
    <cfRule type="cellIs" dxfId="7839" priority="388" stopIfTrue="1" operator="between">
      <formula>0</formula>
      <formula>5</formula>
    </cfRule>
    <cfRule type="containsBlanks" dxfId="7838" priority="389" stopIfTrue="1">
      <formula>LEN(TRIM(E155))=0</formula>
    </cfRule>
  </conditionalFormatting>
  <conditionalFormatting sqref="E168:P168">
    <cfRule type="containsBlanks" dxfId="7837" priority="369" stopIfTrue="1">
      <formula>LEN(TRIM(E168))=0</formula>
    </cfRule>
    <cfRule type="cellIs" dxfId="7836" priority="370" stopIfTrue="1" operator="between">
      <formula>80.1</formula>
      <formula>100</formula>
    </cfRule>
    <cfRule type="cellIs" dxfId="7835" priority="371" stopIfTrue="1" operator="between">
      <formula>35.1</formula>
      <formula>80</formula>
    </cfRule>
    <cfRule type="cellIs" dxfId="7834" priority="372" stopIfTrue="1" operator="between">
      <formula>14.1</formula>
      <formula>35</formula>
    </cfRule>
    <cfRule type="cellIs" dxfId="7833" priority="373" stopIfTrue="1" operator="between">
      <formula>5.1</formula>
      <formula>14</formula>
    </cfRule>
    <cfRule type="cellIs" dxfId="7832" priority="374" stopIfTrue="1" operator="between">
      <formula>0</formula>
      <formula>5</formula>
    </cfRule>
    <cfRule type="containsBlanks" dxfId="7831" priority="375" stopIfTrue="1">
      <formula>LEN(TRIM(E168))=0</formula>
    </cfRule>
  </conditionalFormatting>
  <conditionalFormatting sqref="E159:P159">
    <cfRule type="containsBlanks" dxfId="7830" priority="355" stopIfTrue="1">
      <formula>LEN(TRIM(E159))=0</formula>
    </cfRule>
    <cfRule type="cellIs" dxfId="7829" priority="356" stopIfTrue="1" operator="between">
      <formula>80.1</formula>
      <formula>100</formula>
    </cfRule>
    <cfRule type="cellIs" dxfId="7828" priority="357" stopIfTrue="1" operator="between">
      <formula>35.1</formula>
      <formula>80</formula>
    </cfRule>
    <cfRule type="cellIs" dxfId="7827" priority="358" stopIfTrue="1" operator="between">
      <formula>14.1</formula>
      <formula>35</formula>
    </cfRule>
    <cfRule type="cellIs" dxfId="7826" priority="359" stopIfTrue="1" operator="between">
      <formula>5.1</formula>
      <formula>14</formula>
    </cfRule>
    <cfRule type="cellIs" dxfId="7825" priority="360" stopIfTrue="1" operator="between">
      <formula>0</formula>
      <formula>5</formula>
    </cfRule>
    <cfRule type="containsBlanks" dxfId="7824" priority="361" stopIfTrue="1">
      <formula>LEN(TRIM(E159))=0</formula>
    </cfRule>
  </conditionalFormatting>
  <conditionalFormatting sqref="E167:P167">
    <cfRule type="containsBlanks" dxfId="7823" priority="341" stopIfTrue="1">
      <formula>LEN(TRIM(E167))=0</formula>
    </cfRule>
    <cfRule type="cellIs" dxfId="7822" priority="342" stopIfTrue="1" operator="between">
      <formula>80.1</formula>
      <formula>100</formula>
    </cfRule>
    <cfRule type="cellIs" dxfId="7821" priority="343" stopIfTrue="1" operator="between">
      <formula>35.1</formula>
      <formula>80</formula>
    </cfRule>
    <cfRule type="cellIs" dxfId="7820" priority="344" stopIfTrue="1" operator="between">
      <formula>14.1</formula>
      <formula>35</formula>
    </cfRule>
    <cfRule type="cellIs" dxfId="7819" priority="345" stopIfTrue="1" operator="between">
      <formula>5.1</formula>
      <formula>14</formula>
    </cfRule>
    <cfRule type="cellIs" dxfId="7818" priority="346" stopIfTrue="1" operator="between">
      <formula>0</formula>
      <formula>5</formula>
    </cfRule>
    <cfRule type="containsBlanks" dxfId="7817" priority="347" stopIfTrue="1">
      <formula>LEN(TRIM(E167))=0</formula>
    </cfRule>
  </conditionalFormatting>
  <conditionalFormatting sqref="E179:P179">
    <cfRule type="containsBlanks" dxfId="7816" priority="334" stopIfTrue="1">
      <formula>LEN(TRIM(E179))=0</formula>
    </cfRule>
    <cfRule type="cellIs" dxfId="7815" priority="335" stopIfTrue="1" operator="between">
      <formula>80.1</formula>
      <formula>100</formula>
    </cfRule>
    <cfRule type="cellIs" dxfId="7814" priority="336" stopIfTrue="1" operator="between">
      <formula>35.1</formula>
      <formula>80</formula>
    </cfRule>
    <cfRule type="cellIs" dxfId="7813" priority="337" stopIfTrue="1" operator="between">
      <formula>14.1</formula>
      <formula>35</formula>
    </cfRule>
    <cfRule type="cellIs" dxfId="7812" priority="338" stopIfTrue="1" operator="between">
      <formula>5.1</formula>
      <formula>14</formula>
    </cfRule>
    <cfRule type="cellIs" dxfId="7811" priority="339" stopIfTrue="1" operator="between">
      <formula>0</formula>
      <formula>5</formula>
    </cfRule>
    <cfRule type="containsBlanks" dxfId="7810" priority="340" stopIfTrue="1">
      <formula>LEN(TRIM(E179))=0</formula>
    </cfRule>
  </conditionalFormatting>
  <conditionalFormatting sqref="E183:P183">
    <cfRule type="containsBlanks" dxfId="7809" priority="327" stopIfTrue="1">
      <formula>LEN(TRIM(E183))=0</formula>
    </cfRule>
    <cfRule type="cellIs" dxfId="7808" priority="328" stopIfTrue="1" operator="between">
      <formula>80.1</formula>
      <formula>100</formula>
    </cfRule>
    <cfRule type="cellIs" dxfId="7807" priority="329" stopIfTrue="1" operator="between">
      <formula>35.1</formula>
      <formula>80</formula>
    </cfRule>
    <cfRule type="cellIs" dxfId="7806" priority="330" stopIfTrue="1" operator="between">
      <formula>14.1</formula>
      <formula>35</formula>
    </cfRule>
    <cfRule type="cellIs" dxfId="7805" priority="331" stopIfTrue="1" operator="between">
      <formula>5.1</formula>
      <formula>14</formula>
    </cfRule>
    <cfRule type="cellIs" dxfId="7804" priority="332" stopIfTrue="1" operator="between">
      <formula>0</formula>
      <formula>5</formula>
    </cfRule>
    <cfRule type="containsBlanks" dxfId="7803" priority="333" stopIfTrue="1">
      <formula>LEN(TRIM(E183))=0</formula>
    </cfRule>
  </conditionalFormatting>
  <conditionalFormatting sqref="E177:O177">
    <cfRule type="containsBlanks" dxfId="7802" priority="320" stopIfTrue="1">
      <formula>LEN(TRIM(E177))=0</formula>
    </cfRule>
    <cfRule type="cellIs" dxfId="7801" priority="321" stopIfTrue="1" operator="between">
      <formula>80.1</formula>
      <formula>100</formula>
    </cfRule>
    <cfRule type="cellIs" dxfId="7800" priority="322" stopIfTrue="1" operator="between">
      <formula>35.1</formula>
      <formula>80</formula>
    </cfRule>
    <cfRule type="cellIs" dxfId="7799" priority="323" stopIfTrue="1" operator="between">
      <formula>14.1</formula>
      <formula>35</formula>
    </cfRule>
    <cfRule type="cellIs" dxfId="7798" priority="324" stopIfTrue="1" operator="between">
      <formula>5.1</formula>
      <formula>14</formula>
    </cfRule>
    <cfRule type="cellIs" dxfId="7797" priority="325" stopIfTrue="1" operator="between">
      <formula>0</formula>
      <formula>5</formula>
    </cfRule>
    <cfRule type="containsBlanks" dxfId="7796" priority="326" stopIfTrue="1">
      <formula>LEN(TRIM(E177))=0</formula>
    </cfRule>
  </conditionalFormatting>
  <conditionalFormatting sqref="E176:N176">
    <cfRule type="containsBlanks" dxfId="7795" priority="313" stopIfTrue="1">
      <formula>LEN(TRIM(E176))=0</formula>
    </cfRule>
    <cfRule type="cellIs" dxfId="7794" priority="314" stopIfTrue="1" operator="between">
      <formula>80.1</formula>
      <formula>100</formula>
    </cfRule>
    <cfRule type="cellIs" dxfId="7793" priority="315" stopIfTrue="1" operator="between">
      <formula>35.1</formula>
      <formula>80</formula>
    </cfRule>
    <cfRule type="cellIs" dxfId="7792" priority="316" stopIfTrue="1" operator="between">
      <formula>14.1</formula>
      <formula>35</formula>
    </cfRule>
    <cfRule type="cellIs" dxfId="7791" priority="317" stopIfTrue="1" operator="between">
      <formula>5.1</formula>
      <formula>14</formula>
    </cfRule>
    <cfRule type="cellIs" dxfId="7790" priority="318" stopIfTrue="1" operator="between">
      <formula>0</formula>
      <formula>5</formula>
    </cfRule>
    <cfRule type="containsBlanks" dxfId="7789" priority="319" stopIfTrue="1">
      <formula>LEN(TRIM(E176))=0</formula>
    </cfRule>
  </conditionalFormatting>
  <conditionalFormatting sqref="E181:O181">
    <cfRule type="containsBlanks" dxfId="7788" priority="306" stopIfTrue="1">
      <formula>LEN(TRIM(E181))=0</formula>
    </cfRule>
    <cfRule type="cellIs" dxfId="7787" priority="307" stopIfTrue="1" operator="between">
      <formula>80.1</formula>
      <formula>100</formula>
    </cfRule>
    <cfRule type="cellIs" dxfId="7786" priority="308" stopIfTrue="1" operator="between">
      <formula>35.1</formula>
      <formula>80</formula>
    </cfRule>
    <cfRule type="cellIs" dxfId="7785" priority="309" stopIfTrue="1" operator="between">
      <formula>14.1</formula>
      <formula>35</formula>
    </cfRule>
    <cfRule type="cellIs" dxfId="7784" priority="310" stopIfTrue="1" operator="between">
      <formula>5.1</formula>
      <formula>14</formula>
    </cfRule>
    <cfRule type="cellIs" dxfId="7783" priority="311" stopIfTrue="1" operator="between">
      <formula>0</formula>
      <formula>5</formula>
    </cfRule>
    <cfRule type="containsBlanks" dxfId="7782" priority="312" stopIfTrue="1">
      <formula>LEN(TRIM(E181))=0</formula>
    </cfRule>
  </conditionalFormatting>
  <conditionalFormatting sqref="E178:P178">
    <cfRule type="containsBlanks" dxfId="7781" priority="299" stopIfTrue="1">
      <formula>LEN(TRIM(E178))=0</formula>
    </cfRule>
    <cfRule type="cellIs" dxfId="7780" priority="300" stopIfTrue="1" operator="between">
      <formula>80.1</formula>
      <formula>100</formula>
    </cfRule>
    <cfRule type="cellIs" dxfId="7779" priority="301" stopIfTrue="1" operator="between">
      <formula>35.1</formula>
      <formula>80</formula>
    </cfRule>
    <cfRule type="cellIs" dxfId="7778" priority="302" stopIfTrue="1" operator="between">
      <formula>14.1</formula>
      <formula>35</formula>
    </cfRule>
    <cfRule type="cellIs" dxfId="7777" priority="303" stopIfTrue="1" operator="between">
      <formula>5.1</formula>
      <formula>14</formula>
    </cfRule>
    <cfRule type="cellIs" dxfId="7776" priority="304" stopIfTrue="1" operator="between">
      <formula>0</formula>
      <formula>5</formula>
    </cfRule>
    <cfRule type="containsBlanks" dxfId="7775" priority="305" stopIfTrue="1">
      <formula>LEN(TRIM(E178))=0</formula>
    </cfRule>
  </conditionalFormatting>
  <conditionalFormatting sqref="Q202">
    <cfRule type="containsBlanks" dxfId="7774" priority="255" stopIfTrue="1">
      <formula>LEN(TRIM(Q202))=0</formula>
    </cfRule>
    <cfRule type="cellIs" dxfId="7773" priority="256" stopIfTrue="1" operator="between">
      <formula>80.1</formula>
      <formula>100</formula>
    </cfRule>
    <cfRule type="cellIs" dxfId="7772" priority="257" stopIfTrue="1" operator="between">
      <formula>35.1</formula>
      <formula>80</formula>
    </cfRule>
    <cfRule type="cellIs" dxfId="7771" priority="258" stopIfTrue="1" operator="between">
      <formula>14.1</formula>
      <formula>35</formula>
    </cfRule>
    <cfRule type="cellIs" dxfId="7770" priority="259" stopIfTrue="1" operator="between">
      <formula>5.1</formula>
      <formula>14</formula>
    </cfRule>
    <cfRule type="cellIs" dxfId="7769" priority="260" stopIfTrue="1" operator="between">
      <formula>0</formula>
      <formula>5</formula>
    </cfRule>
    <cfRule type="containsBlanks" dxfId="7768" priority="261" stopIfTrue="1">
      <formula>LEN(TRIM(Q202))=0</formula>
    </cfRule>
  </conditionalFormatting>
  <conditionalFormatting sqref="E116:Q116">
    <cfRule type="containsBlanks" dxfId="7767" priority="240" stopIfTrue="1">
      <formula>LEN(TRIM(E116))=0</formula>
    </cfRule>
    <cfRule type="cellIs" dxfId="7766" priority="241" stopIfTrue="1" operator="between">
      <formula>79.1</formula>
      <formula>100</formula>
    </cfRule>
    <cfRule type="cellIs" dxfId="7765" priority="242" stopIfTrue="1" operator="between">
      <formula>34.1</formula>
      <formula>79</formula>
    </cfRule>
    <cfRule type="cellIs" dxfId="7764" priority="243" stopIfTrue="1" operator="between">
      <formula>13.1</formula>
      <formula>34</formula>
    </cfRule>
    <cfRule type="cellIs" dxfId="7763" priority="244" stopIfTrue="1" operator="between">
      <formula>5.1</formula>
      <formula>13</formula>
    </cfRule>
    <cfRule type="cellIs" dxfId="7762" priority="245" stopIfTrue="1" operator="between">
      <formula>0</formula>
      <formula>5</formula>
    </cfRule>
    <cfRule type="containsBlanks" dxfId="7761" priority="246" stopIfTrue="1">
      <formula>LEN(TRIM(E116))=0</formula>
    </cfRule>
  </conditionalFormatting>
  <conditionalFormatting sqref="Q114">
    <cfRule type="containsBlanks" dxfId="7760" priority="233" stopIfTrue="1">
      <formula>LEN(TRIM(Q114))=0</formula>
    </cfRule>
    <cfRule type="cellIs" dxfId="7759" priority="234" stopIfTrue="1" operator="between">
      <formula>80.1</formula>
      <formula>100</formula>
    </cfRule>
    <cfRule type="cellIs" dxfId="7758" priority="235" stopIfTrue="1" operator="between">
      <formula>35.1</formula>
      <formula>80</formula>
    </cfRule>
    <cfRule type="cellIs" dxfId="7757" priority="236" stopIfTrue="1" operator="between">
      <formula>14.1</formula>
      <formula>35</formula>
    </cfRule>
    <cfRule type="cellIs" dxfId="7756" priority="237" stopIfTrue="1" operator="between">
      <formula>5.1</formula>
      <formula>14</formula>
    </cfRule>
    <cfRule type="cellIs" dxfId="7755" priority="238" stopIfTrue="1" operator="between">
      <formula>0</formula>
      <formula>5</formula>
    </cfRule>
    <cfRule type="containsBlanks" dxfId="7754" priority="239" stopIfTrue="1">
      <formula>LEN(TRIM(Q114))=0</formula>
    </cfRule>
  </conditionalFormatting>
  <conditionalFormatting sqref="E114:P114">
    <cfRule type="containsBlanks" dxfId="7753" priority="226" stopIfTrue="1">
      <formula>LEN(TRIM(E114))=0</formula>
    </cfRule>
    <cfRule type="cellIs" dxfId="7752" priority="227" stopIfTrue="1" operator="between">
      <formula>79.1</formula>
      <formula>100</formula>
    </cfRule>
    <cfRule type="cellIs" dxfId="7751" priority="228" stopIfTrue="1" operator="between">
      <formula>34.1</formula>
      <formula>79</formula>
    </cfRule>
    <cfRule type="cellIs" dxfId="7750" priority="229" stopIfTrue="1" operator="between">
      <formula>13.1</formula>
      <formula>34</formula>
    </cfRule>
    <cfRule type="cellIs" dxfId="7749" priority="230" stopIfTrue="1" operator="between">
      <formula>5.1</formula>
      <formula>13</formula>
    </cfRule>
    <cfRule type="cellIs" dxfId="7748" priority="231" stopIfTrue="1" operator="between">
      <formula>0</formula>
      <formula>5</formula>
    </cfRule>
    <cfRule type="containsBlanks" dxfId="7747" priority="232" stopIfTrue="1">
      <formula>LEN(TRIM(E114))=0</formula>
    </cfRule>
  </conditionalFormatting>
  <conditionalFormatting sqref="Q200">
    <cfRule type="containsBlanks" dxfId="7746" priority="212" stopIfTrue="1">
      <formula>LEN(TRIM(Q200))=0</formula>
    </cfRule>
    <cfRule type="cellIs" dxfId="7745" priority="213" stopIfTrue="1" operator="between">
      <formula>80.1</formula>
      <formula>100</formula>
    </cfRule>
    <cfRule type="cellIs" dxfId="7744" priority="214" stopIfTrue="1" operator="between">
      <formula>35.1</formula>
      <formula>80</formula>
    </cfRule>
    <cfRule type="cellIs" dxfId="7743" priority="215" stopIfTrue="1" operator="between">
      <formula>14.1</formula>
      <formula>35</formula>
    </cfRule>
    <cfRule type="cellIs" dxfId="7742" priority="216" stopIfTrue="1" operator="between">
      <formula>5.1</formula>
      <formula>14</formula>
    </cfRule>
    <cfRule type="cellIs" dxfId="7741" priority="217" stopIfTrue="1" operator="between">
      <formula>0</formula>
      <formula>5</formula>
    </cfRule>
    <cfRule type="containsBlanks" dxfId="7740" priority="218" stopIfTrue="1">
      <formula>LEN(TRIM(Q200))=0</formula>
    </cfRule>
  </conditionalFormatting>
  <conditionalFormatting sqref="Q192">
    <cfRule type="containsBlanks" dxfId="7739" priority="219" stopIfTrue="1">
      <formula>LEN(TRIM(Q192))=0</formula>
    </cfRule>
    <cfRule type="cellIs" dxfId="7738" priority="220" stopIfTrue="1" operator="between">
      <formula>80.1</formula>
      <formula>100</formula>
    </cfRule>
    <cfRule type="cellIs" dxfId="7737" priority="221" stopIfTrue="1" operator="between">
      <formula>35.1</formula>
      <formula>80</formula>
    </cfRule>
    <cfRule type="cellIs" dxfId="7736" priority="222" stopIfTrue="1" operator="between">
      <formula>14.1</formula>
      <formula>35</formula>
    </cfRule>
    <cfRule type="cellIs" dxfId="7735" priority="223" stopIfTrue="1" operator="between">
      <formula>5.1</formula>
      <formula>14</formula>
    </cfRule>
    <cfRule type="cellIs" dxfId="7734" priority="224" stopIfTrue="1" operator="between">
      <formula>0</formula>
      <formula>5</formula>
    </cfRule>
    <cfRule type="containsBlanks" dxfId="7733" priority="225" stopIfTrue="1">
      <formula>LEN(TRIM(Q192))=0</formula>
    </cfRule>
  </conditionalFormatting>
  <conditionalFormatting sqref="Q77">
    <cfRule type="containsBlanks" dxfId="7732" priority="205" stopIfTrue="1">
      <formula>LEN(TRIM(Q77))=0</formula>
    </cfRule>
    <cfRule type="cellIs" dxfId="7731" priority="206" stopIfTrue="1" operator="between">
      <formula>80.1</formula>
      <formula>100</formula>
    </cfRule>
    <cfRule type="cellIs" dxfId="7730" priority="207" stopIfTrue="1" operator="between">
      <formula>35.1</formula>
      <formula>80</formula>
    </cfRule>
    <cfRule type="cellIs" dxfId="7729" priority="208" stopIfTrue="1" operator="between">
      <formula>14.1</formula>
      <formula>35</formula>
    </cfRule>
    <cfRule type="cellIs" dxfId="7728" priority="209" stopIfTrue="1" operator="between">
      <formula>5.1</formula>
      <formula>14</formula>
    </cfRule>
    <cfRule type="cellIs" dxfId="7727" priority="210" stopIfTrue="1" operator="between">
      <formula>0</formula>
      <formula>5</formula>
    </cfRule>
    <cfRule type="containsBlanks" dxfId="7726" priority="211" stopIfTrue="1">
      <formula>LEN(TRIM(Q77))=0</formula>
    </cfRule>
  </conditionalFormatting>
  <conditionalFormatting sqref="Q77">
    <cfRule type="containsBlanks" dxfId="7725" priority="198" stopIfTrue="1">
      <formula>LEN(TRIM(Q77))=0</formula>
    </cfRule>
    <cfRule type="cellIs" dxfId="7724" priority="199" stopIfTrue="1" operator="between">
      <formula>80.1</formula>
      <formula>100</formula>
    </cfRule>
    <cfRule type="cellIs" dxfId="7723" priority="200" stopIfTrue="1" operator="between">
      <formula>35.1</formula>
      <formula>80</formula>
    </cfRule>
    <cfRule type="cellIs" dxfId="7722" priority="201" stopIfTrue="1" operator="between">
      <formula>14.1</formula>
      <formula>35</formula>
    </cfRule>
    <cfRule type="cellIs" dxfId="7721" priority="202" stopIfTrue="1" operator="between">
      <formula>5.1</formula>
      <formula>14</formula>
    </cfRule>
    <cfRule type="cellIs" dxfId="7720" priority="203" stopIfTrue="1" operator="between">
      <formula>0</formula>
      <formula>5</formula>
    </cfRule>
    <cfRule type="containsBlanks" dxfId="7719" priority="204" stopIfTrue="1">
      <formula>LEN(TRIM(Q77))=0</formula>
    </cfRule>
  </conditionalFormatting>
  <conditionalFormatting sqref="R77:R82">
    <cfRule type="cellIs" dxfId="7718" priority="197" stopIfTrue="1" operator="equal">
      <formula>"NO"</formula>
    </cfRule>
  </conditionalFormatting>
  <conditionalFormatting sqref="R77:R82">
    <cfRule type="cellIs" dxfId="7717" priority="196" stopIfTrue="1" operator="equal">
      <formula>"NO"</formula>
    </cfRule>
  </conditionalFormatting>
  <conditionalFormatting sqref="R77:R82">
    <cfRule type="cellIs" dxfId="7716" priority="195" stopIfTrue="1" operator="equal">
      <formula>"NO"</formula>
    </cfRule>
  </conditionalFormatting>
  <conditionalFormatting sqref="R125:R129">
    <cfRule type="cellIs" dxfId="7715" priority="177" stopIfTrue="1" operator="equal">
      <formula>"NO"</formula>
    </cfRule>
  </conditionalFormatting>
  <conditionalFormatting sqref="R125:R129">
    <cfRule type="cellIs" dxfId="7714" priority="176" stopIfTrue="1" operator="equal">
      <formula>"NO"</formula>
    </cfRule>
  </conditionalFormatting>
  <conditionalFormatting sqref="R125:R129">
    <cfRule type="cellIs" dxfId="7713" priority="175" stopIfTrue="1" operator="equal">
      <formula>"NO"</formula>
    </cfRule>
  </conditionalFormatting>
  <conditionalFormatting sqref="R131:R134">
    <cfRule type="cellIs" dxfId="7712" priority="174" stopIfTrue="1" operator="equal">
      <formula>"NO"</formula>
    </cfRule>
  </conditionalFormatting>
  <conditionalFormatting sqref="R131:R134">
    <cfRule type="cellIs" dxfId="7711" priority="173" stopIfTrue="1" operator="equal">
      <formula>"NO"</formula>
    </cfRule>
  </conditionalFormatting>
  <conditionalFormatting sqref="R131:R134">
    <cfRule type="cellIs" dxfId="7710" priority="172" stopIfTrue="1" operator="equal">
      <formula>"NO"</formula>
    </cfRule>
  </conditionalFormatting>
  <conditionalFormatting sqref="R136:R148">
    <cfRule type="cellIs" dxfId="7709" priority="171" stopIfTrue="1" operator="equal">
      <formula>"NO"</formula>
    </cfRule>
  </conditionalFormatting>
  <conditionalFormatting sqref="R136:R148">
    <cfRule type="cellIs" dxfId="7708" priority="170" stopIfTrue="1" operator="equal">
      <formula>"NO"</formula>
    </cfRule>
  </conditionalFormatting>
  <conditionalFormatting sqref="R136:R148">
    <cfRule type="cellIs" dxfId="7707" priority="169" stopIfTrue="1" operator="equal">
      <formula>"NO"</formula>
    </cfRule>
  </conditionalFormatting>
  <conditionalFormatting sqref="R176:R179">
    <cfRule type="cellIs" dxfId="7706" priority="160" stopIfTrue="1" operator="equal">
      <formula>"NO"</formula>
    </cfRule>
  </conditionalFormatting>
  <conditionalFormatting sqref="R181:R183">
    <cfRule type="cellIs" dxfId="7705" priority="159" stopIfTrue="1" operator="equal">
      <formula>"NO"</formula>
    </cfRule>
  </conditionalFormatting>
  <conditionalFormatting sqref="R196:R204 R206:R210">
    <cfRule type="cellIs" dxfId="7704" priority="157" stopIfTrue="1" operator="equal">
      <formula>"NO"</formula>
    </cfRule>
  </conditionalFormatting>
  <conditionalFormatting sqref="R217:R224">
    <cfRule type="cellIs" dxfId="7703" priority="156" stopIfTrue="1" operator="equal">
      <formula>"NO"</formula>
    </cfRule>
  </conditionalFormatting>
  <conditionalFormatting sqref="R217:R224">
    <cfRule type="cellIs" dxfId="7702" priority="155" stopIfTrue="1" operator="equal">
      <formula>"NO"</formula>
    </cfRule>
  </conditionalFormatting>
  <conditionalFormatting sqref="R217:R224">
    <cfRule type="cellIs" dxfId="7701" priority="154" stopIfTrue="1" operator="equal">
      <formula>"NO"</formula>
    </cfRule>
  </conditionalFormatting>
  <conditionalFormatting sqref="S11:S116">
    <cfRule type="cellIs" dxfId="7700" priority="97" stopIfTrue="1" operator="equal">
      <formula>"INVIABLE SANITARIAMENTE"</formula>
    </cfRule>
  </conditionalFormatting>
  <conditionalFormatting sqref="S11:S116 S118:S211">
    <cfRule type="containsText" dxfId="7699" priority="92" stopIfTrue="1" operator="containsText" text="INVIABLE SANITARIAMENTE">
      <formula>NOT(ISERROR(SEARCH("INVIABLE SANITARIAMENTE",S11)))</formula>
    </cfRule>
    <cfRule type="containsText" dxfId="7698" priority="93" stopIfTrue="1" operator="containsText" text="ALTO">
      <formula>NOT(ISERROR(SEARCH("ALTO",S11)))</formula>
    </cfRule>
    <cfRule type="containsText" dxfId="7697" priority="94" stopIfTrue="1" operator="containsText" text="MEDIO">
      <formula>NOT(ISERROR(SEARCH("MEDIO",S11)))</formula>
    </cfRule>
    <cfRule type="containsText" dxfId="7696" priority="95" stopIfTrue="1" operator="containsText" text="BAJO">
      <formula>NOT(ISERROR(SEARCH("BAJO",S11)))</formula>
    </cfRule>
    <cfRule type="containsText" dxfId="7695" priority="96" stopIfTrue="1" operator="containsText" text="SIN RIESGO">
      <formula>NOT(ISERROR(SEARCH("SIN RIESGO",S11)))</formula>
    </cfRule>
  </conditionalFormatting>
  <conditionalFormatting sqref="S11:S116">
    <cfRule type="containsText" dxfId="7694" priority="91" stopIfTrue="1" operator="containsText" text="SIN RIESGO">
      <formula>NOT(ISERROR(SEARCH("SIN RIESGO",S11)))</formula>
    </cfRule>
  </conditionalFormatting>
  <conditionalFormatting sqref="R117">
    <cfRule type="cellIs" dxfId="7693" priority="90" stopIfTrue="1" operator="equal">
      <formula>"NO"</formula>
    </cfRule>
  </conditionalFormatting>
  <conditionalFormatting sqref="E117:P117">
    <cfRule type="containsBlanks" dxfId="7692" priority="83" stopIfTrue="1">
      <formula>LEN(TRIM(E117))=0</formula>
    </cfRule>
    <cfRule type="cellIs" dxfId="7691" priority="84" stopIfTrue="1" operator="between">
      <formula>80.1</formula>
      <formula>100</formula>
    </cfRule>
    <cfRule type="cellIs" dxfId="7690" priority="85" stopIfTrue="1" operator="between">
      <formula>35.1</formula>
      <formula>80</formula>
    </cfRule>
    <cfRule type="cellIs" dxfId="7689" priority="86" stopIfTrue="1" operator="between">
      <formula>14.1</formula>
      <formula>35</formula>
    </cfRule>
    <cfRule type="cellIs" dxfId="7688" priority="87" stopIfTrue="1" operator="between">
      <formula>5.1</formula>
      <formula>14</formula>
    </cfRule>
    <cfRule type="cellIs" dxfId="7687" priority="88" stopIfTrue="1" operator="between">
      <formula>0</formula>
      <formula>5</formula>
    </cfRule>
    <cfRule type="containsBlanks" dxfId="7686" priority="89" stopIfTrue="1">
      <formula>LEN(TRIM(E117))=0</formula>
    </cfRule>
  </conditionalFormatting>
  <conditionalFormatting sqref="Q117">
    <cfRule type="containsBlanks" dxfId="7685" priority="76" stopIfTrue="1">
      <formula>LEN(TRIM(Q117))=0</formula>
    </cfRule>
    <cfRule type="cellIs" dxfId="7684" priority="77" stopIfTrue="1" operator="between">
      <formula>80.1</formula>
      <formula>100</formula>
    </cfRule>
    <cfRule type="cellIs" dxfId="7683" priority="78" stopIfTrue="1" operator="between">
      <formula>35.1</formula>
      <formula>80</formula>
    </cfRule>
    <cfRule type="cellIs" dxfId="7682" priority="79" stopIfTrue="1" operator="between">
      <formula>14.1</formula>
      <formula>35</formula>
    </cfRule>
    <cfRule type="cellIs" dxfId="7681" priority="80" stopIfTrue="1" operator="between">
      <formula>5.1</formula>
      <formula>14</formula>
    </cfRule>
    <cfRule type="cellIs" dxfId="7680" priority="81" stopIfTrue="1" operator="between">
      <formula>0</formula>
      <formula>5</formula>
    </cfRule>
    <cfRule type="containsBlanks" dxfId="7679" priority="82" stopIfTrue="1">
      <formula>LEN(TRIM(Q117))=0</formula>
    </cfRule>
  </conditionalFormatting>
  <conditionalFormatting sqref="E117:P117">
    <cfRule type="containsBlanks" dxfId="7678" priority="69" stopIfTrue="1">
      <formula>LEN(TRIM(E117))=0</formula>
    </cfRule>
    <cfRule type="cellIs" dxfId="7677" priority="70" stopIfTrue="1" operator="between">
      <formula>79.1</formula>
      <formula>100</formula>
    </cfRule>
    <cfRule type="cellIs" dxfId="7676" priority="71" stopIfTrue="1" operator="between">
      <formula>34.1</formula>
      <formula>79</formula>
    </cfRule>
    <cfRule type="cellIs" dxfId="7675" priority="72" stopIfTrue="1" operator="between">
      <formula>13.1</formula>
      <formula>34</formula>
    </cfRule>
    <cfRule type="cellIs" dxfId="7674" priority="73" stopIfTrue="1" operator="between">
      <formula>5.1</formula>
      <formula>13</formula>
    </cfRule>
    <cfRule type="cellIs" dxfId="7673" priority="74" stopIfTrue="1" operator="between">
      <formula>0</formula>
      <formula>5</formula>
    </cfRule>
    <cfRule type="containsBlanks" dxfId="7672" priority="75" stopIfTrue="1">
      <formula>LEN(TRIM(E117))=0</formula>
    </cfRule>
  </conditionalFormatting>
  <conditionalFormatting sqref="S117">
    <cfRule type="cellIs" dxfId="7671" priority="68" stopIfTrue="1" operator="equal">
      <formula>"INVIABLE SANITARIAMENTE"</formula>
    </cfRule>
  </conditionalFormatting>
  <conditionalFormatting sqref="S117">
    <cfRule type="containsText" dxfId="7670" priority="63" stopIfTrue="1" operator="containsText" text="INVIABLE SANITARIAMENTE">
      <formula>NOT(ISERROR(SEARCH("INVIABLE SANITARIAMENTE",S117)))</formula>
    </cfRule>
    <cfRule type="containsText" dxfId="7669" priority="64" stopIfTrue="1" operator="containsText" text="ALTO">
      <formula>NOT(ISERROR(SEARCH("ALTO",S117)))</formula>
    </cfRule>
    <cfRule type="containsText" dxfId="7668" priority="65" stopIfTrue="1" operator="containsText" text="MEDIO">
      <formula>NOT(ISERROR(SEARCH("MEDIO",S117)))</formula>
    </cfRule>
    <cfRule type="containsText" dxfId="7667" priority="66" stopIfTrue="1" operator="containsText" text="BAJO">
      <formula>NOT(ISERROR(SEARCH("BAJO",S117)))</formula>
    </cfRule>
    <cfRule type="containsText" dxfId="7666" priority="67" stopIfTrue="1" operator="containsText" text="SIN RIESGO">
      <formula>NOT(ISERROR(SEARCH("SIN RIESGO",S117)))</formula>
    </cfRule>
  </conditionalFormatting>
  <conditionalFormatting sqref="S117">
    <cfRule type="containsText" dxfId="7665" priority="62" stopIfTrue="1" operator="containsText" text="SIN RIESGO">
      <formula>NOT(ISERROR(SEARCH("SIN RIESGO",S117)))</formula>
    </cfRule>
  </conditionalFormatting>
  <conditionalFormatting sqref="R162">
    <cfRule type="cellIs" dxfId="7664" priority="61" stopIfTrue="1" operator="equal">
      <formula>"NO"</formula>
    </cfRule>
  </conditionalFormatting>
  <conditionalFormatting sqref="E162:Q162">
    <cfRule type="containsBlanks" dxfId="7663" priority="52" stopIfTrue="1">
      <formula>LEN(TRIM(E162))=0</formula>
    </cfRule>
    <cfRule type="cellIs" dxfId="7662" priority="53" stopIfTrue="1" operator="between">
      <formula>80.1</formula>
      <formula>100</formula>
    </cfRule>
    <cfRule type="cellIs" dxfId="7661" priority="54" stopIfTrue="1" operator="between">
      <formula>35.1</formula>
      <formula>80</formula>
    </cfRule>
    <cfRule type="cellIs" dxfId="7660" priority="55" stopIfTrue="1" operator="between">
      <formula>14.1</formula>
      <formula>35</formula>
    </cfRule>
    <cfRule type="cellIs" dxfId="7659" priority="56" stopIfTrue="1" operator="between">
      <formula>5.1</formula>
      <formula>14</formula>
    </cfRule>
    <cfRule type="cellIs" dxfId="7658" priority="57" stopIfTrue="1" operator="between">
      <formula>0</formula>
      <formula>5</formula>
    </cfRule>
    <cfRule type="containsBlanks" dxfId="7657" priority="58" stopIfTrue="1">
      <formula>LEN(TRIM(E162))=0</formula>
    </cfRule>
  </conditionalFormatting>
  <conditionalFormatting sqref="E162:P162">
    <cfRule type="containsBlanks" dxfId="7656" priority="45" stopIfTrue="1">
      <formula>LEN(TRIM(E162))=0</formula>
    </cfRule>
    <cfRule type="cellIs" dxfId="7655" priority="46" stopIfTrue="1" operator="between">
      <formula>80.1</formula>
      <formula>100</formula>
    </cfRule>
    <cfRule type="cellIs" dxfId="7654" priority="47" stopIfTrue="1" operator="between">
      <formula>35.1</formula>
      <formula>80</formula>
    </cfRule>
    <cfRule type="cellIs" dxfId="7653" priority="48" stopIfTrue="1" operator="between">
      <formula>14.1</formula>
      <formula>35</formula>
    </cfRule>
    <cfRule type="cellIs" dxfId="7652" priority="49" stopIfTrue="1" operator="between">
      <formula>5.1</formula>
      <formula>14</formula>
    </cfRule>
    <cfRule type="cellIs" dxfId="7651" priority="50" stopIfTrue="1" operator="between">
      <formula>0</formula>
      <formula>5</formula>
    </cfRule>
    <cfRule type="containsBlanks" dxfId="7650" priority="51" stopIfTrue="1">
      <formula>LEN(TRIM(E162))=0</formula>
    </cfRule>
  </conditionalFormatting>
  <conditionalFormatting sqref="E185:P185">
    <cfRule type="containsBlanks" dxfId="7649" priority="31" stopIfTrue="1">
      <formula>LEN(TRIM(E185))=0</formula>
    </cfRule>
    <cfRule type="cellIs" dxfId="7648" priority="32" stopIfTrue="1" operator="between">
      <formula>80.1</formula>
      <formula>100</formula>
    </cfRule>
    <cfRule type="cellIs" dxfId="7647" priority="33" stopIfTrue="1" operator="between">
      <formula>35.1</formula>
      <formula>80</formula>
    </cfRule>
    <cfRule type="cellIs" dxfId="7646" priority="34" stopIfTrue="1" operator="between">
      <formula>14.1</formula>
      <formula>35</formula>
    </cfRule>
    <cfRule type="cellIs" dxfId="7645" priority="35" stopIfTrue="1" operator="between">
      <formula>5.1</formula>
      <formula>14</formula>
    </cfRule>
    <cfRule type="cellIs" dxfId="7644" priority="36" stopIfTrue="1" operator="between">
      <formula>0</formula>
      <formula>5</formula>
    </cfRule>
    <cfRule type="containsBlanks" dxfId="7643" priority="37" stopIfTrue="1">
      <formula>LEN(TRIM(E185))=0</formula>
    </cfRule>
  </conditionalFormatting>
  <conditionalFormatting sqref="Q185">
    <cfRule type="containsBlanks" dxfId="7642" priority="24" stopIfTrue="1">
      <formula>LEN(TRIM(Q185))=0</formula>
    </cfRule>
    <cfRule type="cellIs" dxfId="7641" priority="25" stopIfTrue="1" operator="between">
      <formula>80.1</formula>
      <formula>100</formula>
    </cfRule>
    <cfRule type="cellIs" dxfId="7640" priority="26" stopIfTrue="1" operator="between">
      <formula>35.1</formula>
      <formula>80</formula>
    </cfRule>
    <cfRule type="cellIs" dxfId="7639" priority="27" stopIfTrue="1" operator="between">
      <formula>14.1</formula>
      <formula>35</formula>
    </cfRule>
    <cfRule type="cellIs" dxfId="7638" priority="28" stopIfTrue="1" operator="between">
      <formula>5.1</formula>
      <formula>14</formula>
    </cfRule>
    <cfRule type="cellIs" dxfId="7637" priority="29" stopIfTrue="1" operator="between">
      <formula>0</formula>
      <formula>5</formula>
    </cfRule>
    <cfRule type="containsBlanks" dxfId="7636" priority="30" stopIfTrue="1">
      <formula>LEN(TRIM(Q185))=0</formula>
    </cfRule>
  </conditionalFormatting>
  <conditionalFormatting sqref="R185">
    <cfRule type="cellIs" dxfId="7635" priority="23" stopIfTrue="1" operator="equal">
      <formula>"NO"</formula>
    </cfRule>
  </conditionalFormatting>
  <conditionalFormatting sqref="E205:Q205">
    <cfRule type="containsBlanks" dxfId="7634" priority="9" stopIfTrue="1">
      <formula>LEN(TRIM(E205))=0</formula>
    </cfRule>
    <cfRule type="cellIs" dxfId="7633" priority="10" stopIfTrue="1" operator="between">
      <formula>80.1</formula>
      <formula>100</formula>
    </cfRule>
    <cfRule type="cellIs" dxfId="7632" priority="11" stopIfTrue="1" operator="between">
      <formula>35.1</formula>
      <formula>80</formula>
    </cfRule>
    <cfRule type="cellIs" dxfId="7631" priority="12" stopIfTrue="1" operator="between">
      <formula>14.1</formula>
      <formula>35</formula>
    </cfRule>
    <cfRule type="cellIs" dxfId="7630" priority="13" stopIfTrue="1" operator="between">
      <formula>5.1</formula>
      <formula>14</formula>
    </cfRule>
    <cfRule type="cellIs" dxfId="7629" priority="14" stopIfTrue="1" operator="between">
      <formula>0</formula>
      <formula>5</formula>
    </cfRule>
    <cfRule type="containsBlanks" dxfId="7628" priority="15" stopIfTrue="1">
      <formula>LEN(TRIM(E205))=0</formula>
    </cfRule>
  </conditionalFormatting>
  <conditionalFormatting sqref="R205">
    <cfRule type="cellIs" dxfId="7627" priority="8" stopIfTrue="1" operator="equal">
      <formula>"NO"</formula>
    </cfRule>
  </conditionalFormatting>
  <conditionalFormatting sqref="S120:S211">
    <cfRule type="cellIs" dxfId="7626" priority="2" stopIfTrue="1" operator="equal">
      <formula>"INVIABLE SANITARIAMENTE"</formula>
    </cfRule>
  </conditionalFormatting>
  <conditionalFormatting sqref="S120:S211">
    <cfRule type="containsText" dxfId="7625" priority="1" stopIfTrue="1" operator="containsText" text="SIN RIESGO">
      <formula>NOT(ISERROR(SEARCH("SIN RIESGO",S120)))</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142"/>
  <sheetViews>
    <sheetView zoomScale="60" zoomScaleNormal="55" workbookViewId="0">
      <selection activeCell="D27" sqref="D27"/>
    </sheetView>
  </sheetViews>
  <sheetFormatPr baseColWidth="10" defaultRowHeight="12.75"/>
  <cols>
    <col min="1" max="1" width="42.85546875" customWidth="1"/>
    <col min="2" max="2" width="29.5703125" bestFit="1" customWidth="1"/>
    <col min="3" max="3" width="25.140625" customWidth="1"/>
    <col min="4" max="4" width="28.42578125" customWidth="1"/>
    <col min="5" max="5" width="45.85546875" customWidth="1"/>
    <col min="6" max="6" width="25" style="4" customWidth="1"/>
  </cols>
  <sheetData>
    <row r="1" spans="1:6" ht="18">
      <c r="B1" s="64" t="s">
        <v>258</v>
      </c>
    </row>
    <row r="2" spans="1:6" ht="18">
      <c r="B2" s="63" t="s">
        <v>270</v>
      </c>
    </row>
    <row r="3" spans="1:6" s="311" customFormat="1" ht="18">
      <c r="B3" s="63" t="s">
        <v>4368</v>
      </c>
      <c r="F3" s="4"/>
    </row>
    <row r="4" spans="1:6" ht="18">
      <c r="B4" s="582" t="s">
        <v>4570</v>
      </c>
      <c r="C4" s="582"/>
      <c r="D4" s="582"/>
    </row>
    <row r="5" spans="1:6" s="311" customFormat="1" ht="18">
      <c r="B5" s="64"/>
      <c r="F5" s="4"/>
    </row>
    <row r="6" spans="1:6" ht="20.25" customHeight="1"/>
    <row r="7" spans="1:6" ht="54" customHeight="1">
      <c r="A7" s="62" t="s">
        <v>102</v>
      </c>
      <c r="B7" s="463" t="s">
        <v>37</v>
      </c>
      <c r="C7" s="463" t="s">
        <v>103</v>
      </c>
      <c r="D7" s="463" t="s">
        <v>104</v>
      </c>
      <c r="E7" s="464" t="s">
        <v>4581</v>
      </c>
      <c r="F7" s="464" t="s">
        <v>105</v>
      </c>
    </row>
    <row r="8" spans="1:6" ht="24.95" customHeight="1">
      <c r="A8" s="583" t="s">
        <v>106</v>
      </c>
      <c r="B8" s="461" t="s">
        <v>107</v>
      </c>
      <c r="C8" s="58">
        <v>52</v>
      </c>
      <c r="D8" s="333">
        <f>COUNTIF('VALLE DE ABURRA'!A:A, "Medellín")-COUNTIFS('VALLE DE ABURRA'!A:A,"Medellín",'VALLE DE ABURRA'!C:C,"")</f>
        <v>28</v>
      </c>
      <c r="E8" s="456">
        <v>90977.499000000011</v>
      </c>
      <c r="F8" s="457">
        <v>99.135446685878904</v>
      </c>
    </row>
    <row r="9" spans="1:6" ht="24.95" customHeight="1">
      <c r="A9" s="583"/>
      <c r="B9" s="461" t="s">
        <v>79</v>
      </c>
      <c r="C9" s="58">
        <v>56</v>
      </c>
      <c r="D9" s="58">
        <f>COUNTIF('VALLE DE ABURRA'!A:A, "Barbosa")-COUNTIFS('VALLE DE ABURRA'!A:A,"Barbosa",'VALLE DE ABURRA'!C:C,"")</f>
        <v>45</v>
      </c>
      <c r="E9" s="456">
        <v>4696.2359999999999</v>
      </c>
      <c r="F9" s="457">
        <v>66.390041493775598</v>
      </c>
    </row>
    <row r="10" spans="1:6" ht="24.95" customHeight="1">
      <c r="A10" s="583"/>
      <c r="B10" s="461" t="s">
        <v>80</v>
      </c>
      <c r="C10" s="58">
        <v>20</v>
      </c>
      <c r="D10" s="58">
        <f>COUNTIF('VALLE DE ABURRA'!A:A, "Bello")-COUNTIFS('VALLE DE ABURRA'!A:A,"Bello",'VALLE DE ABURRA'!C:C,"")</f>
        <v>16</v>
      </c>
      <c r="E10" s="456">
        <v>3300.6518999999998</v>
      </c>
      <c r="F10" s="457">
        <v>78.5</v>
      </c>
    </row>
    <row r="11" spans="1:6" ht="24.95" customHeight="1">
      <c r="A11" s="583"/>
      <c r="B11" s="461" t="s">
        <v>108</v>
      </c>
      <c r="C11" s="58">
        <v>20</v>
      </c>
      <c r="D11" s="58">
        <f>COUNTIF('VALLE DE ABURRA'!A:A, "Caldas")-COUNTIFS('VALLE DE ABURRA'!A:A,"Caldas",'VALLE DE ABURRA'!C:C,"")</f>
        <v>19</v>
      </c>
      <c r="E11" s="456">
        <v>3862.8162999999995</v>
      </c>
      <c r="F11" s="457">
        <v>77.36</v>
      </c>
    </row>
    <row r="12" spans="1:6" ht="24.95" customHeight="1">
      <c r="A12" s="583"/>
      <c r="B12" s="461" t="s">
        <v>109</v>
      </c>
      <c r="C12" s="58">
        <v>15</v>
      </c>
      <c r="D12" s="58">
        <f>COUNTIF('VALLE DE ABURRA'!A:A, "Copacabana")-COUNTIFS('VALLE DE ABURRA'!A:A,"Copacabana",'VALLE DE ABURRA'!C:C,"")</f>
        <v>20</v>
      </c>
      <c r="E12" s="456">
        <v>3739.8959999999997</v>
      </c>
      <c r="F12" s="457">
        <v>81.569965870306902</v>
      </c>
    </row>
    <row r="13" spans="1:6" ht="24.95" customHeight="1">
      <c r="A13" s="583"/>
      <c r="B13" s="461" t="s">
        <v>81</v>
      </c>
      <c r="C13" s="58">
        <v>25</v>
      </c>
      <c r="D13" s="58">
        <f>COUNTIF('VALLE DE ABURRA'!A:A, "Girardota")-COUNTIFS('VALLE DE ABURRA'!A:A,"Girardota",'VALLE DE ABURRA'!C:C,"")</f>
        <v>31</v>
      </c>
      <c r="E13" s="456">
        <v>5131.3528000000006</v>
      </c>
      <c r="F13" s="457">
        <v>75.418994413407503</v>
      </c>
    </row>
    <row r="14" spans="1:6" ht="24.95" customHeight="1">
      <c r="A14" s="583"/>
      <c r="B14" s="461" t="s">
        <v>110</v>
      </c>
      <c r="C14" s="58">
        <v>8</v>
      </c>
      <c r="D14" s="58">
        <f>COUNTIF('VALLE DE ABURRA'!A:A, "Itagui")-COUNTIFS('VALLE DE ABURRA'!A:A,"Itagui",'VALLE DE ABURRA'!C:C,"")</f>
        <v>8</v>
      </c>
      <c r="E14" s="456">
        <v>7693.3194000000003</v>
      </c>
      <c r="F14" s="457">
        <v>87.359550561797604</v>
      </c>
    </row>
    <row r="15" spans="1:6" ht="24.95" customHeight="1">
      <c r="A15" s="583"/>
      <c r="B15" s="461" t="s">
        <v>111</v>
      </c>
      <c r="C15" s="58">
        <v>6</v>
      </c>
      <c r="D15" s="58">
        <f>COUNTIF('VALLE DE ABURRA'!A:A, "Envigado")-COUNTIFS('VALLE DE ABURRA'!A:A,"Envigado",'VALLE DE ABURRA'!C:C,"")</f>
        <v>15</v>
      </c>
      <c r="E15" s="456">
        <v>2625.4591999999998</v>
      </c>
      <c r="F15" s="458">
        <v>100</v>
      </c>
    </row>
    <row r="16" spans="1:6" ht="24.95" customHeight="1">
      <c r="A16" s="583"/>
      <c r="B16" s="461" t="s">
        <v>112</v>
      </c>
      <c r="C16" s="58">
        <v>6</v>
      </c>
      <c r="D16" s="58">
        <f>COUNTIF('VALLE DE ABURRA'!A:A, "Sabaneta")-COUNTIFS('VALLE DE ABURRA'!A:A,"Sabaneta",'VALLE DE ABURRA'!C:C,"")</f>
        <v>8</v>
      </c>
      <c r="E16" s="456">
        <v>3734.9850000000001</v>
      </c>
      <c r="F16" s="457">
        <v>99.4152046783625</v>
      </c>
    </row>
    <row r="17" spans="1:6" ht="24.95" customHeight="1">
      <c r="A17" s="583"/>
      <c r="B17" s="461" t="s">
        <v>113</v>
      </c>
      <c r="C17" s="58">
        <v>14</v>
      </c>
      <c r="D17" s="58">
        <f>COUNTIF('VALLE DE ABURRA'!A:A, "La Estrella")-COUNTIFS('VALLE DE ABURRA'!A:A,"La Estrella",'VALLE DE ABURRA'!C:C,"")</f>
        <v>11</v>
      </c>
      <c r="E17" s="456">
        <v>3033.0935000000004</v>
      </c>
      <c r="F17" s="457">
        <v>76.119402985074501</v>
      </c>
    </row>
    <row r="18" spans="1:6" ht="24.95" customHeight="1">
      <c r="A18" s="584"/>
      <c r="B18" s="462" t="s">
        <v>114</v>
      </c>
      <c r="C18" s="45">
        <f>SUM(C8:C17)</f>
        <v>222</v>
      </c>
      <c r="D18" s="45">
        <f>SUM(D8:D17)</f>
        <v>201</v>
      </c>
      <c r="E18" s="585">
        <f>SUM(E8:E17)</f>
        <v>128795.30910000003</v>
      </c>
      <c r="F18" s="586"/>
    </row>
    <row r="19" spans="1:6" ht="24.95" customHeight="1">
      <c r="A19" s="583" t="s">
        <v>115</v>
      </c>
      <c r="B19" s="461" t="s">
        <v>4085</v>
      </c>
      <c r="C19" s="58">
        <v>50</v>
      </c>
      <c r="D19" s="333">
        <f>COUNTIF(URABA!A:A, "Apartadó")-COUNTIFS(URABA!A:A,"Apartadó",URABA!C:C,"")</f>
        <v>9</v>
      </c>
      <c r="E19" s="459">
        <v>4499.6716999999999</v>
      </c>
      <c r="F19" s="460">
        <v>52.06</v>
      </c>
    </row>
    <row r="20" spans="1:6" ht="24.95" customHeight="1">
      <c r="A20" s="583"/>
      <c r="B20" s="461" t="s">
        <v>117</v>
      </c>
      <c r="C20" s="58">
        <v>62</v>
      </c>
      <c r="D20" s="58">
        <f>COUNTIF(URABA!A:A, "Arboletes")-COUNTIFS(URABA!A:A,"Arboletes",URABA!C:C,"")</f>
        <v>25</v>
      </c>
      <c r="E20" s="459">
        <v>1650.4025999999999</v>
      </c>
      <c r="F20" s="460">
        <v>51.9</v>
      </c>
    </row>
    <row r="21" spans="1:6" ht="24.95" customHeight="1">
      <c r="A21" s="583"/>
      <c r="B21" s="461" t="s">
        <v>118</v>
      </c>
      <c r="C21" s="58">
        <v>31</v>
      </c>
      <c r="D21" s="58">
        <f>COUNTIF(URABA!A:A, "Carepa")-COUNTIFS(URABA!A:A,"Carepa",URABA!C:C,"")</f>
        <v>17</v>
      </c>
      <c r="E21" s="459">
        <v>1987.1205</v>
      </c>
      <c r="F21" s="460">
        <v>59.03</v>
      </c>
    </row>
    <row r="22" spans="1:6" ht="24.95" customHeight="1">
      <c r="A22" s="583"/>
      <c r="B22" s="461" t="s">
        <v>4087</v>
      </c>
      <c r="C22" s="58">
        <v>30</v>
      </c>
      <c r="D22" s="336">
        <f>COUNTIF(URABA!A:A, "Chigorodó")-COUNTIFS(URABA!A:A,"Chigorodó",URABA!C:C,"")</f>
        <v>4</v>
      </c>
      <c r="E22" s="459">
        <v>346.12620000000004</v>
      </c>
      <c r="F22" s="460">
        <v>29.7</v>
      </c>
    </row>
    <row r="23" spans="1:6" ht="24.95" customHeight="1">
      <c r="A23" s="583"/>
      <c r="B23" s="461" t="s">
        <v>83</v>
      </c>
      <c r="C23" s="58">
        <v>20</v>
      </c>
      <c r="D23" s="336">
        <f>COUNTIF(URABA!A:A, "Murindo")-COUNTIFS(URABA!A:A,"Murindo",URABA!C:C,"")</f>
        <v>0</v>
      </c>
      <c r="E23" s="459">
        <v>0</v>
      </c>
      <c r="F23" s="460">
        <v>0</v>
      </c>
    </row>
    <row r="24" spans="1:6" ht="24.95" customHeight="1">
      <c r="A24" s="583"/>
      <c r="B24" s="461" t="s">
        <v>4086</v>
      </c>
      <c r="C24" s="58">
        <v>38</v>
      </c>
      <c r="D24" s="336">
        <f>COUNTIF(URABA!A:A, "Mutatá")-COUNTIFS(URABA!A:A,"Mutatá",URABA!C:C,"")</f>
        <v>14</v>
      </c>
      <c r="E24" s="459">
        <v>568.7639999999999</v>
      </c>
      <c r="F24" s="460">
        <v>70</v>
      </c>
    </row>
    <row r="25" spans="1:6" ht="24.95" customHeight="1">
      <c r="A25" s="583"/>
      <c r="B25" s="461" t="s">
        <v>4088</v>
      </c>
      <c r="C25" s="58">
        <v>105</v>
      </c>
      <c r="D25" s="336">
        <f>COUNTIF(URABA!A:A, "Necoclí")-COUNTIFS(URABA!A:A,"Necoclí",URABA!C:C,"")</f>
        <v>23</v>
      </c>
      <c r="E25" s="459">
        <v>1541.3579999999999</v>
      </c>
      <c r="F25" s="460">
        <v>41.773253798678553</v>
      </c>
    </row>
    <row r="26" spans="1:6" ht="24.95" customHeight="1">
      <c r="A26" s="583"/>
      <c r="B26" s="461" t="s">
        <v>122</v>
      </c>
      <c r="C26" s="58">
        <v>36</v>
      </c>
      <c r="D26" s="336">
        <f>COUNTIF(URABA!A:A, "San Juan De Urabá")-COUNTIFS(URABA!A:A,"San Juan De Urabá",URABA!C:C,"")</f>
        <v>4</v>
      </c>
      <c r="E26" s="459">
        <v>442.89359999999999</v>
      </c>
      <c r="F26" s="460">
        <v>35.79</v>
      </c>
    </row>
    <row r="27" spans="1:6" ht="24.95" customHeight="1">
      <c r="A27" s="583"/>
      <c r="B27" s="461" t="s">
        <v>123</v>
      </c>
      <c r="C27" s="58">
        <v>59</v>
      </c>
      <c r="D27" s="336">
        <f>COUNTIF(URABA!A:A, "San Pedro de Urabá")-COUNTIFS(URABA!A:A,"San Pedro de Urabá",URABA!C:C,"")</f>
        <v>6</v>
      </c>
      <c r="E27" s="459">
        <v>380.0428</v>
      </c>
      <c r="F27" s="460">
        <v>14</v>
      </c>
    </row>
    <row r="28" spans="1:6" ht="24.95" customHeight="1">
      <c r="A28" s="583"/>
      <c r="B28" s="461" t="s">
        <v>124</v>
      </c>
      <c r="C28" s="58">
        <v>29</v>
      </c>
      <c r="D28" s="58">
        <f>COUNTIF(URABA!A:A,"Vigia del Fuerte")-COUNTIFS(URABA!A:A,"Vigia del fuerte",URABA!C:C,"")</f>
        <v>0</v>
      </c>
      <c r="E28" s="459">
        <v>112.83579999999998</v>
      </c>
      <c r="F28" s="460">
        <v>0</v>
      </c>
    </row>
    <row r="29" spans="1:6" ht="24.95" customHeight="1">
      <c r="A29" s="583"/>
      <c r="B29" s="461" t="s">
        <v>125</v>
      </c>
      <c r="C29" s="58">
        <v>219</v>
      </c>
      <c r="D29" s="336">
        <f>COUNTIF(URABA!A:A,"Turbo")-COUNTIFS(URABA!A:A,"Turbo",URABA!C:C,"")</f>
        <v>23</v>
      </c>
      <c r="E29" s="459">
        <v>9996.624600000001</v>
      </c>
      <c r="F29" s="460">
        <v>50.52</v>
      </c>
    </row>
    <row r="30" spans="1:6" ht="24.95" customHeight="1">
      <c r="A30" s="584"/>
      <c r="B30" s="462" t="s">
        <v>114</v>
      </c>
      <c r="C30" s="45">
        <f>SUM(C19:C29)</f>
        <v>679</v>
      </c>
      <c r="D30" s="45">
        <f>SUM(D19:D29)</f>
        <v>125</v>
      </c>
      <c r="E30" s="585">
        <f>SUM(E19:E29)</f>
        <v>21525.839800000002</v>
      </c>
      <c r="F30" s="586"/>
    </row>
    <row r="31" spans="1:6" ht="24.95" customHeight="1">
      <c r="A31" s="583" t="s">
        <v>126</v>
      </c>
      <c r="B31" s="461" t="s">
        <v>127</v>
      </c>
      <c r="C31" s="58">
        <v>46</v>
      </c>
      <c r="D31" s="58">
        <f>COUNTIF(NORTE!A:A,"Angostura")-COUNTIFS(NORTE!A:A,"Angostura",NORTE!C:C,"")</f>
        <v>24</v>
      </c>
      <c r="E31" s="459">
        <v>1514.2881</v>
      </c>
      <c r="F31" s="460">
        <v>67.39</v>
      </c>
    </row>
    <row r="32" spans="1:6" ht="24.95" customHeight="1">
      <c r="A32" s="583"/>
      <c r="B32" s="461" t="s">
        <v>128</v>
      </c>
      <c r="C32" s="58">
        <v>15</v>
      </c>
      <c r="D32" s="58">
        <f>COUNTIF(NORTE!A:A,"Belmira")-COUNTIFS(NORTE!A:A,"Belmira",NORTE!C:C,"")</f>
        <v>9</v>
      </c>
      <c r="E32" s="459">
        <v>408.70200000000006</v>
      </c>
      <c r="F32" s="460">
        <v>60</v>
      </c>
    </row>
    <row r="33" spans="1:9" ht="24.95" customHeight="1">
      <c r="A33" s="583"/>
      <c r="B33" s="461" t="s">
        <v>129</v>
      </c>
      <c r="C33" s="58">
        <v>38</v>
      </c>
      <c r="D33" s="58">
        <f>COUNTIF(NORTE!A:A,"Briceño")-COUNTIFS(NORTE!A:A,"Briceño",NORTE!C:C,"")</f>
        <v>13</v>
      </c>
      <c r="E33" s="459">
        <v>343.43440000000004</v>
      </c>
      <c r="F33" s="460">
        <v>45</v>
      </c>
    </row>
    <row r="34" spans="1:9" ht="24.95" customHeight="1">
      <c r="A34" s="583"/>
      <c r="B34" s="461" t="s">
        <v>130</v>
      </c>
      <c r="C34" s="58">
        <v>43</v>
      </c>
      <c r="D34" s="58">
        <f>COUNTIF(NORTE!A:A,"Campamento")-COUNTIFS(NORTE!A:A,"Campamento",NORTE!C:C,"")</f>
        <v>17</v>
      </c>
      <c r="E34" s="459">
        <v>537.6617</v>
      </c>
      <c r="F34" s="460">
        <v>46</v>
      </c>
    </row>
    <row r="35" spans="1:9" ht="24.95" customHeight="1">
      <c r="A35" s="583"/>
      <c r="B35" s="461" t="s">
        <v>131</v>
      </c>
      <c r="C35" s="58">
        <v>6</v>
      </c>
      <c r="D35" s="336">
        <f>COUNTIF(NORTE!A:A,"Carolina del Príncipe")-COUNTIFS(NORTE!A:A,"Carolina del Príncipe",NORTE!C:C,"")</f>
        <v>7</v>
      </c>
      <c r="E35" s="459">
        <v>93.991100000000003</v>
      </c>
      <c r="F35" s="460">
        <v>48.148148148148145</v>
      </c>
    </row>
    <row r="36" spans="1:9" ht="24.95" customHeight="1">
      <c r="A36" s="583"/>
      <c r="B36" s="461" t="s">
        <v>132</v>
      </c>
      <c r="C36" s="58">
        <v>19</v>
      </c>
      <c r="D36" s="336">
        <f>COUNTIF(NORTE!A:A,"Don Matías")-COUNTIFS(NORTE!A:A,"Don Matías",NORTE!C:C,"")</f>
        <v>5</v>
      </c>
      <c r="E36" s="459">
        <v>1072.8668</v>
      </c>
      <c r="F36" s="460">
        <v>36</v>
      </c>
    </row>
    <row r="37" spans="1:9" ht="24.95" customHeight="1">
      <c r="A37" s="583"/>
      <c r="B37" s="461" t="s">
        <v>4089</v>
      </c>
      <c r="C37" s="58">
        <v>11</v>
      </c>
      <c r="D37" s="336">
        <f>COUNTIF(NORTE!A:A,"Entrerríos")-COUNTIFS(NORTE!A:A,"Entrerríos",NORTE!C:C,"")</f>
        <v>11</v>
      </c>
      <c r="E37" s="459">
        <v>898.90499999999997</v>
      </c>
      <c r="F37" s="460">
        <v>71</v>
      </c>
    </row>
    <row r="38" spans="1:9" ht="24.95" customHeight="1">
      <c r="A38" s="583"/>
      <c r="B38" s="461" t="s">
        <v>133</v>
      </c>
      <c r="C38" s="58">
        <v>28</v>
      </c>
      <c r="D38" s="336">
        <f>COUNTIF(NORTE!A:A,"Gómez Plata")-COUNTIFS(NORTE!A:A,"Gómez Plata",NORTE!C:C,"")</f>
        <v>21</v>
      </c>
      <c r="E38" s="459">
        <v>718.41600000000005</v>
      </c>
      <c r="F38" s="460">
        <v>57.02783528870485</v>
      </c>
    </row>
    <row r="39" spans="1:9" ht="24.95" customHeight="1">
      <c r="A39" s="583"/>
      <c r="B39" s="461" t="s">
        <v>134</v>
      </c>
      <c r="C39" s="58">
        <v>21</v>
      </c>
      <c r="D39" s="336">
        <f>COUNTIF(NORTE!A:A,"Guadalupe")-COUNTIFS(NORTE!A:A,"Guadalupe",NORTE!C:C,"")</f>
        <v>14</v>
      </c>
      <c r="E39" s="459">
        <v>356.02200000000005</v>
      </c>
      <c r="F39" s="460">
        <v>26.35</v>
      </c>
    </row>
    <row r="40" spans="1:9" ht="24.95" customHeight="1">
      <c r="A40" s="583"/>
      <c r="B40" s="461" t="s">
        <v>135</v>
      </c>
      <c r="C40" s="58">
        <v>101</v>
      </c>
      <c r="D40" s="325">
        <f>COUNTIF(NORTE!A:A,"Ituango")-COUNTIFS(NORTE!A:A,"Ituango",NORTE!C:C,"")</f>
        <v>38</v>
      </c>
      <c r="E40" s="459">
        <v>1566.346</v>
      </c>
      <c r="F40" s="460">
        <v>51.62</v>
      </c>
    </row>
    <row r="41" spans="1:9" ht="24.95" customHeight="1">
      <c r="A41" s="583"/>
      <c r="B41" s="461" t="s">
        <v>136</v>
      </c>
      <c r="C41" s="58">
        <v>33</v>
      </c>
      <c r="D41" s="336">
        <f>COUNTIF(NORTE!A:A,"San Andrés de Cuerquia")-COUNTIFS(NORTE!A:A,"San Andrés de Cuerquia",NORTE!C:C,"")</f>
        <v>18</v>
      </c>
      <c r="E41" s="459">
        <v>172.11680000000001</v>
      </c>
      <c r="F41" s="460">
        <v>35.92</v>
      </c>
    </row>
    <row r="42" spans="1:9" ht="24.95" customHeight="1">
      <c r="A42" s="583"/>
      <c r="B42" s="461" t="s">
        <v>137</v>
      </c>
      <c r="C42" s="58">
        <v>8</v>
      </c>
      <c r="D42" s="336">
        <f>COUNTIF(NORTE!A:A,"San José de la Montaña")-COUNTIFS(NORTE!A:A,"San José de la Montaña",NORTE!C:C,"")</f>
        <v>4</v>
      </c>
      <c r="E42" s="459">
        <v>54.558399999999999</v>
      </c>
      <c r="F42" s="460">
        <v>37.190082644628099</v>
      </c>
    </row>
    <row r="43" spans="1:9" ht="24.95" customHeight="1">
      <c r="A43" s="583"/>
      <c r="B43" s="461" t="s">
        <v>138</v>
      </c>
      <c r="C43" s="58">
        <v>20</v>
      </c>
      <c r="D43" s="325">
        <f>COUNTIF(NORTE!A:A,"San Pedro De Los Milagros")-COUNTIFS(NORTE!A:A,"San Pedro De Los Milagros",NORTE!C:C,"")</f>
        <v>16</v>
      </c>
      <c r="E43" s="459">
        <v>1819.0686000000001</v>
      </c>
      <c r="F43" s="460">
        <v>61.73</v>
      </c>
    </row>
    <row r="44" spans="1:9" ht="24.95" customHeight="1">
      <c r="A44" s="583"/>
      <c r="B44" s="461" t="s">
        <v>139</v>
      </c>
      <c r="C44" s="58">
        <v>73</v>
      </c>
      <c r="D44" s="325">
        <f>COUNTIF(NORTE!A:A,"Santa Rosa De Osos")-COUNTIFS(NORTE!A:A,"Santa Rosa De Osos",NORTE!C:C,"")</f>
        <v>30</v>
      </c>
      <c r="E44" s="459">
        <v>1585.6340999999998</v>
      </c>
      <c r="F44" s="460">
        <v>44.2</v>
      </c>
    </row>
    <row r="45" spans="1:9" ht="24.95" customHeight="1">
      <c r="A45" s="583"/>
      <c r="B45" s="461" t="s">
        <v>140</v>
      </c>
      <c r="C45" s="58">
        <v>20</v>
      </c>
      <c r="D45" s="325">
        <f>COUNTIF(NORTE!A:A,"Toledo")-COUNTIFS(NORTE!A:A,"Toledo",NORTE!C:C,"")</f>
        <v>12</v>
      </c>
      <c r="E45" s="459">
        <v>659.9597</v>
      </c>
      <c r="F45" s="460">
        <v>58.19</v>
      </c>
    </row>
    <row r="46" spans="1:9" ht="24.95" customHeight="1">
      <c r="A46" s="583"/>
      <c r="B46" s="461" t="s">
        <v>141</v>
      </c>
      <c r="C46" s="58">
        <v>36</v>
      </c>
      <c r="D46" s="325">
        <f>COUNTIF(NORTE!A:A,"Valdivia")-COUNTIFS(NORTE!A:A,"Valdivia",NORTE!C:C,"")</f>
        <v>8</v>
      </c>
      <c r="E46" s="459">
        <v>1153.3751999999999</v>
      </c>
      <c r="F46" s="460">
        <v>43.32308109460245</v>
      </c>
    </row>
    <row r="47" spans="1:9" ht="24.95" customHeight="1">
      <c r="A47" s="583"/>
      <c r="B47" s="461" t="s">
        <v>142</v>
      </c>
      <c r="C47" s="58">
        <v>52</v>
      </c>
      <c r="D47" s="336">
        <f>COUNTIF(NORTE!A:A,"Yarumal")-COUNTIFS(NORTE!A:A,"Yarumal",NORTE!C:C,"")</f>
        <v>12</v>
      </c>
      <c r="E47" s="459">
        <v>1456.9775999999997</v>
      </c>
      <c r="F47" s="460">
        <v>48.365122615803813</v>
      </c>
    </row>
    <row r="48" spans="1:9" ht="24.95" customHeight="1">
      <c r="A48" s="584"/>
      <c r="B48" s="462" t="s">
        <v>114</v>
      </c>
      <c r="C48" s="45">
        <f>SUM(C31:C47)</f>
        <v>570</v>
      </c>
      <c r="D48" s="45">
        <f>SUM(D31:D47)</f>
        <v>259</v>
      </c>
      <c r="E48" s="585">
        <f>SUM(E31:E47)</f>
        <v>14412.3235</v>
      </c>
      <c r="F48" s="586"/>
      <c r="I48" s="311">
        <f>COUNTIF(NORTE!A:A,"Don Matias")-COUNTIFS(NORTE!A:A,"Don Matias",NORTE!C:C,"")</f>
        <v>0</v>
      </c>
    </row>
    <row r="49" spans="1:6" ht="24.95" customHeight="1">
      <c r="A49" s="583" t="s">
        <v>143</v>
      </c>
      <c r="B49" s="461" t="s">
        <v>4090</v>
      </c>
      <c r="C49" s="58">
        <v>12</v>
      </c>
      <c r="D49" s="336">
        <f>COUNTIF(OCCIDENTE!A:A, "Abriaquí")-COUNTIFS(OCCIDENTE!A:A,"Abriaquí",OCCIDENTE!C:C,"")</f>
        <v>7</v>
      </c>
      <c r="E49" s="459">
        <v>201.9127</v>
      </c>
      <c r="F49" s="460">
        <v>80.209999999999994</v>
      </c>
    </row>
    <row r="50" spans="1:6" ht="24.95" customHeight="1">
      <c r="A50" s="583"/>
      <c r="B50" s="461" t="s">
        <v>4091</v>
      </c>
      <c r="C50" s="58">
        <v>17</v>
      </c>
      <c r="D50" s="336">
        <f>COUNTIF(OCCIDENTE!A:A, "Anzá")-COUNTIFS(OCCIDENTE!A:A,"Anzá",OCCIDENTE!C:C,"")</f>
        <v>18</v>
      </c>
      <c r="E50" s="459">
        <v>1141.0884000000001</v>
      </c>
      <c r="F50" s="460">
        <v>65.290000000000006</v>
      </c>
    </row>
    <row r="51" spans="1:6" ht="24.95" customHeight="1">
      <c r="A51" s="583"/>
      <c r="B51" s="461" t="s">
        <v>89</v>
      </c>
      <c r="C51" s="58">
        <v>10</v>
      </c>
      <c r="D51" s="58">
        <f>COUNTIF(OCCIDENTE!A:A, "Armenia")-COUNTIFS(OCCIDENTE!A:A,"Armenia",OCCIDENTE!C:C,"")</f>
        <v>4</v>
      </c>
      <c r="E51" s="459">
        <v>525.25199999999995</v>
      </c>
      <c r="F51" s="460">
        <v>63.03</v>
      </c>
    </row>
    <row r="52" spans="1:6" ht="24.95" customHeight="1">
      <c r="A52" s="583"/>
      <c r="B52" s="461" t="s">
        <v>2777</v>
      </c>
      <c r="C52" s="58">
        <v>36</v>
      </c>
      <c r="D52" s="333">
        <f>COUNTIF(OCCIDENTE!A:A, "Buriticá")-COUNTIFS(OCCIDENTE!A:A,"Buriticá",OCCIDENTE!C:C,"")</f>
        <v>38</v>
      </c>
      <c r="E52" s="459">
        <v>1219.7472000000002</v>
      </c>
      <c r="F52" s="460">
        <v>86.05</v>
      </c>
    </row>
    <row r="53" spans="1:6" ht="24.95" customHeight="1">
      <c r="A53" s="583"/>
      <c r="B53" s="461" t="s">
        <v>151</v>
      </c>
      <c r="C53" s="58">
        <v>61</v>
      </c>
      <c r="D53" s="333">
        <f>COUNTIF(OCCIDENTE!A:A, "Caicedo")-COUNTIFS(OCCIDENTE!A:A,"Caicedo",OCCIDENTE!C:C,"")</f>
        <v>18</v>
      </c>
      <c r="E53" s="459">
        <v>1233.5661</v>
      </c>
      <c r="F53" s="460">
        <v>58.165137614678898</v>
      </c>
    </row>
    <row r="54" spans="1:6" ht="24.95" customHeight="1">
      <c r="A54" s="583"/>
      <c r="B54" s="461" t="s">
        <v>234</v>
      </c>
      <c r="C54" s="58">
        <v>98</v>
      </c>
      <c r="D54" s="333">
        <f>COUNTIF(OCCIDENTE!A:A, "Cañasgordas")-COUNTIFS(OCCIDENTE!A:A,"Cañasgordas",OCCIDENTE!C:C,"")</f>
        <v>70</v>
      </c>
      <c r="E54" s="459">
        <v>1344.0216</v>
      </c>
      <c r="F54" s="460">
        <v>61.33</v>
      </c>
    </row>
    <row r="55" spans="1:6" ht="24.95" customHeight="1">
      <c r="A55" s="583"/>
      <c r="B55" s="461" t="s">
        <v>148</v>
      </c>
      <c r="C55" s="58">
        <v>33</v>
      </c>
      <c r="D55" s="336">
        <f>COUNTIF(OCCIDENTE!A:A, "Dabeiba")-COUNTIFS(OCCIDENTE!A:A,"Dabeiba",OCCIDENTE!C:C,"")</f>
        <v>29</v>
      </c>
      <c r="E55" s="459">
        <v>616.64099999999996</v>
      </c>
      <c r="F55" s="460">
        <v>29.488372093023258</v>
      </c>
    </row>
    <row r="56" spans="1:6" ht="24.95" customHeight="1">
      <c r="A56" s="583"/>
      <c r="B56" s="461" t="s">
        <v>4092</v>
      </c>
      <c r="C56" s="58">
        <v>52</v>
      </c>
      <c r="D56" s="336">
        <f>COUNTIF(OCCIDENTE!A:A, "Ebéjico")-COUNTIFS(OCCIDENTE!A:A,"Ebéjico",OCCIDENTE!C:C,"")</f>
        <v>45</v>
      </c>
      <c r="E56" s="459">
        <v>2721.1047999999996</v>
      </c>
      <c r="F56" s="460">
        <v>83.934535738142955</v>
      </c>
    </row>
    <row r="57" spans="1:6" ht="24.95" customHeight="1">
      <c r="A57" s="583"/>
      <c r="B57" s="461" t="s">
        <v>150</v>
      </c>
      <c r="C57" s="58">
        <v>19</v>
      </c>
      <c r="D57" s="336">
        <f>COUNTIF(OCCIDENTE!A:A, "Frontino")-COUNTIFS(OCCIDENTE!A:A,"Frontino",OCCIDENTE!C:C,"")</f>
        <v>46</v>
      </c>
      <c r="E57" s="459">
        <v>1502.4254999999998</v>
      </c>
      <c r="F57" s="460">
        <v>66.497613365155132</v>
      </c>
    </row>
    <row r="58" spans="1:6" ht="24.95" customHeight="1">
      <c r="A58" s="583"/>
      <c r="B58" s="461" t="s">
        <v>152</v>
      </c>
      <c r="C58" s="58">
        <v>15</v>
      </c>
      <c r="D58" s="58">
        <f>COUNTIF(OCCIDENTE!A:A, "Giraldo")-COUNTIFS(OCCIDENTE!A:A,"Giraldo",OCCIDENTE!C:C,"")</f>
        <v>22</v>
      </c>
      <c r="E58" s="459">
        <v>775.9452</v>
      </c>
      <c r="F58" s="460">
        <v>80</v>
      </c>
    </row>
    <row r="59" spans="1:6" ht="24.95" customHeight="1">
      <c r="A59" s="583"/>
      <c r="B59" s="461" t="s">
        <v>153</v>
      </c>
      <c r="C59" s="58">
        <v>18</v>
      </c>
      <c r="D59" s="58">
        <f>COUNTIF(OCCIDENTE!A:A, "Heliconia")-COUNTIFS(OCCIDENTE!A:A,"Heliconia",OCCIDENTE!C:C,"")</f>
        <v>13</v>
      </c>
      <c r="E59" s="459">
        <v>928.11500000000001</v>
      </c>
      <c r="F59" s="460">
        <v>82.792792792792795</v>
      </c>
    </row>
    <row r="60" spans="1:6" ht="24.95" customHeight="1">
      <c r="A60" s="583"/>
      <c r="B60" s="461" t="s">
        <v>154</v>
      </c>
      <c r="C60" s="58">
        <v>37</v>
      </c>
      <c r="D60" s="365">
        <f>COUNTIF(OCCIDENTE!A:A, "Liborina")-COUNTIFS(OCCIDENTE!A:A,"Liborina",OCCIDENTE!C:C,"")</f>
        <v>33</v>
      </c>
      <c r="E60" s="459">
        <v>1907.3410000000001</v>
      </c>
      <c r="F60" s="460">
        <v>89.9</v>
      </c>
    </row>
    <row r="61" spans="1:6" ht="24.95" customHeight="1">
      <c r="A61" s="583"/>
      <c r="B61" s="461" t="s">
        <v>3290</v>
      </c>
      <c r="C61" s="58">
        <v>11</v>
      </c>
      <c r="D61" s="336">
        <f>COUNTIF(OCCIDENTE!A:A, "Olaya")-COUNTIFS(OCCIDENTE!A:A,"Olaya",OCCIDENTE!C:C,"")</f>
        <v>8</v>
      </c>
      <c r="E61" s="459">
        <v>804.38199999999995</v>
      </c>
      <c r="F61" s="460">
        <v>70.94</v>
      </c>
    </row>
    <row r="62" spans="1:6" ht="24.95" customHeight="1">
      <c r="A62" s="583"/>
      <c r="B62" s="461" t="s">
        <v>156</v>
      </c>
      <c r="C62" s="58">
        <v>36</v>
      </c>
      <c r="D62" s="58">
        <f>COUNTIF(OCCIDENTE!A:A, "Peque")-COUNTIFS(OCCIDENTE!A:A,"Peque",OCCIDENTE!C:C,"")</f>
        <v>32</v>
      </c>
      <c r="E62" s="459">
        <v>1326.7260000000001</v>
      </c>
      <c r="F62" s="460">
        <v>45</v>
      </c>
    </row>
    <row r="63" spans="1:6" ht="24.95" customHeight="1">
      <c r="A63" s="583"/>
      <c r="B63" s="461" t="s">
        <v>157</v>
      </c>
      <c r="C63" s="58">
        <v>32</v>
      </c>
      <c r="D63" s="58">
        <f>COUNTIF(OCCIDENTE!A:A, "Sabanalarga")-COUNTIFS(OCCIDENTE!A:A,"Sabanalarga",OCCIDENTE!C:C,"")</f>
        <v>26</v>
      </c>
      <c r="E63" s="459">
        <v>902.71720000000005</v>
      </c>
      <c r="F63" s="460">
        <v>56.95</v>
      </c>
    </row>
    <row r="64" spans="1:6" ht="24.95" customHeight="1">
      <c r="A64" s="583"/>
      <c r="B64" s="461" t="s">
        <v>158</v>
      </c>
      <c r="C64" s="58">
        <v>37</v>
      </c>
      <c r="D64" s="336">
        <f>COUNTIF(OCCIDENTE!A:A, "San Jerónimo")-COUNTIFS(OCCIDENTE!A:A,"San Jerónimo",OCCIDENTE!C:C,"")</f>
        <v>28</v>
      </c>
      <c r="E64" s="459">
        <v>1564.0832</v>
      </c>
      <c r="F64" s="460">
        <v>78.567199851556012</v>
      </c>
    </row>
    <row r="65" spans="1:6" ht="24.95" customHeight="1">
      <c r="A65" s="583"/>
      <c r="B65" s="461" t="s">
        <v>3425</v>
      </c>
      <c r="C65" s="58">
        <v>42</v>
      </c>
      <c r="D65" s="336">
        <f>COUNTIF(OCCIDENTE!A:A, "Santafe de Antioquia")-COUNTIFS(OCCIDENTE!A:A,"Santafe de Antioquia",OCCIDENTE!C:C,"")</f>
        <v>37</v>
      </c>
      <c r="E65" s="459">
        <v>1700.0322000000001</v>
      </c>
      <c r="F65" s="460">
        <v>78.62</v>
      </c>
    </row>
    <row r="66" spans="1:6" ht="24.95" customHeight="1">
      <c r="A66" s="583"/>
      <c r="B66" s="461" t="s">
        <v>4311</v>
      </c>
      <c r="C66" s="58">
        <v>31</v>
      </c>
      <c r="D66" s="336">
        <f>COUNTIF(OCCIDENTE!A:A, "Sopetrán")-COUNTIFS(OCCIDENTE!A:A,"Sopetrán",OCCIDENTE!C:C,"")</f>
        <v>27</v>
      </c>
      <c r="E66" s="459">
        <v>2102.0401000000002</v>
      </c>
      <c r="F66" s="460">
        <v>79.532163742690059</v>
      </c>
    </row>
    <row r="67" spans="1:6" ht="24.95" customHeight="1">
      <c r="A67" s="584"/>
      <c r="B67" s="461" t="s">
        <v>161</v>
      </c>
      <c r="C67" s="58">
        <v>42</v>
      </c>
      <c r="D67" s="336">
        <f>COUNTIF(OCCIDENTE!A:A, "Uramita")-COUNTIFS(OCCIDENTE!A:A,"Uramita",OCCIDENTE!C:C,"")</f>
        <v>17</v>
      </c>
      <c r="E67" s="459">
        <v>344.79900000000004</v>
      </c>
      <c r="F67" s="460">
        <v>49.47</v>
      </c>
    </row>
    <row r="68" spans="1:6" ht="24.95" customHeight="1">
      <c r="A68" s="584"/>
      <c r="B68" s="462" t="s">
        <v>114</v>
      </c>
      <c r="C68" s="45">
        <f>SUM(C49:C67)</f>
        <v>639</v>
      </c>
      <c r="D68" s="45">
        <f>SUM(D49:D67)</f>
        <v>518</v>
      </c>
      <c r="E68" s="585">
        <f>SUM(E49:E67)</f>
        <v>22861.940200000005</v>
      </c>
      <c r="F68" s="586"/>
    </row>
    <row r="69" spans="1:6" ht="24.95" customHeight="1">
      <c r="A69" s="583" t="s">
        <v>162</v>
      </c>
      <c r="B69" s="461" t="s">
        <v>4093</v>
      </c>
      <c r="C69" s="58">
        <v>21</v>
      </c>
      <c r="D69" s="336">
        <f>COUNTIF(SUROESTE!A:A, "Amagá")-COUNTIFS(SUROESTE!A:A,"Amagá",SUROESTE!C:C,"")</f>
        <v>34</v>
      </c>
      <c r="E69" s="459">
        <v>4365.8571999999995</v>
      </c>
      <c r="F69" s="459">
        <v>100</v>
      </c>
    </row>
    <row r="70" spans="1:6" ht="24.95" customHeight="1">
      <c r="A70" s="583"/>
      <c r="B70" s="461" t="s">
        <v>164</v>
      </c>
      <c r="C70" s="58">
        <v>62</v>
      </c>
      <c r="D70" s="58">
        <f>COUNTIF(SUROESTE!A:A, "Andes")-COUNTIFS(SUROESTE!A:A,"Andes",SUROESTE!C:C,"")</f>
        <v>58</v>
      </c>
      <c r="E70" s="459">
        <v>2277.88</v>
      </c>
      <c r="F70" s="459">
        <v>64</v>
      </c>
    </row>
    <row r="71" spans="1:6" ht="24.95" customHeight="1">
      <c r="A71" s="583"/>
      <c r="B71" s="461" t="s">
        <v>4094</v>
      </c>
      <c r="C71" s="58">
        <v>12</v>
      </c>
      <c r="D71" s="336">
        <f>COUNTIF(SUROESTE!A:A, "Angelópolis")-COUNTIFS(SUROESTE!A:A,"Angelópolis",SUROESTE!C:C,"")</f>
        <v>12</v>
      </c>
      <c r="E71" s="459">
        <v>905.82599999999991</v>
      </c>
      <c r="F71" s="459">
        <v>80</v>
      </c>
    </row>
    <row r="72" spans="1:6" ht="24.95" customHeight="1">
      <c r="A72" s="583"/>
      <c r="B72" s="461" t="s">
        <v>165</v>
      </c>
      <c r="C72" s="58">
        <v>27</v>
      </c>
      <c r="D72" s="58">
        <f>COUNTIF(SUROESTE!A:A, "Betania")-COUNTIFS(SUROESTE!A:A,"Betania",SUROESTE!C:C,"")</f>
        <v>12</v>
      </c>
      <c r="E72" s="459">
        <v>407.65920000000006</v>
      </c>
      <c r="F72" s="459">
        <v>34</v>
      </c>
    </row>
    <row r="73" spans="1:6" ht="24.95" customHeight="1">
      <c r="A73" s="583"/>
      <c r="B73" s="461" t="s">
        <v>47</v>
      </c>
      <c r="C73" s="58">
        <v>41</v>
      </c>
      <c r="D73" s="58">
        <f>COUNTIF(SUROESTE!A:A, "Betulia")-COUNTIFS(SUROESTE!A:A,"Betulia",SUROESTE!C:C,"")</f>
        <v>28</v>
      </c>
      <c r="E73" s="459">
        <v>2073.489</v>
      </c>
      <c r="F73" s="459">
        <v>67.23</v>
      </c>
    </row>
    <row r="74" spans="1:6" ht="24.95" customHeight="1">
      <c r="A74" s="583"/>
      <c r="B74" s="461" t="s">
        <v>166</v>
      </c>
      <c r="C74" s="58">
        <v>23</v>
      </c>
      <c r="D74" s="336">
        <f>COUNTIF(SUROESTE!A:A, "Caramanta")-COUNTIFS(SUROESTE!A:A,"Caramanta",SUROESTE!C:C,"")</f>
        <v>16</v>
      </c>
      <c r="E74" s="459">
        <v>475.62690000000003</v>
      </c>
      <c r="F74" s="459">
        <v>69.581280788177338</v>
      </c>
    </row>
    <row r="75" spans="1:6" ht="24.95" customHeight="1">
      <c r="A75" s="583"/>
      <c r="B75" s="461" t="s">
        <v>167</v>
      </c>
      <c r="C75" s="58">
        <v>18</v>
      </c>
      <c r="D75" s="336">
        <f>COUNTIF(SUROESTE!A:A, "Ciudad Bolívar")-COUNTIFS(SUROESTE!A:A,"Ciudad Bolívar",SUROESTE!C:C,"")</f>
        <v>17</v>
      </c>
      <c r="E75" s="459">
        <v>1243.4929000000002</v>
      </c>
      <c r="F75" s="459">
        <v>53</v>
      </c>
    </row>
    <row r="76" spans="1:6" ht="24.95" customHeight="1">
      <c r="A76" s="583"/>
      <c r="B76" s="461" t="s">
        <v>168</v>
      </c>
      <c r="C76" s="58">
        <v>24</v>
      </c>
      <c r="D76" s="58">
        <f>COUNTIF(SUROESTE!A:A, "Concordia")-COUNTIFS(SUROESTE!A:A,"Concordia",SUROESTE!C:C,"")</f>
        <v>21</v>
      </c>
      <c r="E76" s="459">
        <v>1137.5039999999999</v>
      </c>
      <c r="F76" s="459">
        <v>42.71</v>
      </c>
    </row>
    <row r="77" spans="1:6" ht="24.95" customHeight="1">
      <c r="A77" s="583"/>
      <c r="B77" s="461" t="s">
        <v>169</v>
      </c>
      <c r="C77" s="58">
        <v>36</v>
      </c>
      <c r="D77" s="58">
        <f>COUNTIF(SUROESTE!A:A, "Fredonia")-COUNTIFS(SUROESTE!A:A,"Fredonia",SUROESTE!C:C,"")</f>
        <v>36</v>
      </c>
      <c r="E77" s="459">
        <v>3693.5079999999998</v>
      </c>
      <c r="F77" s="459">
        <v>78</v>
      </c>
    </row>
    <row r="78" spans="1:6" ht="24.95" customHeight="1">
      <c r="A78" s="583"/>
      <c r="B78" s="461" t="s">
        <v>170</v>
      </c>
      <c r="C78" s="58">
        <v>11</v>
      </c>
      <c r="D78" s="58">
        <f>COUNTIF(SUROESTE!A:A, "Hispania")-COUNTIFS(SUROESTE!A:A,"Hispania",SUROESTE!C:C,"")</f>
        <v>9</v>
      </c>
      <c r="E78" s="459">
        <v>113.74379999999999</v>
      </c>
      <c r="F78" s="459">
        <v>57.166666666666664</v>
      </c>
    </row>
    <row r="79" spans="1:6" ht="24.95" customHeight="1">
      <c r="A79" s="583"/>
      <c r="B79" s="461" t="s">
        <v>171</v>
      </c>
      <c r="C79" s="58">
        <v>21</v>
      </c>
      <c r="D79" s="336">
        <f>COUNTIF(SUROESTE!A:A, "Jardín")-COUNTIFS(SUROESTE!A:A,"Jardín",SUROESTE!C:C,"")</f>
        <v>23</v>
      </c>
      <c r="E79" s="459">
        <v>1051.1276</v>
      </c>
      <c r="F79" s="459">
        <v>69.055225924235515</v>
      </c>
    </row>
    <row r="80" spans="1:6" ht="24.95" customHeight="1">
      <c r="A80" s="583"/>
      <c r="B80" s="461" t="s">
        <v>172</v>
      </c>
      <c r="C80" s="58">
        <v>31</v>
      </c>
      <c r="D80" s="336">
        <f>COUNTIF(SUROESTE!A:A, "Jericó")-COUNTIFS(SUROESTE!A:A,"Jericó",SUROESTE!C:C,"")</f>
        <v>25</v>
      </c>
      <c r="E80" s="459">
        <v>1000.452</v>
      </c>
      <c r="F80" s="459">
        <v>74</v>
      </c>
    </row>
    <row r="81" spans="1:6" ht="24.95" customHeight="1">
      <c r="A81" s="583"/>
      <c r="B81" s="461" t="s">
        <v>173</v>
      </c>
      <c r="C81" s="58">
        <v>3</v>
      </c>
      <c r="D81" s="336">
        <f>COUNTIF(SUROESTE!A:A, "La Pintada")-COUNTIFS(SUROESTE!A:A,"La Pintada",SUROESTE!C:C,"")</f>
        <v>0</v>
      </c>
      <c r="E81" s="459">
        <v>206.18399999999997</v>
      </c>
      <c r="F81" s="459">
        <v>55.728155339805831</v>
      </c>
    </row>
    <row r="82" spans="1:6" ht="24.95" customHeight="1">
      <c r="A82" s="583"/>
      <c r="B82" s="461" t="s">
        <v>174</v>
      </c>
      <c r="C82" s="58">
        <v>24</v>
      </c>
      <c r="D82" s="336">
        <f>COUNTIF(SUROESTE!A:A, "Montebello")-COUNTIFS(SUROESTE!A:A,"Montebello",SUROESTE!C:C,"")</f>
        <v>19</v>
      </c>
      <c r="E82" s="459">
        <v>585.91920000000005</v>
      </c>
      <c r="F82" s="459">
        <v>53</v>
      </c>
    </row>
    <row r="83" spans="1:6" ht="24.95" customHeight="1">
      <c r="A83" s="583"/>
      <c r="B83" s="461" t="s">
        <v>175</v>
      </c>
      <c r="C83" s="58">
        <v>20</v>
      </c>
      <c r="D83" s="58">
        <f>COUNTIF(SUROESTE!A:A, "Pueblorrico")-COUNTIFS(SUROESTE!A:A,"Pueblorrico",SUROESTE!C:C,"")</f>
        <v>6</v>
      </c>
      <c r="E83" s="459">
        <v>174.79499999999999</v>
      </c>
      <c r="F83" s="459">
        <v>21.942446043165468</v>
      </c>
    </row>
    <row r="84" spans="1:6" ht="24.95" customHeight="1">
      <c r="A84" s="583"/>
      <c r="B84" s="461" t="s">
        <v>176</v>
      </c>
      <c r="C84" s="58">
        <v>32</v>
      </c>
      <c r="D84" s="336">
        <f>COUNTIF(SUROESTE!A:A, "Salgar")-COUNTIFS(SUROESTE!A:A,"Salgar",SUROESTE!C:C,"")</f>
        <v>27</v>
      </c>
      <c r="E84" s="459">
        <v>830.97980000000007</v>
      </c>
      <c r="F84" s="459">
        <v>46.73</v>
      </c>
    </row>
    <row r="85" spans="1:6" ht="24.95" customHeight="1">
      <c r="A85" s="583"/>
      <c r="B85" s="461" t="s">
        <v>177</v>
      </c>
      <c r="C85" s="58">
        <v>42</v>
      </c>
      <c r="D85" s="336">
        <f>COUNTIF(SUROESTE!A:A, "Santa Bárbara")-COUNTIFS(SUROESTE!A:A,"Santa Bárbara",SUROESTE!C:C,"")</f>
        <v>41</v>
      </c>
      <c r="E85" s="459">
        <v>3030.9948000000004</v>
      </c>
      <c r="F85" s="459">
        <v>83</v>
      </c>
    </row>
    <row r="86" spans="1:6" ht="24.95" customHeight="1">
      <c r="A86" s="583"/>
      <c r="B86" s="461" t="s">
        <v>178</v>
      </c>
      <c r="C86" s="58">
        <v>37</v>
      </c>
      <c r="D86" s="336">
        <f>COUNTIF(SUROESTE!A:A, "Támesis")-COUNTIFS(SUROESTE!A:A,"Támesis",SUROESTE!C:C,"")</f>
        <v>33</v>
      </c>
      <c r="E86" s="459">
        <v>1906.5568000000003</v>
      </c>
      <c r="F86" s="459">
        <v>76.25954198473282</v>
      </c>
    </row>
    <row r="87" spans="1:6" ht="24.95" customHeight="1">
      <c r="A87" s="583"/>
      <c r="B87" s="461" t="s">
        <v>179</v>
      </c>
      <c r="C87" s="58">
        <v>16</v>
      </c>
      <c r="D87" s="58">
        <f>COUNTIF(SUROESTE!A:A, "Tarso")-COUNTIFS(SUROESTE!A:A,"Tarso",SUROESTE!C:C,"")</f>
        <v>13</v>
      </c>
      <c r="E87" s="459">
        <v>98.023499999999999</v>
      </c>
      <c r="F87" s="459">
        <v>43.724696356275302</v>
      </c>
    </row>
    <row r="88" spans="1:6" ht="24.95" customHeight="1">
      <c r="A88" s="583"/>
      <c r="B88" s="461" t="s">
        <v>180</v>
      </c>
      <c r="C88" s="58">
        <v>18</v>
      </c>
      <c r="D88" s="336">
        <f>COUNTIF(SUROESTE!A:A, "Titiribí")-COUNTIFS(SUROESTE!A:A,"Titiribí",SUROESTE!C:C,"")</f>
        <v>23</v>
      </c>
      <c r="E88" s="459">
        <v>1260.2616000000003</v>
      </c>
      <c r="F88" s="459">
        <v>81.89</v>
      </c>
    </row>
    <row r="89" spans="1:6" ht="24.95" customHeight="1">
      <c r="A89" s="583"/>
      <c r="B89" s="461" t="s">
        <v>181</v>
      </c>
      <c r="C89" s="58">
        <v>55</v>
      </c>
      <c r="D89" s="58">
        <f>COUNTIF(SUROESTE!A:A, "Urrao")-COUNTIFS(SUROESTE!A:A,"Urrao",SUROESTE!C:C,"")</f>
        <v>31</v>
      </c>
      <c r="E89" s="459">
        <v>1491.8564000000001</v>
      </c>
      <c r="F89" s="459">
        <v>28</v>
      </c>
    </row>
    <row r="90" spans="1:6" ht="24.95" customHeight="1">
      <c r="A90" s="583"/>
      <c r="B90" s="461" t="s">
        <v>182</v>
      </c>
      <c r="C90" s="58">
        <v>22</v>
      </c>
      <c r="D90" s="336">
        <f>COUNTIF(SUROESTE!A:A, "Valparaíso")-COUNTIFS(SUROESTE!A:A,"Valparaíso",SUROESTE!C:C,"")</f>
        <v>16</v>
      </c>
      <c r="E90" s="459">
        <v>578.79700000000003</v>
      </c>
      <c r="F90" s="459">
        <v>70</v>
      </c>
    </row>
    <row r="91" spans="1:6" ht="24.95" customHeight="1">
      <c r="A91" s="583"/>
      <c r="B91" s="461" t="s">
        <v>183</v>
      </c>
      <c r="C91" s="58">
        <v>17</v>
      </c>
      <c r="D91" s="336">
        <f>COUNTIF(SUROESTE!A:A, "Venecia")-COUNTIFS(SUROESTE!A:A,"Venecia",SUROESTE!C:C,"")</f>
        <v>11</v>
      </c>
      <c r="E91" s="459">
        <v>1627.8329999999999</v>
      </c>
      <c r="F91" s="459">
        <v>89.620758483033939</v>
      </c>
    </row>
    <row r="92" spans="1:6" ht="24.95" customHeight="1">
      <c r="A92" s="584"/>
      <c r="B92" s="462" t="s">
        <v>114</v>
      </c>
      <c r="C92" s="45">
        <f>SUM(C69:C91)</f>
        <v>613</v>
      </c>
      <c r="D92" s="45">
        <f>SUM(D69:D91)</f>
        <v>511</v>
      </c>
      <c r="E92" s="585">
        <f>SUM(E69:E91)</f>
        <v>30538.367700000006</v>
      </c>
      <c r="F92" s="586"/>
    </row>
    <row r="93" spans="1:6" ht="24.95" customHeight="1">
      <c r="A93" s="583" t="s">
        <v>184</v>
      </c>
      <c r="B93" s="461" t="s">
        <v>186</v>
      </c>
      <c r="C93" s="58">
        <v>45</v>
      </c>
      <c r="D93" s="336">
        <f>COUNTIF('BAJO CAUCA'!A:A, "Caceres")-COUNTIFS('BAJO CAUCA'!A:A,"Caceres",'BAJO CAUCA'!C:C,"")</f>
        <v>8</v>
      </c>
      <c r="E93" s="456">
        <v>1246.6215</v>
      </c>
      <c r="F93" s="457">
        <v>26.359638972460083</v>
      </c>
    </row>
    <row r="94" spans="1:6" ht="24.95" customHeight="1">
      <c r="A94" s="583"/>
      <c r="B94" s="461" t="s">
        <v>185</v>
      </c>
      <c r="C94" s="58">
        <v>44</v>
      </c>
      <c r="D94" s="336">
        <f>COUNTIF('BAJO CAUCA'!A:A, "Caucasia")-COUNTIFS('BAJO CAUCA'!A:A,"Caucasia",'BAJO CAUCA'!C:C,"")</f>
        <v>20</v>
      </c>
      <c r="E94" s="456">
        <v>967.27119999999991</v>
      </c>
      <c r="F94" s="457">
        <v>23</v>
      </c>
    </row>
    <row r="95" spans="1:6" ht="24.95" customHeight="1">
      <c r="A95" s="583"/>
      <c r="B95" s="461" t="s">
        <v>187</v>
      </c>
      <c r="C95" s="58">
        <v>53</v>
      </c>
      <c r="D95" s="58">
        <f>COUNTIF('BAJO CAUCA'!A:A, "El Bagre")-COUNTIFS('BAJO CAUCA'!A:A,"El Bagre",'BAJO CAUCA'!C:C,"")</f>
        <v>3</v>
      </c>
      <c r="E95" s="456">
        <v>1923.8117000000002</v>
      </c>
      <c r="F95" s="457">
        <v>27.180966113914923</v>
      </c>
    </row>
    <row r="96" spans="1:6" ht="24.95" customHeight="1">
      <c r="A96" s="583"/>
      <c r="B96" s="461" t="s">
        <v>4096</v>
      </c>
      <c r="C96" s="58">
        <v>52</v>
      </c>
      <c r="D96" s="336">
        <f>COUNTIF('BAJO CAUCA'!A:A, "Nechí")-COUNTIFS('BAJO CAUCA'!A:A,"Nechí",'BAJO CAUCA'!C:C,"")</f>
        <v>5</v>
      </c>
      <c r="E96" s="456">
        <v>404.85200000000003</v>
      </c>
      <c r="F96" s="457">
        <v>12</v>
      </c>
    </row>
    <row r="97" spans="1:6" ht="24.95" customHeight="1">
      <c r="A97" s="583"/>
      <c r="B97" s="461" t="s">
        <v>188</v>
      </c>
      <c r="C97" s="58">
        <v>42</v>
      </c>
      <c r="D97" s="336">
        <f>COUNTIF('BAJO CAUCA'!A:A, "Tarazá")-COUNTIFS('BAJO CAUCA'!A:A,"Tarazá",'BAJO CAUCA'!C:C,"")</f>
        <v>9</v>
      </c>
      <c r="E97" s="456">
        <v>1932.0137999999999</v>
      </c>
      <c r="F97" s="457">
        <v>30.79</v>
      </c>
    </row>
    <row r="98" spans="1:6" ht="24.95" customHeight="1">
      <c r="A98" s="583"/>
      <c r="B98" s="461" t="s">
        <v>189</v>
      </c>
      <c r="C98" s="58">
        <v>66</v>
      </c>
      <c r="D98" s="336">
        <f>COUNTIF('BAJO CAUCA'!A:A, "Zaragoza")-COUNTIFS('BAJO CAUCA'!A:A,"Zaragoza",'BAJO CAUCA'!C:C,"")</f>
        <v>16</v>
      </c>
      <c r="E98" s="456">
        <v>551.26260000000002</v>
      </c>
      <c r="F98" s="457">
        <v>20.640644887568943</v>
      </c>
    </row>
    <row r="99" spans="1:6" ht="24.95" customHeight="1">
      <c r="A99" s="584"/>
      <c r="B99" s="462" t="s">
        <v>114</v>
      </c>
      <c r="C99" s="45">
        <f>SUM(C93:C98)</f>
        <v>302</v>
      </c>
      <c r="D99" s="45">
        <f>SUM(D93:D98)</f>
        <v>61</v>
      </c>
      <c r="E99" s="585">
        <f>SUM(E93:E98)</f>
        <v>7025.8328000000001</v>
      </c>
      <c r="F99" s="586"/>
    </row>
    <row r="100" spans="1:6" ht="24.95" customHeight="1">
      <c r="A100" s="583" t="s">
        <v>190</v>
      </c>
      <c r="B100" s="461" t="s">
        <v>191</v>
      </c>
      <c r="C100" s="58">
        <v>15</v>
      </c>
      <c r="D100" s="336">
        <f>COUNTIF('MAGDALENA MEDIO'!A:A, "Caracolí")-COUNTIFS('MAGDALENA MEDIO'!A:A,"Caracolí",'MAGDALENA MEDIO'!C:C,"")</f>
        <v>9</v>
      </c>
      <c r="E100" s="460">
        <v>318.97800000000001</v>
      </c>
      <c r="F100" s="460">
        <v>49.708737864077669</v>
      </c>
    </row>
    <row r="101" spans="1:6" ht="24.95" customHeight="1">
      <c r="A101" s="583"/>
      <c r="B101" s="461" t="s">
        <v>192</v>
      </c>
      <c r="C101" s="58">
        <v>23</v>
      </c>
      <c r="D101" s="58">
        <f>COUNTIF('MAGDALENA MEDIO'!A:A, "Maceo")-COUNTIFS('MAGDALENA MEDIO'!A:A,"Maceo",'MAGDALENA MEDIO'!C:C,"")</f>
        <v>8</v>
      </c>
      <c r="E101" s="460">
        <v>760.53599999999994</v>
      </c>
      <c r="F101" s="460">
        <v>52.849002849002844</v>
      </c>
    </row>
    <row r="102" spans="1:6" ht="24.95" customHeight="1">
      <c r="A102" s="583"/>
      <c r="B102" s="461" t="s">
        <v>4097</v>
      </c>
      <c r="C102" s="58">
        <v>21</v>
      </c>
      <c r="D102" s="336">
        <f>COUNTIF('MAGDALENA MEDIO'!A:A, "Puerto Berrío")-COUNTIFS('MAGDALENA MEDIO'!A:A,"Puerto Berrío",'MAGDALENA MEDIO'!C:C,"")</f>
        <v>15</v>
      </c>
      <c r="E102" s="460">
        <v>1136.4449</v>
      </c>
      <c r="F102" s="460">
        <v>46.51</v>
      </c>
    </row>
    <row r="103" spans="1:6" ht="24.95" customHeight="1">
      <c r="A103" s="583"/>
      <c r="B103" s="461" t="s">
        <v>194</v>
      </c>
      <c r="C103" s="58">
        <v>25</v>
      </c>
      <c r="D103" s="58">
        <f>COUNTIF('MAGDALENA MEDIO'!A:A, "Puerto Nare")-COUNTIFS('MAGDALENA MEDIO'!A:A,"Puerto Nare",'MAGDALENA MEDIO'!C:C,"")</f>
        <v>7</v>
      </c>
      <c r="E103" s="460">
        <v>2481.875</v>
      </c>
      <c r="F103" s="460">
        <v>72.66</v>
      </c>
    </row>
    <row r="104" spans="1:6" ht="24.95" customHeight="1">
      <c r="A104" s="583"/>
      <c r="B104" s="461" t="s">
        <v>56</v>
      </c>
      <c r="C104" s="58">
        <v>12</v>
      </c>
      <c r="D104" s="58">
        <f>COUNTIF('MAGDALENA MEDIO'!A:A, "Puerto Triunfo")-COUNTIFS('MAGDALENA MEDIO'!A:A,"Puerto Triunfo",'MAGDALENA MEDIO'!C:C,"")</f>
        <v>11</v>
      </c>
      <c r="E104" s="460">
        <v>3876.6750000000002</v>
      </c>
      <c r="F104" s="460">
        <v>88.23</v>
      </c>
    </row>
    <row r="105" spans="1:6" ht="24.95" customHeight="1">
      <c r="A105" s="583"/>
      <c r="B105" s="461" t="s">
        <v>4098</v>
      </c>
      <c r="C105" s="58">
        <v>60</v>
      </c>
      <c r="D105" s="336">
        <f>COUNTIF('MAGDALENA MEDIO'!A:A, "Yondó")-COUNTIFS('MAGDALENA MEDIO'!A:A,"Yondó",'MAGDALENA MEDIO'!C:C,"")</f>
        <v>21</v>
      </c>
      <c r="E105" s="460">
        <v>1338.1921000000002</v>
      </c>
      <c r="F105" s="460">
        <v>40</v>
      </c>
    </row>
    <row r="106" spans="1:6" ht="24.95" customHeight="1">
      <c r="A106" s="584"/>
      <c r="B106" s="462" t="s">
        <v>114</v>
      </c>
      <c r="C106" s="45">
        <f>SUM(C100:C105)</f>
        <v>156</v>
      </c>
      <c r="D106" s="45">
        <f>SUM(D100:D105)</f>
        <v>71</v>
      </c>
      <c r="E106" s="585">
        <f>SUM(E100:E105)</f>
        <v>9912.7010000000009</v>
      </c>
      <c r="F106" s="586"/>
    </row>
    <row r="107" spans="1:6" ht="24.95" customHeight="1">
      <c r="A107" s="583" t="s">
        <v>196</v>
      </c>
      <c r="B107" s="461" t="s">
        <v>197</v>
      </c>
      <c r="C107" s="58">
        <v>52</v>
      </c>
      <c r="D107" s="58">
        <f>COUNTIF(NORDESTE!A:A, "Amalfi")-COUNTIFS(NORDESTE!A:A,"Amalfi",NORDESTE!C:C,"")</f>
        <v>6</v>
      </c>
      <c r="E107" s="459">
        <v>168.45399999999998</v>
      </c>
      <c r="F107" s="459">
        <v>12.879377431906613</v>
      </c>
    </row>
    <row r="108" spans="1:6" ht="24.95" customHeight="1">
      <c r="A108" s="583"/>
      <c r="B108" s="461" t="s">
        <v>4099</v>
      </c>
      <c r="C108" s="58">
        <v>52</v>
      </c>
      <c r="D108" s="336">
        <f>COUNTIF(NORDESTE!A:A, "Anorí")-COUNTIFS(NORDESTE!A:A,"Anorí",NORDESTE!C:C,"")</f>
        <v>4</v>
      </c>
      <c r="E108" s="459">
        <v>482.70200000000006</v>
      </c>
      <c r="F108" s="459">
        <v>35</v>
      </c>
    </row>
    <row r="109" spans="1:6" ht="24.95" customHeight="1">
      <c r="A109" s="583"/>
      <c r="B109" s="461" t="s">
        <v>199</v>
      </c>
      <c r="C109" s="58">
        <v>14</v>
      </c>
      <c r="D109" s="58">
        <f>COUNTIF(NORDESTE!A:A, "Cisneros")-COUNTIFS(NORDESTE!A:A,"Cisneros",NORDESTE!C:C,"")</f>
        <v>3</v>
      </c>
      <c r="E109" s="459">
        <v>155.9813</v>
      </c>
      <c r="F109" s="459">
        <v>32</v>
      </c>
    </row>
    <row r="110" spans="1:6" ht="24.95" customHeight="1">
      <c r="A110" s="583"/>
      <c r="B110" s="461" t="s">
        <v>200</v>
      </c>
      <c r="C110" s="58">
        <v>52</v>
      </c>
      <c r="D110" s="58">
        <f>COUNTIF(NORDESTE!A:A, "Remedios")-COUNTIFS(NORDESTE!A:A,"Remedios",NORDESTE!C:C,"")</f>
        <v>7</v>
      </c>
      <c r="E110" s="459">
        <v>2104.6262999999999</v>
      </c>
      <c r="F110" s="459">
        <v>32.56</v>
      </c>
    </row>
    <row r="111" spans="1:6" ht="24.95" customHeight="1">
      <c r="A111" s="583"/>
      <c r="B111" s="461" t="s">
        <v>201</v>
      </c>
      <c r="C111" s="58">
        <v>50</v>
      </c>
      <c r="D111" s="58">
        <f>COUNTIF(NORDESTE!A:A, "San Roque")-COUNTIFS(NORDESTE!A:A,"San Roque",NORDESTE!C:C,"")</f>
        <v>34</v>
      </c>
      <c r="E111" s="459">
        <v>2530.2820000000002</v>
      </c>
      <c r="F111" s="459">
        <v>59.084521180485851</v>
      </c>
    </row>
    <row r="112" spans="1:6" ht="24.95" customHeight="1">
      <c r="A112" s="583"/>
      <c r="B112" s="461" t="s">
        <v>7</v>
      </c>
      <c r="C112" s="58">
        <v>44</v>
      </c>
      <c r="D112" s="58">
        <f>COUNTIF(NORDESTE!A:A, "Santo Domingo")-COUNTIFS(NORDESTE!A:A,"Santo Domingo",NORDESTE!C:C,"")</f>
        <v>17</v>
      </c>
      <c r="E112" s="459">
        <v>1018.8217</v>
      </c>
      <c r="F112" s="459">
        <v>42</v>
      </c>
    </row>
    <row r="113" spans="1:6" ht="24.95" customHeight="1">
      <c r="A113" s="583"/>
      <c r="B113" s="461" t="s">
        <v>202</v>
      </c>
      <c r="C113" s="58">
        <v>22</v>
      </c>
      <c r="D113" s="58">
        <f>COUNTIF(NORDESTE!A:A, "Segovia")-COUNTIFS(NORDESTE!A:A,"Segovia",NORDESTE!C:C,"")</f>
        <v>12</v>
      </c>
      <c r="E113" s="459">
        <v>847.76319999999987</v>
      </c>
      <c r="F113" s="459">
        <v>75.807940904893812</v>
      </c>
    </row>
    <row r="114" spans="1:6" ht="24.95" customHeight="1">
      <c r="A114" s="583"/>
      <c r="B114" s="461" t="s">
        <v>4100</v>
      </c>
      <c r="C114" s="58">
        <v>24</v>
      </c>
      <c r="D114" s="336">
        <f>COUNTIF(NORDESTE!A:A, "Vegachí")-COUNTIFS(NORDESTE!A:A,"Vegachí",NORDESTE!C:C,"")</f>
        <v>4</v>
      </c>
      <c r="E114" s="459">
        <v>487.92449999999997</v>
      </c>
      <c r="F114" s="459">
        <v>46</v>
      </c>
    </row>
    <row r="115" spans="1:6" ht="24.95" customHeight="1">
      <c r="A115" s="583"/>
      <c r="B115" s="461" t="s">
        <v>4101</v>
      </c>
      <c r="C115" s="58">
        <v>27</v>
      </c>
      <c r="D115" s="336">
        <f>COUNTIF(NORDESTE!A:A, "Yalí")-COUNTIFS(NORDESTE!A:A,"Yalí",NORDESTE!C:C,"")</f>
        <v>10</v>
      </c>
      <c r="E115" s="459">
        <v>351.351</v>
      </c>
      <c r="F115" s="459">
        <v>50</v>
      </c>
    </row>
    <row r="116" spans="1:6" ht="24.95" customHeight="1">
      <c r="A116" s="583"/>
      <c r="B116" s="461" t="s">
        <v>4102</v>
      </c>
      <c r="C116" s="58">
        <v>74</v>
      </c>
      <c r="D116" s="336">
        <f>COUNTIF(NORDESTE!A:A, "Yolombó")-COUNTIFS(NORDESTE!A:A,"Yolombó",NORDESTE!C:C,"")</f>
        <v>15</v>
      </c>
      <c r="E116" s="459">
        <v>1235.8788</v>
      </c>
      <c r="F116" s="459">
        <v>35</v>
      </c>
    </row>
    <row r="117" spans="1:6" ht="24.95" customHeight="1">
      <c r="A117" s="584"/>
      <c r="B117" s="462" t="s">
        <v>114</v>
      </c>
      <c r="C117" s="45">
        <f>SUM(C107:C116)</f>
        <v>411</v>
      </c>
      <c r="D117" s="45">
        <f>SUM(D107:D116)</f>
        <v>112</v>
      </c>
      <c r="E117" s="585">
        <f>SUM(E107:E116)</f>
        <v>9383.7847999999994</v>
      </c>
      <c r="F117" s="586"/>
    </row>
    <row r="118" spans="1:6" ht="24.95" customHeight="1">
      <c r="A118" s="583" t="s">
        <v>206</v>
      </c>
      <c r="B118" s="461" t="s">
        <v>207</v>
      </c>
      <c r="C118" s="58">
        <v>64</v>
      </c>
      <c r="D118" s="333">
        <f>COUNTIF(ORIENTE!A:A, "Abejorral")-COUNTIFS(ORIENTE!A:A,"Abejorral",ORIENTE!C:C,"")</f>
        <v>50</v>
      </c>
      <c r="E118" s="459">
        <v>1635.7830000000001</v>
      </c>
      <c r="F118" s="459">
        <v>44.685400122174713</v>
      </c>
    </row>
    <row r="119" spans="1:6" ht="24.95" customHeight="1">
      <c r="A119" s="583"/>
      <c r="B119" s="461" t="s">
        <v>208</v>
      </c>
      <c r="C119" s="58">
        <v>14</v>
      </c>
      <c r="D119" s="58">
        <f>COUNTIF(ORIENTE!A:A, "Alejandría")-COUNTIFS(ORIENTE!A:A,"Alejandría",ORIENTE!C:C,"")</f>
        <v>10</v>
      </c>
      <c r="E119" s="459">
        <v>201.23759999999999</v>
      </c>
      <c r="F119" s="459">
        <v>37.832699619771866</v>
      </c>
    </row>
    <row r="120" spans="1:6" ht="24.95" customHeight="1">
      <c r="A120" s="583"/>
      <c r="B120" s="461" t="s">
        <v>209</v>
      </c>
      <c r="C120" s="58">
        <v>49</v>
      </c>
      <c r="D120" s="58">
        <f>COUNTIF(ORIENTE!A:A, "Argelia")-COUNTIFS(ORIENTE!A:A,"Argelia",ORIENTE!C:C,"")</f>
        <v>19</v>
      </c>
      <c r="E120" s="459">
        <v>480.83729999999997</v>
      </c>
      <c r="F120" s="459">
        <v>47.750591949486974</v>
      </c>
    </row>
    <row r="121" spans="1:6" ht="24.95" customHeight="1">
      <c r="A121" s="583"/>
      <c r="B121" s="461" t="s">
        <v>210</v>
      </c>
      <c r="C121" s="58">
        <v>78</v>
      </c>
      <c r="D121" s="333">
        <f>COUNTIF(ORIENTE!A:A, "Cocorná")-COUNTIFS(ORIENTE!A:A,"Cocorná",ORIENTE!C:C,"")</f>
        <v>23</v>
      </c>
      <c r="E121" s="459">
        <v>1338.3524000000002</v>
      </c>
      <c r="F121" s="459">
        <v>44.81</v>
      </c>
    </row>
    <row r="122" spans="1:6" ht="24.95" customHeight="1">
      <c r="A122" s="583"/>
      <c r="B122" s="461" t="s">
        <v>211</v>
      </c>
      <c r="C122" s="58">
        <v>24</v>
      </c>
      <c r="D122" s="336">
        <f>COUNTIF(ORIENTE!A:A, "Concepción")-COUNTIFS(ORIENTE!A:A,"Concepción",ORIENTE!C:C,"")</f>
        <v>4</v>
      </c>
      <c r="E122" s="459">
        <v>74.602500000000006</v>
      </c>
      <c r="F122" s="459">
        <v>28</v>
      </c>
    </row>
    <row r="123" spans="1:6" ht="24.95" customHeight="1">
      <c r="A123" s="583"/>
      <c r="B123" s="461" t="s">
        <v>212</v>
      </c>
      <c r="C123" s="58">
        <v>55</v>
      </c>
      <c r="D123" s="58">
        <f>COUNTIF(ORIENTE!A:A, "Carmen De Viboral")-COUNTIFS(ORIENTE!A:A,"Carmen De Viboral",ORIENTE!C:C,"")</f>
        <v>36</v>
      </c>
      <c r="E123" s="459">
        <v>6055.4340000000002</v>
      </c>
      <c r="F123" s="459">
        <v>97.24</v>
      </c>
    </row>
    <row r="124" spans="1:6" ht="24.95" customHeight="1">
      <c r="A124" s="583"/>
      <c r="B124" s="461" t="s">
        <v>213</v>
      </c>
      <c r="C124" s="58">
        <v>24</v>
      </c>
      <c r="D124" s="58">
        <f>COUNTIF(ORIENTE!A:A, "El Peñol")-COUNTIFS(ORIENTE!A:A,"El Peñol",ORIENTE!C:C,"")</f>
        <v>28</v>
      </c>
      <c r="E124" s="459">
        <v>2274.2492999999999</v>
      </c>
      <c r="F124" s="459">
        <v>83.26</v>
      </c>
    </row>
    <row r="125" spans="1:6" ht="24.95" customHeight="1">
      <c r="A125" s="583"/>
      <c r="B125" s="461" t="s">
        <v>214</v>
      </c>
      <c r="C125" s="58">
        <v>20</v>
      </c>
      <c r="D125" s="336">
        <f>COUNTIF(ORIENTE!A:A, "El Retiro")-COUNTIFS(ORIENTE!A:A,"El Retiro",ORIENTE!C:C,"")</f>
        <v>22</v>
      </c>
      <c r="E125" s="459">
        <v>2340.38</v>
      </c>
      <c r="F125" s="459">
        <v>86.71</v>
      </c>
    </row>
    <row r="126" spans="1:6" ht="24.95" customHeight="1">
      <c r="A126" s="583"/>
      <c r="B126" s="461" t="s">
        <v>215</v>
      </c>
      <c r="C126" s="58">
        <v>36</v>
      </c>
      <c r="D126" s="336">
        <f>COUNTIF(ORIENTE!A:A, "El Santuario")-COUNTIFS(ORIENTE!A:A,"El Santuario",ORIENTE!C:C,"")</f>
        <v>37</v>
      </c>
      <c r="E126" s="459">
        <v>1946.5081999999998</v>
      </c>
      <c r="F126" s="459">
        <v>79.786096256684488</v>
      </c>
    </row>
    <row r="127" spans="1:6" ht="24.95" customHeight="1">
      <c r="A127" s="583"/>
      <c r="B127" s="461" t="s">
        <v>216</v>
      </c>
      <c r="C127" s="58">
        <v>51</v>
      </c>
      <c r="D127" s="58">
        <f>COUNTIF(ORIENTE!A:A, "Granada")-COUNTIFS(ORIENTE!A:A,"Granada",ORIENTE!C:C,"")</f>
        <v>23</v>
      </c>
      <c r="E127" s="459">
        <v>1081.9088999999999</v>
      </c>
      <c r="F127" s="459">
        <v>66.51069518716578</v>
      </c>
    </row>
    <row r="128" spans="1:6" ht="24.95" customHeight="1">
      <c r="A128" s="583"/>
      <c r="B128" s="461" t="s">
        <v>217</v>
      </c>
      <c r="C128" s="58">
        <v>35</v>
      </c>
      <c r="D128" s="58">
        <f>COUNTIF(ORIENTE!A:A, "Guarne")-COUNTIFS(ORIENTE!A:A,"Guarne",ORIENTE!C:C,"")</f>
        <v>79</v>
      </c>
      <c r="E128" s="459">
        <v>8510.4684000000016</v>
      </c>
      <c r="F128" s="459">
        <v>88</v>
      </c>
    </row>
    <row r="129" spans="1:6" ht="24.95" customHeight="1">
      <c r="A129" s="583"/>
      <c r="B129" s="461" t="s">
        <v>218</v>
      </c>
      <c r="C129" s="58">
        <v>9</v>
      </c>
      <c r="D129" s="58">
        <f>COUNTIF(ORIENTE!A:A, "Guatapé")-COUNTIFS(ORIENTE!A:A,"Guatapé",ORIENTE!C:C,"")</f>
        <v>6</v>
      </c>
      <c r="E129" s="459">
        <v>616.89599999999996</v>
      </c>
      <c r="F129" s="459">
        <v>77.297297297297291</v>
      </c>
    </row>
    <row r="130" spans="1:6" ht="24.95" customHeight="1">
      <c r="A130" s="583"/>
      <c r="B130" s="461" t="s">
        <v>45</v>
      </c>
      <c r="C130" s="58">
        <v>17</v>
      </c>
      <c r="D130" s="58">
        <f>COUNTIF(ORIENTE!A:A, "La Ceja")-COUNTIFS(ORIENTE!A:A,"La Ceja",ORIENTE!C:C,"")</f>
        <v>18</v>
      </c>
      <c r="E130" s="459">
        <v>1693.5539999999999</v>
      </c>
      <c r="F130" s="459">
        <v>51.260762220816929</v>
      </c>
    </row>
    <row r="131" spans="1:6" ht="24.95" customHeight="1">
      <c r="A131" s="583"/>
      <c r="B131" s="461" t="s">
        <v>219</v>
      </c>
      <c r="C131" s="58">
        <v>26</v>
      </c>
      <c r="D131" s="336">
        <f>COUNTIF(ORIENTE!A:A, "La Unión")-COUNTIFS(ORIENTE!A:A,"LLa Unión",ORIENTE!C:C,"")</f>
        <v>18</v>
      </c>
      <c r="E131" s="459">
        <v>1549.8708000000001</v>
      </c>
      <c r="F131" s="459">
        <v>65.314311190370049</v>
      </c>
    </row>
    <row r="132" spans="1:6" ht="24.95" customHeight="1">
      <c r="A132" s="583"/>
      <c r="B132" s="461" t="s">
        <v>220</v>
      </c>
      <c r="C132" s="58">
        <v>30</v>
      </c>
      <c r="D132" s="58">
        <f>COUNTIF(ORIENTE!A:A, "Marinilla")-COUNTIFS(ORIENTE!A:A,"Marinilla",ORIENTE!C:C,"")</f>
        <v>38</v>
      </c>
      <c r="E132" s="459">
        <v>4598.4031999999997</v>
      </c>
      <c r="F132" s="459">
        <v>99.31</v>
      </c>
    </row>
    <row r="133" spans="1:6" ht="24.95" customHeight="1">
      <c r="A133" s="583"/>
      <c r="B133" s="461" t="s">
        <v>221</v>
      </c>
      <c r="C133" s="58">
        <v>49</v>
      </c>
      <c r="D133" s="336">
        <f>COUNTIF(ORIENTE!A:A, "Nariño")-COUNTIFS(ORIENTE!A:A,"Nariño",ORIENTE!C:C,"")</f>
        <v>11</v>
      </c>
      <c r="E133" s="459">
        <v>357.59100000000001</v>
      </c>
      <c r="F133" s="459">
        <v>25</v>
      </c>
    </row>
    <row r="134" spans="1:6" ht="24.95" customHeight="1">
      <c r="A134" s="583"/>
      <c r="B134" s="461" t="s">
        <v>82</v>
      </c>
      <c r="C134" s="58">
        <v>35</v>
      </c>
      <c r="D134" s="58">
        <f>COUNTIF(ORIENTE!A:A, "Rionegro")-COUNTIFS(ORIENTE!A:A,"Rionegro",ORIENTE!C:C,"")</f>
        <v>24</v>
      </c>
      <c r="E134" s="459">
        <v>13716.0427</v>
      </c>
      <c r="F134" s="459">
        <v>96.95949291868871</v>
      </c>
    </row>
    <row r="135" spans="1:6" ht="24.95" customHeight="1">
      <c r="A135" s="583"/>
      <c r="B135" s="461" t="s">
        <v>54</v>
      </c>
      <c r="C135" s="58">
        <v>78</v>
      </c>
      <c r="D135" s="58">
        <f>COUNTIF(ORIENTE!A:A, "San Carlos")-COUNTIFS(ORIENTE!A:A,"San Carlos",ORIENTE!C:C,"")</f>
        <v>15</v>
      </c>
      <c r="E135" s="459">
        <v>2350.0317</v>
      </c>
      <c r="F135" s="459">
        <v>55.465258025193009</v>
      </c>
    </row>
    <row r="136" spans="1:6" ht="24.95" customHeight="1">
      <c r="A136" s="583"/>
      <c r="B136" s="461" t="s">
        <v>222</v>
      </c>
      <c r="C136" s="58">
        <v>42</v>
      </c>
      <c r="D136" s="336">
        <f>COUNTIF(ORIENTE!A:A, "San Francisco")-COUNTIFS(ORIENTE!A:A,"San Francisco",ORIENTE!C:C,"")</f>
        <v>7</v>
      </c>
      <c r="E136" s="459">
        <v>389.62559999999996</v>
      </c>
      <c r="F136" s="459">
        <v>50</v>
      </c>
    </row>
    <row r="137" spans="1:6" ht="24.95" customHeight="1">
      <c r="A137" s="583"/>
      <c r="B137" s="461" t="s">
        <v>75</v>
      </c>
      <c r="C137" s="58">
        <v>48</v>
      </c>
      <c r="D137" s="336">
        <f>COUNTIF(ORIENTE!A:A, "San Luis")-COUNTIFS(ORIENTE!A:A,"San Luis",ORIENTE!C:C,"")</f>
        <v>9</v>
      </c>
      <c r="E137" s="459">
        <v>212.97979999999998</v>
      </c>
      <c r="F137" s="459">
        <v>51</v>
      </c>
    </row>
    <row r="138" spans="1:6" ht="24.95" customHeight="1">
      <c r="A138" s="583"/>
      <c r="B138" s="461" t="s">
        <v>97</v>
      </c>
      <c r="C138" s="58">
        <v>56</v>
      </c>
      <c r="D138" s="336">
        <f>COUNTIF(ORIENTE!A:A, "San Rafael")-COUNTIFS(ORIENTE!A:A,"San Rafael",ORIENTE!C:C,"")</f>
        <v>17</v>
      </c>
      <c r="E138" s="459">
        <v>492.80940000000004</v>
      </c>
      <c r="F138" s="459">
        <v>40</v>
      </c>
    </row>
    <row r="139" spans="1:6" ht="24.95" customHeight="1">
      <c r="A139" s="583"/>
      <c r="B139" s="461" t="s">
        <v>223</v>
      </c>
      <c r="C139" s="58">
        <v>39</v>
      </c>
      <c r="D139" s="58">
        <f>COUNTIF(ORIENTE!A:A, "San Vicente")-COUNTIFS(ORIENTE!A:A,"San Vicente",ORIENTE!C:C,"")</f>
        <v>46</v>
      </c>
      <c r="E139" s="459">
        <v>3680.44</v>
      </c>
      <c r="F139" s="459">
        <v>84.537634408602145</v>
      </c>
    </row>
    <row r="140" spans="1:6" ht="24.95" customHeight="1">
      <c r="A140" s="583"/>
      <c r="B140" s="461" t="s">
        <v>224</v>
      </c>
      <c r="C140" s="58">
        <v>101</v>
      </c>
      <c r="D140" s="336">
        <f>COUNTIF(ORIENTE!A:A, "Sonsón")-COUNTIFS(ORIENTE!A:A,"Sonsón",ORIENTE!C:C,"")</f>
        <v>17</v>
      </c>
      <c r="E140" s="459">
        <v>1894.4019999999998</v>
      </c>
      <c r="F140" s="459">
        <v>30.65</v>
      </c>
    </row>
    <row r="141" spans="1:6" ht="24.95" customHeight="1">
      <c r="A141" s="584"/>
      <c r="B141" s="462" t="s">
        <v>114</v>
      </c>
      <c r="C141" s="45">
        <f>SUM(C118:C140)</f>
        <v>980</v>
      </c>
      <c r="D141" s="45">
        <f>SUM(D118:D140)</f>
        <v>557</v>
      </c>
      <c r="E141" s="585">
        <f>SUM(E118:E140)</f>
        <v>57492.407800000001</v>
      </c>
      <c r="F141" s="586"/>
    </row>
    <row r="142" spans="1:6" ht="69" customHeight="1">
      <c r="A142" s="583" t="s">
        <v>225</v>
      </c>
      <c r="B142" s="583"/>
      <c r="C142" s="45">
        <f>SUM(C18,C30,C48,C68,C92,C99,C106,C117,C141)</f>
        <v>4572</v>
      </c>
      <c r="D142" s="45">
        <f>SUM(D18,D30,D48,D68,D92,D99,D106,D117,D141)</f>
        <v>2415</v>
      </c>
      <c r="E142" s="585">
        <f>SUM(E141,E117,E106,E99,E92,E68,E48,E30,E18)</f>
        <v>301948.50670000003</v>
      </c>
      <c r="F142" s="586"/>
    </row>
  </sheetData>
  <customSheetViews>
    <customSheetView guid="{45C8AF51-29EC-46A5-AB7F-1F0634E55D82}" scale="55" topLeftCell="A4">
      <pane xSplit="1" ySplit="2" topLeftCell="B127" activePane="bottomRight" state="frozen"/>
      <selection pane="bottomRight" activeCell="D140" sqref="D140"/>
      <pageMargins left="0.7" right="0.7" top="0.75" bottom="0.75" header="0.3" footer="0.3"/>
      <pageSetup orientation="portrait" horizontalDpi="4294967295" verticalDpi="4294967295" r:id="rId1"/>
    </customSheetView>
    <customSheetView guid="{FCC3B493-4306-43B2-9C73-76324485DD47}" scale="60" topLeftCell="A115">
      <selection activeCell="G133" sqref="G133"/>
      <pageMargins left="0.7" right="0.7" top="0.75" bottom="0.75" header="0.3" footer="0.3"/>
      <pageSetup orientation="portrait" horizontalDpi="4294967295" verticalDpi="4294967295" r:id="rId2"/>
    </customSheetView>
    <customSheetView guid="{AEDE1BDB-8710-4CDA-8488-31F49D423ACE}" scale="60" topLeftCell="A43">
      <selection activeCell="L75" sqref="L75"/>
      <pageMargins left="0.7" right="0.7" top="0.75" bottom="0.75" header="0.3" footer="0.3"/>
      <pageSetup orientation="portrait" horizontalDpi="4294967295" verticalDpi="4294967295" r:id="rId3"/>
    </customSheetView>
    <customSheetView guid="{75DD7674-E7DE-4BB1-A36D-76AA33452CB3}" scale="60" topLeftCell="A23">
      <selection activeCell="I113" sqref="I113"/>
      <pageMargins left="0.7" right="0.7" top="0.75" bottom="0.75" header="0.3" footer="0.3"/>
      <pageSetup orientation="portrait" horizontalDpi="4294967295" verticalDpi="4294967295" r:id="rId4"/>
    </customSheetView>
  </customSheetViews>
  <mergeCells count="21">
    <mergeCell ref="A93:A99"/>
    <mergeCell ref="E99:F99"/>
    <mergeCell ref="A142:B142"/>
    <mergeCell ref="E142:F142"/>
    <mergeCell ref="A100:A106"/>
    <mergeCell ref="E106:F106"/>
    <mergeCell ref="A107:A117"/>
    <mergeCell ref="E117:F117"/>
    <mergeCell ref="A118:A141"/>
    <mergeCell ref="E141:F141"/>
    <mergeCell ref="A31:A48"/>
    <mergeCell ref="E48:F48"/>
    <mergeCell ref="A49:A68"/>
    <mergeCell ref="E68:F68"/>
    <mergeCell ref="A69:A92"/>
    <mergeCell ref="E92:F92"/>
    <mergeCell ref="B4:D4"/>
    <mergeCell ref="A8:A18"/>
    <mergeCell ref="E18:F18"/>
    <mergeCell ref="A19:A30"/>
    <mergeCell ref="E30:F30"/>
  </mergeCells>
  <pageMargins left="0.7" right="0.7" top="0.75" bottom="0.75" header="0.3" footer="0.3"/>
  <pageSetup orientation="portrait" horizontalDpi="4294967295" verticalDpi="4294967295" r:id="rId5"/>
  <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P208"/>
  <sheetViews>
    <sheetView tabSelected="1" zoomScale="60" zoomScaleNormal="60" workbookViewId="0">
      <selection activeCell="B9" sqref="B9:B16"/>
    </sheetView>
  </sheetViews>
  <sheetFormatPr baseColWidth="10" defaultRowHeight="12.75"/>
  <cols>
    <col min="1" max="1" width="29.42578125" bestFit="1" customWidth="1"/>
    <col min="2" max="2" width="14.28515625" style="23" customWidth="1"/>
    <col min="3" max="3" width="11.7109375" customWidth="1"/>
    <col min="4" max="4" width="11.7109375" style="23" customWidth="1"/>
    <col min="5" max="5" width="11.7109375" customWidth="1"/>
    <col min="6" max="6" width="11.7109375" style="23" customWidth="1"/>
    <col min="7" max="7" width="11.7109375" customWidth="1"/>
    <col min="8" max="8" width="11.7109375" style="23" customWidth="1"/>
    <col min="9" max="9" width="11.7109375" customWidth="1"/>
    <col min="10" max="10" width="11.7109375" style="23" customWidth="1"/>
    <col min="11" max="11" width="11.7109375" customWidth="1"/>
    <col min="12" max="12" width="11.7109375" style="23" customWidth="1"/>
    <col min="13" max="13" width="11.7109375" customWidth="1"/>
    <col min="14" max="14" width="11.7109375" style="23" customWidth="1"/>
    <col min="15" max="15" width="11.7109375" customWidth="1"/>
  </cols>
  <sheetData>
    <row r="1" spans="1:15" ht="18">
      <c r="A1" s="4"/>
      <c r="C1" s="588" t="s">
        <v>258</v>
      </c>
      <c r="D1" s="588"/>
      <c r="E1" s="588"/>
      <c r="F1" s="588"/>
      <c r="G1" s="588"/>
      <c r="H1" s="588"/>
      <c r="I1" s="588"/>
      <c r="J1" s="588"/>
      <c r="K1" s="588"/>
      <c r="L1" s="588"/>
      <c r="M1" s="588"/>
      <c r="N1" s="588"/>
      <c r="O1" s="588"/>
    </row>
    <row r="2" spans="1:15" ht="18">
      <c r="A2" s="4"/>
      <c r="C2" s="552" t="s">
        <v>270</v>
      </c>
      <c r="D2" s="552"/>
      <c r="E2" s="552"/>
      <c r="F2" s="552"/>
      <c r="G2" s="552"/>
      <c r="H2" s="552"/>
      <c r="I2" s="552"/>
      <c r="J2" s="552"/>
      <c r="K2" s="552"/>
      <c r="L2" s="552"/>
      <c r="M2" s="552"/>
      <c r="N2" s="552"/>
      <c r="O2" s="552"/>
    </row>
    <row r="3" spans="1:15" ht="20.25" customHeight="1">
      <c r="A3" s="4"/>
      <c r="C3" s="552" t="s">
        <v>4368</v>
      </c>
      <c r="D3" s="552"/>
      <c r="E3" s="552"/>
      <c r="F3" s="552"/>
      <c r="G3" s="552"/>
      <c r="H3" s="552"/>
      <c r="I3" s="552"/>
      <c r="J3" s="552"/>
      <c r="K3" s="552"/>
      <c r="L3" s="552"/>
      <c r="M3" s="552"/>
      <c r="N3" s="552"/>
      <c r="O3" s="552"/>
    </row>
    <row r="4" spans="1:15" ht="24.75" customHeight="1">
      <c r="A4" s="68"/>
      <c r="B4" s="69"/>
      <c r="C4" s="551" t="s">
        <v>4557</v>
      </c>
      <c r="D4" s="551"/>
      <c r="E4" s="551"/>
      <c r="F4" s="551"/>
      <c r="G4" s="551"/>
      <c r="H4" s="551"/>
      <c r="I4" s="551"/>
      <c r="J4" s="551"/>
      <c r="K4" s="551"/>
      <c r="L4" s="551"/>
      <c r="M4" s="551"/>
      <c r="N4" s="551"/>
      <c r="O4" s="551"/>
    </row>
    <row r="5" spans="1:15" ht="9.75" customHeight="1">
      <c r="A5" s="68"/>
      <c r="B5" s="69"/>
      <c r="C5" s="69"/>
      <c r="D5" s="69"/>
      <c r="E5" s="69"/>
      <c r="F5" s="69"/>
      <c r="G5" s="69"/>
      <c r="H5" s="69"/>
      <c r="I5" s="69"/>
      <c r="J5" s="69"/>
      <c r="K5" s="69"/>
      <c r="L5" s="69"/>
      <c r="M5" s="69"/>
      <c r="N5" s="69"/>
      <c r="O5" s="69"/>
    </row>
    <row r="6" spans="1:15" ht="27" customHeight="1">
      <c r="A6" s="587" t="s">
        <v>4558</v>
      </c>
      <c r="B6" s="587"/>
      <c r="C6" s="587"/>
      <c r="D6" s="587"/>
      <c r="E6" s="587"/>
      <c r="F6" s="587"/>
      <c r="G6" s="587"/>
      <c r="H6" s="587"/>
      <c r="I6" s="587"/>
      <c r="J6" s="587"/>
      <c r="K6" s="587"/>
      <c r="L6" s="587"/>
      <c r="M6" s="587"/>
      <c r="N6" s="587"/>
      <c r="O6" s="587"/>
    </row>
    <row r="7" spans="1:15" ht="114.75" customHeight="1">
      <c r="A7" s="389" t="s">
        <v>257</v>
      </c>
      <c r="B7" s="71" t="s">
        <v>256</v>
      </c>
      <c r="C7" s="389" t="s">
        <v>105</v>
      </c>
      <c r="D7" s="392" t="s">
        <v>250</v>
      </c>
      <c r="E7" s="389" t="s">
        <v>105</v>
      </c>
      <c r="F7" s="393" t="s">
        <v>251</v>
      </c>
      <c r="G7" s="389" t="s">
        <v>105</v>
      </c>
      <c r="H7" s="394" t="s">
        <v>252</v>
      </c>
      <c r="I7" s="389" t="s">
        <v>105</v>
      </c>
      <c r="J7" s="395" t="s">
        <v>253</v>
      </c>
      <c r="K7" s="389" t="s">
        <v>105</v>
      </c>
      <c r="L7" s="396" t="s">
        <v>254</v>
      </c>
      <c r="M7" s="389" t="s">
        <v>105</v>
      </c>
      <c r="N7" s="71" t="s">
        <v>255</v>
      </c>
      <c r="O7" s="389" t="s">
        <v>105</v>
      </c>
    </row>
    <row r="8" spans="1:15" ht="15.75" customHeight="1">
      <c r="A8" s="78" t="s">
        <v>249</v>
      </c>
      <c r="B8" s="45">
        <f>'CONSOLIDADO-ACUEDUCTOSRURALES1'!D18</f>
        <v>201</v>
      </c>
      <c r="C8" s="57">
        <f t="shared" ref="C8:C16" si="0">(B8/$B$17)*100</f>
        <v>8.3229813664596275</v>
      </c>
      <c r="D8" s="45">
        <f>COUNTIF('VALLE DE ABURRA'!S:S,"SIN RIESGO")</f>
        <v>70</v>
      </c>
      <c r="E8" s="57">
        <f>(D8/$B$8)*100</f>
        <v>34.82587064676617</v>
      </c>
      <c r="F8" s="45">
        <f>COUNTIF('VALLE DE ABURRA'!S:S,"BAJO")</f>
        <v>21</v>
      </c>
      <c r="G8" s="57">
        <f>(F8/$B$8)*100</f>
        <v>10.44776119402985</v>
      </c>
      <c r="H8" s="45">
        <f>COUNTIF('VALLE DE ABURRA'!S:S,"MEDIO")</f>
        <v>34</v>
      </c>
      <c r="I8" s="57">
        <f>(H8/$B$8)*100</f>
        <v>16.915422885572141</v>
      </c>
      <c r="J8" s="45">
        <f>COUNTIF('VALLE DE ABURRA'!S:S,"ALTO")</f>
        <v>33</v>
      </c>
      <c r="K8" s="57">
        <f>(J8/$B$8)*100</f>
        <v>16.417910447761194</v>
      </c>
      <c r="L8" s="45">
        <f>COUNTIF('VALLE DE ABURRA'!S:S,"INVIABLE SANITARIAMENTE")</f>
        <v>30</v>
      </c>
      <c r="M8" s="57">
        <f>(L8/$B$8)*100</f>
        <v>14.925373134328357</v>
      </c>
      <c r="N8" s="45">
        <f>B8-(D8+F8+H8+J8+L8)</f>
        <v>13</v>
      </c>
      <c r="O8" s="57">
        <f>(N8/$B$8)*100</f>
        <v>6.467661691542288</v>
      </c>
    </row>
    <row r="9" spans="1:15" ht="15.75">
      <c r="A9" s="46" t="s">
        <v>226</v>
      </c>
      <c r="B9" s="45">
        <f>'CONSOLIDADO-ACUEDUCTOSRURALES1'!D30</f>
        <v>125</v>
      </c>
      <c r="C9" s="57">
        <f t="shared" si="0"/>
        <v>5.1759834368530022</v>
      </c>
      <c r="D9" s="45">
        <f>COUNTIF(URABA!S:S,"SIN RIESGO")</f>
        <v>12</v>
      </c>
      <c r="E9" s="57">
        <f>(D9/$B$9)*100</f>
        <v>9.6</v>
      </c>
      <c r="F9" s="45">
        <f>COUNTIF(URABA!S:S,"BAJO")</f>
        <v>2</v>
      </c>
      <c r="G9" s="57">
        <f>(F9/$B$9)*100</f>
        <v>1.6</v>
      </c>
      <c r="H9" s="45">
        <f>COUNTIF(URABA!S:S,"MEDIO")</f>
        <v>5</v>
      </c>
      <c r="I9" s="57">
        <f>(H9/$B$9)*100</f>
        <v>4</v>
      </c>
      <c r="J9" s="45">
        <f>COUNTIF(URABA!S:S,"ALTO")</f>
        <v>20</v>
      </c>
      <c r="K9" s="57">
        <f>(J9/$B$9)*100</f>
        <v>16</v>
      </c>
      <c r="L9" s="45">
        <f>COUNTIF(URABA!S:S,"INVIABLE SANITARIAMENTE")</f>
        <v>56</v>
      </c>
      <c r="M9" s="57">
        <f>(L9/$B$9)*100</f>
        <v>44.800000000000004</v>
      </c>
      <c r="N9" s="324">
        <f>B9-(D9+F9+H9+J9+L9)</f>
        <v>30</v>
      </c>
      <c r="O9" s="57">
        <f>(N9/$B$9)*100</f>
        <v>24</v>
      </c>
    </row>
    <row r="10" spans="1:15" s="33" customFormat="1" ht="15.75">
      <c r="A10" s="46" t="s">
        <v>227</v>
      </c>
      <c r="B10" s="364">
        <f>'CONSOLIDADO-ACUEDUCTOSRURALES1'!D48</f>
        <v>259</v>
      </c>
      <c r="C10" s="57">
        <f t="shared" si="0"/>
        <v>10.72463768115942</v>
      </c>
      <c r="D10" s="364">
        <f>+COUNTIFS(NORTE!S10:S268,"Sin Riesgo")</f>
        <v>30</v>
      </c>
      <c r="E10" s="57">
        <f>(D10/$B$10)*100</f>
        <v>11.583011583011583</v>
      </c>
      <c r="F10" s="364">
        <f>+COUNTIFS(NORTE!S10:S268,"Bajo")</f>
        <v>6</v>
      </c>
      <c r="G10" s="57">
        <f>(F10/$B$10)*100</f>
        <v>2.3166023166023164</v>
      </c>
      <c r="H10" s="364">
        <f>+COUNTIFS(NORTE!S10:S268,"Medio")</f>
        <v>8</v>
      </c>
      <c r="I10" s="57">
        <f>(H10/$B$10)*100</f>
        <v>3.0888030888030888</v>
      </c>
      <c r="J10" s="364">
        <f>+COUNTIFS(NORTE!S10:S268,"Alto")</f>
        <v>49</v>
      </c>
      <c r="K10" s="57">
        <f>(J10/$B$10)*100</f>
        <v>18.918918918918919</v>
      </c>
      <c r="L10" s="364">
        <f>+COUNTIFS(NORTE!S10:S268,"Inviable Sanitariamente")</f>
        <v>84</v>
      </c>
      <c r="M10" s="57">
        <f>(L10/$B$10)*100</f>
        <v>32.432432432432435</v>
      </c>
      <c r="N10" s="364">
        <f>B10-(D10+F10+H10+J10+L10)</f>
        <v>82</v>
      </c>
      <c r="O10" s="57">
        <f>(N10/$B$10)*100</f>
        <v>31.660231660231659</v>
      </c>
    </row>
    <row r="11" spans="1:15" s="28" customFormat="1" ht="15.75">
      <c r="A11" s="367" t="s">
        <v>228</v>
      </c>
      <c r="B11" s="368">
        <f>'CONSOLIDADO-ACUEDUCTOSRURALES1'!D68</f>
        <v>518</v>
      </c>
      <c r="C11" s="369">
        <f t="shared" si="0"/>
        <v>21.44927536231884</v>
      </c>
      <c r="D11" s="368">
        <f>+COUNTIFS(OCCIDENTE!S10:S527,"SIN RIESGO")</f>
        <v>25</v>
      </c>
      <c r="E11" s="369">
        <f>(D11/$B$11)*100</f>
        <v>4.8262548262548259</v>
      </c>
      <c r="F11" s="368">
        <f>+COUNTIFS(OCCIDENTE!S10:S527,"Bajo")</f>
        <v>2</v>
      </c>
      <c r="G11" s="369">
        <f>(F11/$B$11)*100</f>
        <v>0.38610038610038611</v>
      </c>
      <c r="H11" s="368">
        <f>+COUNTIFS(OCCIDENTE!S10:S527,"Medio")</f>
        <v>5</v>
      </c>
      <c r="I11" s="369">
        <f>(H11/$B$11)*100</f>
        <v>0.96525096525096521</v>
      </c>
      <c r="J11" s="368">
        <f>+COUNTIFS(OCCIDENTE!S10:S527,"Alto")</f>
        <v>66</v>
      </c>
      <c r="K11" s="369">
        <f>(J11/$B$11)*100</f>
        <v>12.741312741312742</v>
      </c>
      <c r="L11" s="368">
        <f>+COUNTIFS(OCCIDENTE!S10:S527,"Inviable Sanitariamente")</f>
        <v>281</v>
      </c>
      <c r="M11" s="369">
        <f>(L11/$B$11)*100</f>
        <v>54.247104247104247</v>
      </c>
      <c r="N11" s="368">
        <f t="shared" ref="N11:N16" si="1">B11-(D11+F11+H11+J11+L11)</f>
        <v>139</v>
      </c>
      <c r="O11" s="369">
        <f>(N11/$B$11)*100</f>
        <v>26.833976833976834</v>
      </c>
    </row>
    <row r="12" spans="1:15" s="28" customFormat="1" ht="15.75">
      <c r="A12" s="367" t="s">
        <v>229</v>
      </c>
      <c r="B12" s="368">
        <f>'CONSOLIDADO-ACUEDUCTOSRURALES1'!D92</f>
        <v>511</v>
      </c>
      <c r="C12" s="369">
        <f t="shared" si="0"/>
        <v>21.159420289855071</v>
      </c>
      <c r="D12" s="368">
        <f>COUNTIF(SUROESTE!S:S,"SIN RIESGO")</f>
        <v>72</v>
      </c>
      <c r="E12" s="369">
        <f>(D12/$B$12)*100</f>
        <v>14.090019569471623</v>
      </c>
      <c r="F12" s="368">
        <f>COUNTIF(SUROESTE!S:S,"BAJO")</f>
        <v>10</v>
      </c>
      <c r="G12" s="369">
        <f>(F12/$B$12)*100</f>
        <v>1.9569471624266144</v>
      </c>
      <c r="H12" s="368">
        <f>COUNTIF(SUROESTE!S:S,"MEDIO")</f>
        <v>31</v>
      </c>
      <c r="I12" s="369">
        <f>(H12/$B$12)*100</f>
        <v>6.0665362035225048</v>
      </c>
      <c r="J12" s="368">
        <f>COUNTIF(SUROESTE!S:S,"ALTO")</f>
        <v>129</v>
      </c>
      <c r="K12" s="369">
        <f>(J12/$B$12)*100</f>
        <v>25.244618395303327</v>
      </c>
      <c r="L12" s="368">
        <f>COUNTIF(SUROESTE!S:S,"INVIABLE SANITARIAMENTE")</f>
        <v>207</v>
      </c>
      <c r="M12" s="369">
        <f>(L12/$B$12)*100</f>
        <v>40.50880626223092</v>
      </c>
      <c r="N12" s="368">
        <f t="shared" si="1"/>
        <v>62</v>
      </c>
      <c r="O12" s="369">
        <f>(N12/$B$12)*100</f>
        <v>12.13307240704501</v>
      </c>
    </row>
    <row r="13" spans="1:15" s="28" customFormat="1" ht="15.75">
      <c r="A13" s="367" t="s">
        <v>230</v>
      </c>
      <c r="B13" s="368">
        <f>'CONSOLIDADO-ACUEDUCTOSRURALES1'!D99</f>
        <v>61</v>
      </c>
      <c r="C13" s="369">
        <f t="shared" si="0"/>
        <v>2.5258799171842652</v>
      </c>
      <c r="D13" s="368">
        <f>COUNTIF('BAJO CAUCA'!S:S,"SIN RIESGO")</f>
        <v>0</v>
      </c>
      <c r="E13" s="369">
        <f>(D13/$B$8)*100</f>
        <v>0</v>
      </c>
      <c r="F13" s="368">
        <f>COUNTIF('BAJO CAUCA'!S:S,"BAJO")</f>
        <v>1</v>
      </c>
      <c r="G13" s="369">
        <f>(F13/$B$8)*100</f>
        <v>0.49751243781094528</v>
      </c>
      <c r="H13" s="368">
        <f>COUNTIF('BAJO CAUCA'!S:S,"MEDIO")</f>
        <v>2</v>
      </c>
      <c r="I13" s="369">
        <f>(H13/$B$8)*100</f>
        <v>0.99502487562189057</v>
      </c>
      <c r="J13" s="368">
        <f>COUNTIF('BAJO CAUCA'!S:S,"ALTO")</f>
        <v>3</v>
      </c>
      <c r="K13" s="369">
        <f>(J13/$B$8)*100</f>
        <v>1.4925373134328357</v>
      </c>
      <c r="L13" s="368">
        <f>+COUNTIFS('BAJO CAUCA'!S11:S70,"Inviable sanitariamente")</f>
        <v>34</v>
      </c>
      <c r="M13" s="369">
        <f>(L13/$B$8)*100</f>
        <v>16.915422885572141</v>
      </c>
      <c r="N13" s="368">
        <f t="shared" si="1"/>
        <v>21</v>
      </c>
      <c r="O13" s="369">
        <f>(N13/$B$8)*100</f>
        <v>10.44776119402985</v>
      </c>
    </row>
    <row r="14" spans="1:15" s="28" customFormat="1" ht="15.75">
      <c r="A14" s="367" t="s">
        <v>231</v>
      </c>
      <c r="B14" s="368">
        <f>'CONSOLIDADO-ACUEDUCTOSRURALES1'!D106</f>
        <v>71</v>
      </c>
      <c r="C14" s="369">
        <f t="shared" si="0"/>
        <v>2.9399585921325055</v>
      </c>
      <c r="D14" s="368">
        <f>COUNTIF('MAGDALENA MEDIO'!S:S,"SIN RIESGO")</f>
        <v>8</v>
      </c>
      <c r="E14" s="369">
        <f>(D14/$B$14)*100</f>
        <v>11.267605633802818</v>
      </c>
      <c r="F14" s="368">
        <f>COUNTIF('MAGDALENA MEDIO'!S:S,"BAJO")</f>
        <v>1</v>
      </c>
      <c r="G14" s="369">
        <f>(F14/$B$14)*100</f>
        <v>1.4084507042253522</v>
      </c>
      <c r="H14" s="368">
        <f>COUNTIF('MAGDALENA MEDIO'!S:S,"MEDIO")</f>
        <v>1</v>
      </c>
      <c r="I14" s="369">
        <f>(H14/$B$14)*100</f>
        <v>1.4084507042253522</v>
      </c>
      <c r="J14" s="368">
        <f>COUNTIF('MAGDALENA MEDIO'!S:S,"ALTO")</f>
        <v>26</v>
      </c>
      <c r="K14" s="369">
        <f>(J14/$B$14)*100</f>
        <v>36.619718309859159</v>
      </c>
      <c r="L14" s="368">
        <f>COUNTIF('MAGDALENA MEDIO'!S:S,"INVIABLE SANITARIAMENTE")</f>
        <v>13</v>
      </c>
      <c r="M14" s="369">
        <f>(L14/$B$14)*100</f>
        <v>18.30985915492958</v>
      </c>
      <c r="N14" s="368">
        <f t="shared" si="1"/>
        <v>22</v>
      </c>
      <c r="O14" s="369">
        <f>(N14/$B$14)*100</f>
        <v>30.985915492957744</v>
      </c>
    </row>
    <row r="15" spans="1:15" s="28" customFormat="1" ht="15.75">
      <c r="A15" s="367" t="s">
        <v>232</v>
      </c>
      <c r="B15" s="368">
        <f>'CONSOLIDADO-ACUEDUCTOSRURALES1'!D117</f>
        <v>112</v>
      </c>
      <c r="C15" s="369">
        <f t="shared" si="0"/>
        <v>4.63768115942029</v>
      </c>
      <c r="D15" s="368">
        <f>COUNTIF(NORDESTE!S:S,"SIN RIESGO")</f>
        <v>7</v>
      </c>
      <c r="E15" s="369">
        <f>(D15/$B$15)*100</f>
        <v>6.25</v>
      </c>
      <c r="F15" s="368">
        <f>COUNTIF(NORDESTE!S:S,"BAJO")</f>
        <v>4</v>
      </c>
      <c r="G15" s="369">
        <f>(F15/$B$15)*100</f>
        <v>3.5714285714285712</v>
      </c>
      <c r="H15" s="368">
        <f>COUNTIF(NORDESTE!S:S,"MEDIO")</f>
        <v>3</v>
      </c>
      <c r="I15" s="369">
        <f>(H15/$B$15)*100</f>
        <v>2.6785714285714284</v>
      </c>
      <c r="J15" s="368">
        <f>COUNTIF(NORDESTE!S:S,"ALTO")</f>
        <v>15</v>
      </c>
      <c r="K15" s="369">
        <f>(J15/$B$15)*100</f>
        <v>13.392857142857142</v>
      </c>
      <c r="L15" s="368">
        <f>COUNTIF(NORDESTE!S:S,"INVIABLE SANITARIAMENTE")</f>
        <v>73</v>
      </c>
      <c r="M15" s="369">
        <f>(L15/$B$15)*100</f>
        <v>65.178571428571431</v>
      </c>
      <c r="N15" s="368">
        <f t="shared" si="1"/>
        <v>10</v>
      </c>
      <c r="O15" s="369">
        <f>(N15/$B$15)*100</f>
        <v>8.9285714285714288</v>
      </c>
    </row>
    <row r="16" spans="1:15" s="28" customFormat="1" ht="15.75">
      <c r="A16" s="367" t="s">
        <v>233</v>
      </c>
      <c r="B16" s="368">
        <f>'CONSOLIDADO-ACUEDUCTOSRURALES1'!D141</f>
        <v>557</v>
      </c>
      <c r="C16" s="369">
        <f t="shared" si="0"/>
        <v>23.064182194616979</v>
      </c>
      <c r="D16" s="368">
        <f>COUNTIF(ORIENTE!S:S,"SIN RIESGO")</f>
        <v>194</v>
      </c>
      <c r="E16" s="369">
        <f>(D16/$B$16)*100</f>
        <v>34.829443447037697</v>
      </c>
      <c r="F16" s="368">
        <f>COUNTIF(ORIENTE!S:S,"BAJO")</f>
        <v>38</v>
      </c>
      <c r="G16" s="369">
        <f>(F16/$B$16)*100</f>
        <v>6.8222621184919214</v>
      </c>
      <c r="H16" s="368">
        <f>COUNTIF(ORIENTE!S:S,"MEDIO")</f>
        <v>29</v>
      </c>
      <c r="I16" s="369">
        <f>(H16/$B$16)*100</f>
        <v>5.2064631956912031</v>
      </c>
      <c r="J16" s="368">
        <f>COUNTIF(ORIENTE!S:S,"ALTO")</f>
        <v>51</v>
      </c>
      <c r="K16" s="369">
        <f>(J16/$B$16)*100</f>
        <v>9.1561938958707358</v>
      </c>
      <c r="L16" s="368">
        <f>COUNTIF(ORIENTE!S:S,"INVIABLE SANITARIAMENTE")</f>
        <v>151</v>
      </c>
      <c r="M16" s="369">
        <f>(L16/$B$16)*100</f>
        <v>27.109515260323157</v>
      </c>
      <c r="N16" s="368">
        <f t="shared" si="1"/>
        <v>94</v>
      </c>
      <c r="O16" s="369">
        <f>(N16/$B$16)*100</f>
        <v>16.87612208258528</v>
      </c>
    </row>
    <row r="17" spans="1:16" ht="24.75" customHeight="1">
      <c r="A17" s="73" t="s">
        <v>225</v>
      </c>
      <c r="B17" s="70">
        <f>SUM(B8:B16)</f>
        <v>2415</v>
      </c>
      <c r="C17" s="72">
        <f>SUM(C8:C16)</f>
        <v>100</v>
      </c>
      <c r="D17" s="70">
        <f>SUM(D8:D16)</f>
        <v>418</v>
      </c>
      <c r="E17" s="72">
        <f>(D17/$B$17)*100</f>
        <v>17.308488612836438</v>
      </c>
      <c r="F17" s="70">
        <f>SUM(F8:F16)</f>
        <v>85</v>
      </c>
      <c r="G17" s="72">
        <f>(F17/$B$17)*100</f>
        <v>3.5196687370600417</v>
      </c>
      <c r="H17" s="70">
        <f>SUM(H8:H16)</f>
        <v>118</v>
      </c>
      <c r="I17" s="72">
        <f>(H17/$B$17)*100</f>
        <v>4.8861283643892337</v>
      </c>
      <c r="J17" s="70">
        <f>SUM(J8:J16)</f>
        <v>392</v>
      </c>
      <c r="K17" s="72">
        <f>(J17/$B$17)*100</f>
        <v>16.231884057971012</v>
      </c>
      <c r="L17" s="70">
        <f>SUM(L8:L16)</f>
        <v>929</v>
      </c>
      <c r="M17" s="72">
        <f>(L17/$B$17)*100</f>
        <v>38.467908902691512</v>
      </c>
      <c r="N17" s="70">
        <f>SUM(N8:N16)</f>
        <v>473</v>
      </c>
      <c r="O17" s="72">
        <f>(N17/$B$17)*100</f>
        <v>19.585921325051761</v>
      </c>
    </row>
    <row r="18" spans="1:16">
      <c r="A18" s="33"/>
      <c r="B18" s="65"/>
      <c r="C18" s="33"/>
      <c r="D18" s="65"/>
      <c r="E18" s="33"/>
      <c r="F18" s="65"/>
      <c r="G18" s="33"/>
      <c r="H18" s="65"/>
      <c r="I18" s="33"/>
      <c r="J18" s="65"/>
      <c r="K18" s="33"/>
      <c r="L18" s="65"/>
      <c r="M18" s="33"/>
      <c r="N18" s="65"/>
      <c r="O18" s="33"/>
    </row>
    <row r="19" spans="1:16">
      <c r="A19" s="33"/>
      <c r="B19" s="65"/>
      <c r="C19" s="33"/>
      <c r="D19" s="65"/>
      <c r="E19" s="33"/>
      <c r="F19" s="65"/>
      <c r="G19" s="33"/>
      <c r="H19" s="65"/>
      <c r="I19" s="33"/>
      <c r="J19" s="65"/>
      <c r="K19" s="33"/>
      <c r="L19" s="65"/>
      <c r="M19" s="33"/>
      <c r="N19" s="65"/>
      <c r="O19" s="33"/>
    </row>
    <row r="20" spans="1:16">
      <c r="A20" s="33"/>
      <c r="B20" s="65"/>
      <c r="C20" s="33"/>
      <c r="D20" s="65"/>
      <c r="E20" s="33"/>
      <c r="F20" s="65"/>
      <c r="G20" s="33"/>
      <c r="H20" s="65"/>
      <c r="I20" s="33"/>
      <c r="J20" s="65"/>
      <c r="K20" s="33"/>
      <c r="L20" s="65"/>
      <c r="M20" s="33"/>
      <c r="N20" s="65"/>
      <c r="O20" s="33"/>
    </row>
    <row r="21" spans="1:16">
      <c r="A21" s="33"/>
      <c r="B21" s="65"/>
      <c r="C21" s="33"/>
      <c r="D21" s="65"/>
      <c r="E21" s="33"/>
      <c r="F21" s="65"/>
      <c r="G21" s="33"/>
      <c r="H21" s="65"/>
      <c r="I21" s="33"/>
      <c r="J21" s="65"/>
      <c r="K21" s="33"/>
      <c r="L21" s="65"/>
      <c r="M21" s="33"/>
      <c r="N21" s="65"/>
      <c r="O21" s="33"/>
    </row>
    <row r="22" spans="1:16" ht="25.5" customHeight="1">
      <c r="A22" s="591" t="s">
        <v>4559</v>
      </c>
      <c r="B22" s="592"/>
      <c r="C22" s="592"/>
      <c r="D22" s="592"/>
      <c r="E22" s="592"/>
      <c r="F22" s="592"/>
      <c r="G22" s="592"/>
      <c r="H22" s="592"/>
      <c r="I22" s="592"/>
      <c r="J22" s="592"/>
      <c r="K22" s="592"/>
      <c r="L22" s="592"/>
      <c r="M22" s="592"/>
      <c r="N22" s="592"/>
      <c r="O22" s="593"/>
      <c r="P22" s="24"/>
    </row>
    <row r="23" spans="1:16" ht="129.75" customHeight="1">
      <c r="A23" s="389" t="s">
        <v>11</v>
      </c>
      <c r="B23" s="71" t="s">
        <v>256</v>
      </c>
      <c r="C23" s="389" t="s">
        <v>105</v>
      </c>
      <c r="D23" s="392" t="s">
        <v>250</v>
      </c>
      <c r="E23" s="389" t="s">
        <v>105</v>
      </c>
      <c r="F23" s="393" t="s">
        <v>251</v>
      </c>
      <c r="G23" s="389" t="s">
        <v>105</v>
      </c>
      <c r="H23" s="394" t="s">
        <v>252</v>
      </c>
      <c r="I23" s="389" t="s">
        <v>105</v>
      </c>
      <c r="J23" s="395" t="s">
        <v>253</v>
      </c>
      <c r="K23" s="389" t="s">
        <v>105</v>
      </c>
      <c r="L23" s="396" t="s">
        <v>254</v>
      </c>
      <c r="M23" s="389" t="s">
        <v>105</v>
      </c>
      <c r="N23" s="71" t="s">
        <v>255</v>
      </c>
      <c r="O23" s="389" t="s">
        <v>105</v>
      </c>
      <c r="P23" s="24"/>
    </row>
    <row r="24" spans="1:16" ht="15.75">
      <c r="A24" s="461" t="s">
        <v>107</v>
      </c>
      <c r="B24" s="45">
        <f>'CONSOLIDADO-ACUEDUCTOSRURALES1'!D8</f>
        <v>28</v>
      </c>
      <c r="C24" s="49">
        <f>(B24/$B$34)*100</f>
        <v>13.930348258706468</v>
      </c>
      <c r="D24" s="362">
        <f>COUNTIFS('VALLE DE ABURRA'!A:A,"Medellín",'VALLE DE ABURRA'!S:S,"SIN RIESGO")</f>
        <v>26</v>
      </c>
      <c r="E24" s="49">
        <f>(D24/$B$24)*100</f>
        <v>92.857142857142861</v>
      </c>
      <c r="F24" s="29">
        <f>COUNTIFS('VALLE DE ABURRA'!A:A,"Medellín",'VALLE DE ABURRA'!S:S,"BAJO")</f>
        <v>2</v>
      </c>
      <c r="G24" s="49">
        <f>(F24/$B$24)*100</f>
        <v>7.1428571428571423</v>
      </c>
      <c r="H24" s="29">
        <f>COUNTIFS('VALLE DE ABURRA'!A:A,"Medellín",'VALLE DE ABURRA'!S:S,"MEDIO")</f>
        <v>0</v>
      </c>
      <c r="I24" s="49">
        <f>(H24/$B$24)*100</f>
        <v>0</v>
      </c>
      <c r="J24" s="29">
        <f>COUNTIFS('VALLE DE ABURRA'!A:A,"Medellín",'VALLE DE ABURRA'!S:S,"ALTO")</f>
        <v>0</v>
      </c>
      <c r="K24" s="49">
        <f>(J24/$B$24)*100</f>
        <v>0</v>
      </c>
      <c r="L24" s="29">
        <f>COUNTIFS('VALLE DE ABURRA'!A:A,"Medellín",'VALLE DE ABURRA'!S:S,"INVIABLE SANITARIAMENTE")</f>
        <v>0</v>
      </c>
      <c r="M24" s="49">
        <f>(L24/$B$24)*100</f>
        <v>0</v>
      </c>
      <c r="N24" s="29">
        <f>B24-(D24+F24+H24+J24+L24)</f>
        <v>0</v>
      </c>
      <c r="O24" s="49">
        <f>(N24/$B$24)*100</f>
        <v>0</v>
      </c>
      <c r="P24" s="24"/>
    </row>
    <row r="25" spans="1:16" ht="15.75">
      <c r="A25" s="461" t="s">
        <v>79</v>
      </c>
      <c r="B25" s="29">
        <f>'CONSOLIDADO-ACUEDUCTOSRURALES1'!D9</f>
        <v>45</v>
      </c>
      <c r="C25" s="49">
        <f>(B25/$B$34)*100</f>
        <v>22.388059701492537</v>
      </c>
      <c r="D25" s="29">
        <f>COUNTIFS('VALLE DE ABURRA'!A:A,"Barbosa",'VALLE DE ABURRA'!S:S,"SIN RIESGO")</f>
        <v>3</v>
      </c>
      <c r="E25" s="49">
        <f>(D25/$B$25)*100</f>
        <v>6.666666666666667</v>
      </c>
      <c r="F25" s="29">
        <f>COUNTIFS('VALLE DE ABURRA'!A:A,"Barbosa",'VALLE DE ABURRA'!S:S,"BAJO")</f>
        <v>1</v>
      </c>
      <c r="G25" s="49">
        <f>(F25/$B$25)*100</f>
        <v>2.2222222222222223</v>
      </c>
      <c r="H25" s="29">
        <f>COUNTIFS('VALLE DE ABURRA'!A:A,"Barbosa",'VALLE DE ABURRA'!S:S,"MEDIO")</f>
        <v>4</v>
      </c>
      <c r="I25" s="49">
        <f>(H25/$B$25)*100</f>
        <v>8.8888888888888893</v>
      </c>
      <c r="J25" s="29">
        <f>COUNTIFS('VALLE DE ABURRA'!A:A,"Barbosa",'VALLE DE ABURRA'!S:S,"ALTO")</f>
        <v>13</v>
      </c>
      <c r="K25" s="49">
        <f>(J25/$B$25)*100</f>
        <v>28.888888888888886</v>
      </c>
      <c r="L25" s="29">
        <f>COUNTIFS('VALLE DE ABURRA'!A:A,"Barbosa",'VALLE DE ABURRA'!S:S,"INVIABLE SANITARIAMENTE")</f>
        <v>20</v>
      </c>
      <c r="M25" s="49">
        <f>(L25/$B$25)*100</f>
        <v>44.444444444444443</v>
      </c>
      <c r="N25" s="326">
        <f>B25-(D25+F25+H25+J25+L25)</f>
        <v>4</v>
      </c>
      <c r="O25" s="49">
        <f>(N25/$B$25)*100</f>
        <v>8.8888888888888893</v>
      </c>
      <c r="P25" s="24"/>
    </row>
    <row r="26" spans="1:16" ht="15.75">
      <c r="A26" s="461" t="s">
        <v>80</v>
      </c>
      <c r="B26" s="29">
        <f>'CONSOLIDADO-ACUEDUCTOSRURALES1'!D10</f>
        <v>16</v>
      </c>
      <c r="C26" s="49">
        <f>(B26/$B$34)*100</f>
        <v>7.9601990049751246</v>
      </c>
      <c r="D26" s="29">
        <f>COUNTIFS('VALLE DE ABURRA'!A:A,"Bello",'VALLE DE ABURRA'!S:S,"SIN RIESGO")</f>
        <v>3</v>
      </c>
      <c r="E26" s="49">
        <f>(D26/$B$26)*100</f>
        <v>18.75</v>
      </c>
      <c r="F26" s="29">
        <f>COUNTIFS('VALLE DE ABURRA'!A:A,"Bello",'VALLE DE ABURRA'!S:S,"BAJO")</f>
        <v>0</v>
      </c>
      <c r="G26" s="49">
        <f>(F26/$B$26)*100</f>
        <v>0</v>
      </c>
      <c r="H26" s="29">
        <f>COUNTIFS('VALLE DE ABURRA'!A:A,"Bello",'VALLE DE ABURRA'!S:S,"MEDIO")</f>
        <v>3</v>
      </c>
      <c r="I26" s="49">
        <f>(H26/$B$26)*100</f>
        <v>18.75</v>
      </c>
      <c r="J26" s="29">
        <f>COUNTIFS('VALLE DE ABURRA'!A:A,"Bello",'VALLE DE ABURRA'!S:S,"ALTO")</f>
        <v>3</v>
      </c>
      <c r="K26" s="49">
        <f>(J26/$B$26)*100</f>
        <v>18.75</v>
      </c>
      <c r="L26" s="29">
        <f>COUNTIFS('VALLE DE ABURRA'!A:A,"Bello",'VALLE DE ABURRA'!S:S,"INVIABLE SANITARIAMENTE")</f>
        <v>0</v>
      </c>
      <c r="M26" s="49">
        <f>(L26/$B$26)*100</f>
        <v>0</v>
      </c>
      <c r="N26" s="326">
        <f t="shared" ref="N26:N33" si="2">B26-(D26+F26+H26+J26+L26)</f>
        <v>7</v>
      </c>
      <c r="O26" s="49">
        <f>(N26/$B$26)*100</f>
        <v>43.75</v>
      </c>
      <c r="P26" s="24"/>
    </row>
    <row r="27" spans="1:16" ht="15.75">
      <c r="A27" s="461" t="s">
        <v>108</v>
      </c>
      <c r="B27" s="29">
        <f>'CONSOLIDADO-ACUEDUCTOSRURALES1'!D11</f>
        <v>19</v>
      </c>
      <c r="C27" s="49">
        <f>(B27/$B$34)*100</f>
        <v>9.4527363184079594</v>
      </c>
      <c r="D27" s="29">
        <f>COUNTIFS('VALLE DE ABURRA'!A:A,"Caldas",'VALLE DE ABURRA'!S:S,"SIN RIESGO")</f>
        <v>3</v>
      </c>
      <c r="E27" s="49">
        <f>(D27/$B$27)*100</f>
        <v>15.789473684210526</v>
      </c>
      <c r="F27" s="29">
        <f>COUNTIFS('VALLE DE ABURRA'!A:A,"Caldas",'VALLE DE ABURRA'!S:S,"BAJO")</f>
        <v>1</v>
      </c>
      <c r="G27" s="49">
        <f>(F27/$B$27)*100</f>
        <v>5.2631578947368416</v>
      </c>
      <c r="H27" s="29">
        <f>COUNTIFS('VALLE DE ABURRA'!A:A,"Caldas",'VALLE DE ABURRA'!S:S,"MEDIO")</f>
        <v>2</v>
      </c>
      <c r="I27" s="49">
        <f>(H27/$B$27)*100</f>
        <v>10.526315789473683</v>
      </c>
      <c r="J27" s="29">
        <f>COUNTIFS('VALLE DE ABURRA'!A:A,"Caldas",'VALLE DE ABURRA'!S:S,"ALTO")</f>
        <v>8</v>
      </c>
      <c r="K27" s="49">
        <f>(J27/$B$27)*100</f>
        <v>42.105263157894733</v>
      </c>
      <c r="L27" s="29">
        <f>COUNTIFS('VALLE DE ABURRA'!A:A,"Caldas",'VALLE DE ABURRA'!S:S,"INVIABLE SANITARIAMENTE")</f>
        <v>5</v>
      </c>
      <c r="M27" s="49">
        <f>(L27/$B$27)*100</f>
        <v>26.315789473684209</v>
      </c>
      <c r="N27" s="326">
        <f t="shared" si="2"/>
        <v>0</v>
      </c>
      <c r="O27" s="49">
        <f>(N27/$B$27)*100</f>
        <v>0</v>
      </c>
      <c r="P27" s="24"/>
    </row>
    <row r="28" spans="1:16" ht="15.75">
      <c r="A28" s="461" t="s">
        <v>109</v>
      </c>
      <c r="B28" s="29">
        <f>'CONSOLIDADO-ACUEDUCTOSRURALES1'!D12</f>
        <v>20</v>
      </c>
      <c r="C28" s="49">
        <f>(B28/$B$34)*100</f>
        <v>9.9502487562189064</v>
      </c>
      <c r="D28" s="29">
        <f>COUNTIFS('VALLE DE ABURRA'!A:A,"Copacabana",'VALLE DE ABURRA'!S:S,"SIN RIESGO")</f>
        <v>17</v>
      </c>
      <c r="E28" s="49">
        <f>(D28/$B$28)*100</f>
        <v>85</v>
      </c>
      <c r="F28" s="29">
        <f>COUNTIFS('VALLE DE ABURRA'!A:A,"Copacabana",'VALLE DE ABURRA'!S:S,"BAJO")</f>
        <v>2</v>
      </c>
      <c r="G28" s="49">
        <f>(F28/$B$28)*100</f>
        <v>10</v>
      </c>
      <c r="H28" s="29">
        <f>COUNTIFS('VALLE DE ABURRA'!A:A,"Copacabana",'VALLE DE ABURRA'!S:S,"MEDIO")</f>
        <v>0</v>
      </c>
      <c r="I28" s="49">
        <f>(H28/$B$28)*100</f>
        <v>0</v>
      </c>
      <c r="J28" s="29">
        <f>COUNTIFS('VALLE DE ABURRA'!A:A,"Copacabana",'VALLE DE ABURRA'!S:S,"ALTO")</f>
        <v>0</v>
      </c>
      <c r="K28" s="49">
        <f>(J28/$B$28)*100</f>
        <v>0</v>
      </c>
      <c r="L28" s="29">
        <f>COUNTIFS('VALLE DE ABURRA'!A:A,"Copacabana",'VALLE DE ABURRA'!S:S,"INVIABLE SANITARIAMENTE")</f>
        <v>0</v>
      </c>
      <c r="M28" s="49">
        <f>(L28/$B$28)*100</f>
        <v>0</v>
      </c>
      <c r="N28" s="326">
        <f t="shared" si="2"/>
        <v>1</v>
      </c>
      <c r="O28" s="49">
        <f>(N28/$B$28)*100</f>
        <v>5</v>
      </c>
      <c r="P28" s="24"/>
    </row>
    <row r="29" spans="1:16" ht="15.75">
      <c r="A29" s="461" t="s">
        <v>81</v>
      </c>
      <c r="B29" s="29">
        <f>'CONSOLIDADO-ACUEDUCTOSRURALES1'!D13</f>
        <v>31</v>
      </c>
      <c r="C29" s="49">
        <f t="shared" ref="C29:C33" si="3">(B29/$B$34)*100</f>
        <v>15.422885572139302</v>
      </c>
      <c r="D29" s="29">
        <f>COUNTIFS('VALLE DE ABURRA'!A:A,"Girardota",'VALLE DE ABURRA'!S:S,"SIN RIESGO")</f>
        <v>2</v>
      </c>
      <c r="E29" s="49">
        <f>(D29/$B$29)*100</f>
        <v>6.4516129032258061</v>
      </c>
      <c r="F29" s="29">
        <f>COUNTIFS('VALLE DE ABURRA'!A:A,"Girardota",'VALLE DE ABURRA'!S:S,"BAJO")</f>
        <v>7</v>
      </c>
      <c r="G29" s="49">
        <f>(F29/$B$29)*100</f>
        <v>22.58064516129032</v>
      </c>
      <c r="H29" s="29">
        <f>COUNTIFS('VALLE DE ABURRA'!A:A,"Girardota",'VALLE DE ABURRA'!S:S,"MEDIO")</f>
        <v>11</v>
      </c>
      <c r="I29" s="49">
        <f>(H29/$B$29)*100</f>
        <v>35.483870967741936</v>
      </c>
      <c r="J29" s="29">
        <f>COUNTIFS('VALLE DE ABURRA'!A:A,"Girardota",'VALLE DE ABURRA'!S:S,"ALTO")</f>
        <v>6</v>
      </c>
      <c r="K29" s="49">
        <f>(J29/$B$29)*100</f>
        <v>19.35483870967742</v>
      </c>
      <c r="L29" s="29">
        <f>COUNTIFS('VALLE DE ABURRA'!A:A,"Girardota",'VALLE DE ABURRA'!S:S,"INVIABLE SANITARIAMENTE")</f>
        <v>5</v>
      </c>
      <c r="M29" s="49">
        <f>(L29/$B$29)*100</f>
        <v>16.129032258064516</v>
      </c>
      <c r="N29" s="326">
        <f t="shared" si="2"/>
        <v>0</v>
      </c>
      <c r="O29" s="49">
        <f>(N29/$B$29)*100</f>
        <v>0</v>
      </c>
      <c r="P29" s="24"/>
    </row>
    <row r="30" spans="1:16" ht="15.75">
      <c r="A30" s="461" t="s">
        <v>110</v>
      </c>
      <c r="B30" s="29">
        <f>'CONSOLIDADO-ACUEDUCTOSRURALES1'!D14</f>
        <v>8</v>
      </c>
      <c r="C30" s="49">
        <f t="shared" si="3"/>
        <v>3.9800995024875623</v>
      </c>
      <c r="D30" s="29">
        <f>COUNTIFS('VALLE DE ABURRA'!A:A,"Itagui",'VALLE DE ABURRA'!S:S,"SIN RIESGO")</f>
        <v>2</v>
      </c>
      <c r="E30" s="49">
        <f>(D30/$B$30)*100</f>
        <v>25</v>
      </c>
      <c r="F30" s="29">
        <f>COUNTIFS('VALLE DE ABURRA'!A:A,"Itagui",'VALLE DE ABURRA'!S:S,"BAJO")</f>
        <v>6</v>
      </c>
      <c r="G30" s="49">
        <f>(F30/$B$30)*100</f>
        <v>75</v>
      </c>
      <c r="H30" s="29">
        <f>COUNTIFS('VALLE DE ABURRA'!A:A,"Itagui",'VALLE DE ABURRA'!S:S,"MEDIO")</f>
        <v>0</v>
      </c>
      <c r="I30" s="49">
        <f>(H30/$B$30)*100</f>
        <v>0</v>
      </c>
      <c r="J30" s="29">
        <f>COUNTIFS('VALLE DE ABURRA'!A:A,"Itagui",'VALLE DE ABURRA'!S:S,"ALTO")</f>
        <v>0</v>
      </c>
      <c r="K30" s="49">
        <f>(J30/$B$30)*100</f>
        <v>0</v>
      </c>
      <c r="L30" s="29">
        <f>COUNTIFS('VALLE DE ABURRA'!A:A,"Itagui",'VALLE DE ABURRA'!S:S,"INVIABLE SANITARIAMENTE")</f>
        <v>0</v>
      </c>
      <c r="M30" s="49">
        <f>(L30/$B$30)*100</f>
        <v>0</v>
      </c>
      <c r="N30" s="326">
        <f t="shared" si="2"/>
        <v>0</v>
      </c>
      <c r="O30" s="49">
        <f>(N30/$B$30)*100</f>
        <v>0</v>
      </c>
      <c r="P30" s="24"/>
    </row>
    <row r="31" spans="1:16" ht="15.75">
      <c r="A31" s="461" t="s">
        <v>111</v>
      </c>
      <c r="B31" s="29">
        <f>'CONSOLIDADO-ACUEDUCTOSRURALES1'!D15</f>
        <v>15</v>
      </c>
      <c r="C31" s="49">
        <f t="shared" si="3"/>
        <v>7.4626865671641784</v>
      </c>
      <c r="D31" s="29">
        <f>COUNTIFS('VALLE DE ABURRA'!A:A,"Envigado",'VALLE DE ABURRA'!S:S,"SIN RIESGO")</f>
        <v>5</v>
      </c>
      <c r="E31" s="49">
        <f>(D31/$B$31)*100</f>
        <v>33.333333333333329</v>
      </c>
      <c r="F31" s="29">
        <f>COUNTIFS('VALLE DE ABURRA'!A:A,"Envigado",'VALLE DE ABURRA'!S:S,"BAJO")</f>
        <v>1</v>
      </c>
      <c r="G31" s="49">
        <f>(F31/$B$31)*100</f>
        <v>6.666666666666667</v>
      </c>
      <c r="H31" s="29">
        <f>COUNTIFS('VALLE DE ABURRA'!A:A,"Envigado",'VALLE DE ABURRA'!S:S,"MEDIO")</f>
        <v>8</v>
      </c>
      <c r="I31" s="49">
        <f>(H31/$B$31)*100</f>
        <v>53.333333333333336</v>
      </c>
      <c r="J31" s="29">
        <f>COUNTIFS('VALLE DE ABURRA'!A:A,"Envigado",'VALLE DE ABURRA'!S:S,"ALTO")</f>
        <v>1</v>
      </c>
      <c r="K31" s="49">
        <f>(J31/$B$31)*100</f>
        <v>6.666666666666667</v>
      </c>
      <c r="L31" s="29">
        <f>COUNTIFS('VALLE DE ABURRA'!A:A,"Envigado",'VALLE DE ABURRA'!S:S,"INVIABLE SANITARIAMENTE")</f>
        <v>0</v>
      </c>
      <c r="M31" s="49">
        <f>(L31/$B$31)*100</f>
        <v>0</v>
      </c>
      <c r="N31" s="326">
        <f t="shared" si="2"/>
        <v>0</v>
      </c>
      <c r="O31" s="49">
        <f>(N31/$B$31)*100</f>
        <v>0</v>
      </c>
      <c r="P31" s="24"/>
    </row>
    <row r="32" spans="1:16" ht="15.75">
      <c r="A32" s="461" t="s">
        <v>112</v>
      </c>
      <c r="B32" s="29">
        <f>'CONSOLIDADO-ACUEDUCTOSRURALES1'!D16</f>
        <v>8</v>
      </c>
      <c r="C32" s="49">
        <f t="shared" si="3"/>
        <v>3.9800995024875623</v>
      </c>
      <c r="D32" s="29">
        <f>COUNTIFS('VALLE DE ABURRA'!A:A,"Sabaneta",'VALLE DE ABURRA'!S:S,"SIN RIESGO")</f>
        <v>6</v>
      </c>
      <c r="E32" s="49">
        <f>(D32/$B$32)*100</f>
        <v>75</v>
      </c>
      <c r="F32" s="29">
        <f>COUNTIFS('VALLE DE ABURRA'!A:A,"Sabaneta",'VALLE DE ABURRA'!S:S,"BAJO")</f>
        <v>0</v>
      </c>
      <c r="G32" s="49">
        <f>(F32/$B$32)*100</f>
        <v>0</v>
      </c>
      <c r="H32" s="29">
        <f>COUNTIFS('VALLE DE ABURRA'!A:A,"sabaneta",'VALLE DE ABURRA'!S:S,"MEDIO")</f>
        <v>1</v>
      </c>
      <c r="I32" s="49">
        <f>(H32/$B$32)*100</f>
        <v>12.5</v>
      </c>
      <c r="J32" s="29">
        <f>COUNTIFS('VALLE DE ABURRA'!A:A,"Sabaneta",'VALLE DE ABURRA'!S:S,"ALTO")</f>
        <v>0</v>
      </c>
      <c r="K32" s="49">
        <f>(J32/$B$32)*100</f>
        <v>0</v>
      </c>
      <c r="L32" s="29">
        <f>COUNTIFS('VALLE DE ABURRA'!A:A,"Sabaneta",'VALLE DE ABURRA'!S:S,"INVIABLE SANITARIAMENTE")</f>
        <v>0</v>
      </c>
      <c r="M32" s="49">
        <f>(L32/$B$32)*100</f>
        <v>0</v>
      </c>
      <c r="N32" s="326">
        <f t="shared" si="2"/>
        <v>1</v>
      </c>
      <c r="O32" s="49">
        <f>(N32/$B$32)*100</f>
        <v>12.5</v>
      </c>
      <c r="P32" s="24"/>
    </row>
    <row r="33" spans="1:16" ht="15.75">
      <c r="A33" s="461" t="s">
        <v>113</v>
      </c>
      <c r="B33" s="29">
        <f>'CONSOLIDADO-ACUEDUCTOSRURALES1'!D17</f>
        <v>11</v>
      </c>
      <c r="C33" s="49">
        <f t="shared" si="3"/>
        <v>5.4726368159203984</v>
      </c>
      <c r="D33" s="29">
        <f>COUNTIFS('VALLE DE ABURRA'!A:A,"La Estrella",'VALLE DE ABURRA'!S:S,"SIN RIESGO")</f>
        <v>3</v>
      </c>
      <c r="E33" s="49">
        <f>(D33/$B$33)*100</f>
        <v>27.27272727272727</v>
      </c>
      <c r="F33" s="29">
        <f>COUNTIFS('VALLE DE ABURRA'!A:A,"La Estrella",'VALLE DE ABURRA'!S:S,"BAJO")</f>
        <v>1</v>
      </c>
      <c r="G33" s="49">
        <f>(F33/$B$33)*100</f>
        <v>9.0909090909090917</v>
      </c>
      <c r="H33" s="29">
        <f>COUNTIFS('VALLE DE ABURRA'!A:A,"La Estrella",'VALLE DE ABURRA'!S:S,"MEDIO")</f>
        <v>5</v>
      </c>
      <c r="I33" s="49">
        <f>(H33/$B$33)*100</f>
        <v>45.454545454545453</v>
      </c>
      <c r="J33" s="29">
        <f>COUNTIFS('VALLE DE ABURRA'!A:A,"La Estrella",'VALLE DE ABURRA'!S:S,"ALTO")</f>
        <v>2</v>
      </c>
      <c r="K33" s="49">
        <f>(J33/$B$33)*100</f>
        <v>18.181818181818183</v>
      </c>
      <c r="L33" s="29">
        <f>COUNTIFS('VALLE DE ABURRA'!A:A,"La Estrella",'VALLE DE ABURRA'!S:S,"INVIABLE SANITARIAMENTE")</f>
        <v>0</v>
      </c>
      <c r="M33" s="49">
        <f>(L33/$B$33)*100</f>
        <v>0</v>
      </c>
      <c r="N33" s="326">
        <f t="shared" si="2"/>
        <v>0</v>
      </c>
      <c r="O33" s="49">
        <f>(N33/$B$33)*100</f>
        <v>0</v>
      </c>
      <c r="P33" s="24"/>
    </row>
    <row r="34" spans="1:16" s="23" customFormat="1" ht="27.75" customHeight="1">
      <c r="A34" s="75" t="s">
        <v>225</v>
      </c>
      <c r="B34" s="76">
        <f>SUM(B24:B33)</f>
        <v>201</v>
      </c>
      <c r="C34" s="77">
        <f>SUM(C24:C33)</f>
        <v>100</v>
      </c>
      <c r="D34" s="76">
        <f>SUM(D24:D33)</f>
        <v>70</v>
      </c>
      <c r="E34" s="77">
        <f>(D34/$B$34)*100</f>
        <v>34.82587064676617</v>
      </c>
      <c r="F34" s="76">
        <f>SUM(F24:F33)</f>
        <v>21</v>
      </c>
      <c r="G34" s="77">
        <f>(F34/$B$34)*100</f>
        <v>10.44776119402985</v>
      </c>
      <c r="H34" s="76">
        <f>SUM(H24:H33)</f>
        <v>34</v>
      </c>
      <c r="I34" s="77">
        <f>(H34/$B$34)*100</f>
        <v>16.915422885572141</v>
      </c>
      <c r="J34" s="76">
        <f>SUM(J24:J33)</f>
        <v>33</v>
      </c>
      <c r="K34" s="77">
        <f>(J34/$B$34)*100</f>
        <v>16.417910447761194</v>
      </c>
      <c r="L34" s="76">
        <f>SUM(L24:L33)</f>
        <v>30</v>
      </c>
      <c r="M34" s="77">
        <f>(L34/$B$34)*100</f>
        <v>14.925373134328357</v>
      </c>
      <c r="N34" s="76">
        <f>SUM(N24:N33)</f>
        <v>13</v>
      </c>
      <c r="O34" s="77">
        <f>(N34/$B$34)*100</f>
        <v>6.467661691542288</v>
      </c>
      <c r="P34" s="25"/>
    </row>
    <row r="35" spans="1:16">
      <c r="A35" s="33"/>
      <c r="B35" s="65"/>
      <c r="C35" s="33"/>
      <c r="D35" s="65"/>
      <c r="E35" s="33"/>
      <c r="F35" s="65"/>
      <c r="G35" s="33"/>
      <c r="H35" s="65"/>
      <c r="I35" s="33"/>
      <c r="J35" s="65"/>
      <c r="K35" s="33"/>
      <c r="L35" s="65"/>
      <c r="M35" s="33"/>
      <c r="N35" s="65"/>
      <c r="O35" s="33"/>
      <c r="P35" s="4"/>
    </row>
    <row r="36" spans="1:16">
      <c r="A36" s="33"/>
      <c r="B36" s="65"/>
      <c r="C36" s="33"/>
      <c r="D36" s="65"/>
      <c r="E36" s="33"/>
      <c r="F36" s="65"/>
      <c r="G36" s="33"/>
      <c r="H36" s="65"/>
      <c r="I36" s="33"/>
      <c r="J36" s="65"/>
      <c r="K36" s="33"/>
      <c r="L36" s="65"/>
      <c r="M36" s="33"/>
      <c r="N36" s="65"/>
      <c r="O36" s="33"/>
      <c r="P36" s="4"/>
    </row>
    <row r="37" spans="1:16" ht="21.75" customHeight="1">
      <c r="A37" s="591" t="s">
        <v>4560</v>
      </c>
      <c r="B37" s="592"/>
      <c r="C37" s="592"/>
      <c r="D37" s="592"/>
      <c r="E37" s="592"/>
      <c r="F37" s="592"/>
      <c r="G37" s="592"/>
      <c r="H37" s="592"/>
      <c r="I37" s="592"/>
      <c r="J37" s="592"/>
      <c r="K37" s="592"/>
      <c r="L37" s="592"/>
      <c r="M37" s="592"/>
      <c r="N37" s="592"/>
      <c r="O37" s="593"/>
      <c r="P37" s="24"/>
    </row>
    <row r="38" spans="1:16" ht="120" customHeight="1">
      <c r="A38" s="389" t="s">
        <v>11</v>
      </c>
      <c r="B38" s="71" t="s">
        <v>256</v>
      </c>
      <c r="C38" s="389" t="s">
        <v>105</v>
      </c>
      <c r="D38" s="392" t="s">
        <v>250</v>
      </c>
      <c r="E38" s="389" t="s">
        <v>105</v>
      </c>
      <c r="F38" s="393" t="s">
        <v>251</v>
      </c>
      <c r="G38" s="389" t="s">
        <v>105</v>
      </c>
      <c r="H38" s="394" t="s">
        <v>252</v>
      </c>
      <c r="I38" s="389" t="s">
        <v>105</v>
      </c>
      <c r="J38" s="395" t="s">
        <v>253</v>
      </c>
      <c r="K38" s="389" t="s">
        <v>105</v>
      </c>
      <c r="L38" s="396" t="s">
        <v>254</v>
      </c>
      <c r="M38" s="389" t="s">
        <v>105</v>
      </c>
      <c r="N38" s="71" t="s">
        <v>255</v>
      </c>
      <c r="O38" s="389" t="s">
        <v>105</v>
      </c>
      <c r="P38" s="24"/>
    </row>
    <row r="39" spans="1:16" ht="15.75">
      <c r="A39" s="61" t="s">
        <v>116</v>
      </c>
      <c r="B39" s="45">
        <f>'CONSOLIDADO-ACUEDUCTOSRURALES1'!D19</f>
        <v>9</v>
      </c>
      <c r="C39" s="49">
        <f>(B39/$B$50)*100</f>
        <v>7.1999999999999993</v>
      </c>
      <c r="D39" s="45">
        <f>COUNTIFS(URABA!A:A,"Apartadó",URABA!S:S,"SIN RIESGO")</f>
        <v>2</v>
      </c>
      <c r="E39" s="49">
        <f>(D39/$B$39)*100</f>
        <v>22.222222222222221</v>
      </c>
      <c r="F39" s="45">
        <f>COUNTIFS(URABA!A:A,"Apartadó",URABA!S:S,"BAJO")</f>
        <v>2</v>
      </c>
      <c r="G39" s="49">
        <f>(F39/$B$39)*100</f>
        <v>22.222222222222221</v>
      </c>
      <c r="H39" s="45">
        <f>COUNTIFS(URABA!A:A,"Apartadó",URABA!S:S,"MEDIO")</f>
        <v>1</v>
      </c>
      <c r="I39" s="49">
        <f>(H39/$B$39)*100</f>
        <v>11.111111111111111</v>
      </c>
      <c r="J39" s="45">
        <f>COUNTIFS(URABA!A:A,"Apartadó",URABA!S:S,"ALTO")</f>
        <v>3</v>
      </c>
      <c r="K39" s="49">
        <f>(J39/$B$39)*100</f>
        <v>33.333333333333329</v>
      </c>
      <c r="L39" s="45">
        <f>COUNTIFS(URABA!A:A,"Apartadó",URABA!S:S,"INVIABLE SANITARIAMENTE")</f>
        <v>0</v>
      </c>
      <c r="M39" s="49">
        <f>(L39/$B$39)*100</f>
        <v>0</v>
      </c>
      <c r="N39" s="45">
        <f>B39-(D39+F39+H39+J39+L39)</f>
        <v>1</v>
      </c>
      <c r="O39" s="49">
        <f>(N39/$B$39)*100</f>
        <v>11.111111111111111</v>
      </c>
      <c r="P39" s="24"/>
    </row>
    <row r="40" spans="1:16" ht="15.75">
      <c r="A40" s="61" t="s">
        <v>117</v>
      </c>
      <c r="B40" s="45">
        <f>'CONSOLIDADO-ACUEDUCTOSRURALES1'!D20</f>
        <v>25</v>
      </c>
      <c r="C40" s="49">
        <f>(B40/$B$50)*100</f>
        <v>20</v>
      </c>
      <c r="D40" s="45">
        <f>COUNTIFS(URABA!A:A,"Arboletes",URABA!S:S,"SIN RIESGO")</f>
        <v>0</v>
      </c>
      <c r="E40" s="49">
        <f>(D40/$B$40)*100</f>
        <v>0</v>
      </c>
      <c r="F40" s="45">
        <f>COUNTIFS(URABA!A:A,"Arboletes",URABA!S:S,"BAJO")</f>
        <v>0</v>
      </c>
      <c r="G40" s="49">
        <f>(F40/$B$40)*100</f>
        <v>0</v>
      </c>
      <c r="H40" s="45">
        <f>COUNTIFS(URABA!A:A,"Arboletes",URABA!S:S,"MEDIO")</f>
        <v>0</v>
      </c>
      <c r="I40" s="49">
        <f>(H40/$B$40)*100</f>
        <v>0</v>
      </c>
      <c r="J40" s="45">
        <f>COUNTIFS(URABA!A:A,"Arboletes",URABA!S:S,"ALTO")</f>
        <v>0</v>
      </c>
      <c r="K40" s="49">
        <f>(J40/$B$40)*100</f>
        <v>0</v>
      </c>
      <c r="L40" s="45">
        <f>COUNTIFS(URABA!A:A,"Arboletes",URABA!S:S,"INVIABLE SANITARIAMENTE")</f>
        <v>21</v>
      </c>
      <c r="M40" s="49">
        <f>(L40/$B$40)*100</f>
        <v>84</v>
      </c>
      <c r="N40" s="324">
        <f t="shared" ref="N40:N49" si="4">B40-(D40+F40+H40+J40+L40)</f>
        <v>4</v>
      </c>
      <c r="O40" s="49">
        <f>(N40/$B$40)*100</f>
        <v>16</v>
      </c>
      <c r="P40" s="24"/>
    </row>
    <row r="41" spans="1:16" ht="15.75">
      <c r="A41" s="61" t="s">
        <v>118</v>
      </c>
      <c r="B41" s="45">
        <f>'CONSOLIDADO-ACUEDUCTOSRURALES1'!D21</f>
        <v>17</v>
      </c>
      <c r="C41" s="49">
        <f t="shared" ref="C41:C49" si="5">(B41/$B$50)*100</f>
        <v>13.600000000000001</v>
      </c>
      <c r="D41" s="45">
        <f>COUNTIFS(URABA!A:A,"Carepa",URABA!S:S,"SIN RIESGO")</f>
        <v>2</v>
      </c>
      <c r="E41" s="49">
        <f>(D41/$B$41)*100</f>
        <v>11.76470588235294</v>
      </c>
      <c r="F41" s="45">
        <f>COUNTIFS(URABA!A:A,"Carepa",URABA!S:S,"BAJO")</f>
        <v>0</v>
      </c>
      <c r="G41" s="49">
        <f>(F41/$B$41)*100</f>
        <v>0</v>
      </c>
      <c r="H41" s="45">
        <f>COUNTIFS(URABA!A:A,"Carepa",URABA!S:S,"MEDIO")</f>
        <v>1</v>
      </c>
      <c r="I41" s="49">
        <f>(H41/$B$41)*100</f>
        <v>5.8823529411764701</v>
      </c>
      <c r="J41" s="45">
        <f>COUNTIFS(URABA!A:A,"Carepa",URABA!S:S,"ALTO")</f>
        <v>1</v>
      </c>
      <c r="K41" s="49">
        <f>(J41/$B$41)*100</f>
        <v>5.8823529411764701</v>
      </c>
      <c r="L41" s="45">
        <f>COUNTIFS(URABA!A:A,"Carepa",URABA!S:S,"INVIABLE SANITARIAMENTE")</f>
        <v>7</v>
      </c>
      <c r="M41" s="49">
        <f>(L41/$B$41)*100</f>
        <v>41.17647058823529</v>
      </c>
      <c r="N41" s="324">
        <f t="shared" si="4"/>
        <v>6</v>
      </c>
      <c r="O41" s="49">
        <f>(N41/$B$41)*100</f>
        <v>35.294117647058826</v>
      </c>
      <c r="P41" s="24"/>
    </row>
    <row r="42" spans="1:16" ht="15.75">
      <c r="A42" s="61" t="s">
        <v>119</v>
      </c>
      <c r="B42" s="45">
        <f>'CONSOLIDADO-ACUEDUCTOSRURALES1'!D22</f>
        <v>4</v>
      </c>
      <c r="C42" s="49">
        <f t="shared" si="5"/>
        <v>3.2</v>
      </c>
      <c r="D42" s="45">
        <f>COUNTIFS(URABA!A:A,"Chigorodó",URABA!S:S,"SIN RIESGO")</f>
        <v>0</v>
      </c>
      <c r="E42" s="49">
        <f>(D42/$B$42)*100</f>
        <v>0</v>
      </c>
      <c r="F42" s="45">
        <f>COUNTIFS(URABA!A:A,"Chigorodó",URABA!S:S,"BAJO")</f>
        <v>0</v>
      </c>
      <c r="G42" s="49">
        <f>(F42/$B$42)*100</f>
        <v>0</v>
      </c>
      <c r="H42" s="45">
        <f>COUNTIFS(URABA!A:A,"Chigorodó",URABA!S:S,"MEDIO")</f>
        <v>3</v>
      </c>
      <c r="I42" s="49">
        <f>(H42/$B$42)*100</f>
        <v>75</v>
      </c>
      <c r="J42" s="45">
        <f>COUNTIFS(URABA!A:A,"Chigorodó",URABA!S:S,"ALTO")</f>
        <v>1</v>
      </c>
      <c r="K42" s="49">
        <f>(J42/$B$42)*100</f>
        <v>25</v>
      </c>
      <c r="L42" s="45">
        <f>COUNTIFS(URABA!A:A,"Chigorodó",URABA!S:S,"INVIABLE SANITARIAMENTE")</f>
        <v>0</v>
      </c>
      <c r="M42" s="49">
        <f>(L42/$B$42)*100</f>
        <v>0</v>
      </c>
      <c r="N42" s="324">
        <f t="shared" si="4"/>
        <v>0</v>
      </c>
      <c r="O42" s="49">
        <f>(N42/$B$42)*100</f>
        <v>0</v>
      </c>
      <c r="P42" s="24"/>
    </row>
    <row r="43" spans="1:16" ht="15.75">
      <c r="A43" s="61" t="s">
        <v>83</v>
      </c>
      <c r="B43" s="45">
        <f>'CONSOLIDADO-ACUEDUCTOSRURALES1'!D23</f>
        <v>0</v>
      </c>
      <c r="C43" s="49">
        <f t="shared" si="5"/>
        <v>0</v>
      </c>
      <c r="D43" s="45">
        <f>COUNTIFS(URABA!A:A,"Murindo",URABA!S:S,"SIN RIESGO")</f>
        <v>0</v>
      </c>
      <c r="E43" s="49">
        <v>0</v>
      </c>
      <c r="F43" s="45">
        <f>COUNTIFS(URABA!A:A,"Murindo",URABA!S:S,"BAJO")</f>
        <v>0</v>
      </c>
      <c r="G43" s="49">
        <v>0</v>
      </c>
      <c r="H43" s="45">
        <f>COUNTIFS(URABA!A:A,"Murindo",URABA!S:S,"MEDIO")</f>
        <v>0</v>
      </c>
      <c r="I43" s="49">
        <v>0</v>
      </c>
      <c r="J43" s="45">
        <f>COUNTIFS(URABA!A:A,"Murindo",URABA!S:S,"ALTO")</f>
        <v>0</v>
      </c>
      <c r="K43" s="49">
        <v>0</v>
      </c>
      <c r="L43" s="45">
        <f>COUNTIFS(URABA!A:A,"Murindo",URABA!S:S,"INVIABLE SANITARIAMENTE")</f>
        <v>0</v>
      </c>
      <c r="M43" s="49">
        <v>0</v>
      </c>
      <c r="N43" s="324">
        <f t="shared" si="4"/>
        <v>0</v>
      </c>
      <c r="O43" s="49">
        <v>0</v>
      </c>
      <c r="P43" s="24"/>
    </row>
    <row r="44" spans="1:16" ht="15.75">
      <c r="A44" s="61" t="s">
        <v>120</v>
      </c>
      <c r="B44" s="45">
        <f>'CONSOLIDADO-ACUEDUCTOSRURALES1'!D24</f>
        <v>14</v>
      </c>
      <c r="C44" s="49">
        <f t="shared" si="5"/>
        <v>11.200000000000001</v>
      </c>
      <c r="D44" s="45">
        <f>COUNTIFS(URABA!A:A,"Mutatá",URABA!S:S,"SIN RIESGO")</f>
        <v>1</v>
      </c>
      <c r="E44" s="49">
        <f>(D44/$B$44)*100</f>
        <v>7.1428571428571423</v>
      </c>
      <c r="F44" s="45">
        <f>COUNTIFS(URABA!A:A,"Mutatá",URABA!S:S,"BAJO")</f>
        <v>0</v>
      </c>
      <c r="G44" s="49">
        <f>(F44/$B$44)*100</f>
        <v>0</v>
      </c>
      <c r="H44" s="45">
        <f>COUNTIFS(URABA!A:A,"Mutatá",URABA!S:S,"MEDIO")</f>
        <v>0</v>
      </c>
      <c r="I44" s="49">
        <f>(H44/$B$44)*100</f>
        <v>0</v>
      </c>
      <c r="J44" s="45">
        <f>COUNTIFS(URABA!A:A,"Mutatá",URABA!S:S,"ALTO")</f>
        <v>10</v>
      </c>
      <c r="K44" s="49">
        <f>(J44/$B$44)*100</f>
        <v>71.428571428571431</v>
      </c>
      <c r="L44" s="45">
        <f>COUNTIFS(URABA!A:A,"Mutatá",URABA!S:S,"INVIABLE SANITARIAMENTE")</f>
        <v>0</v>
      </c>
      <c r="M44" s="49">
        <f>(L44/$B$44)*100</f>
        <v>0</v>
      </c>
      <c r="N44" s="324">
        <f t="shared" si="4"/>
        <v>3</v>
      </c>
      <c r="O44" s="49">
        <f>(N44/$B$44)*100</f>
        <v>21.428571428571427</v>
      </c>
      <c r="P44" s="24"/>
    </row>
    <row r="45" spans="1:16" ht="15.75">
      <c r="A45" s="61" t="s">
        <v>121</v>
      </c>
      <c r="B45" s="45">
        <f>'CONSOLIDADO-ACUEDUCTOSRURALES1'!D25</f>
        <v>23</v>
      </c>
      <c r="C45" s="49">
        <f t="shared" si="5"/>
        <v>18.399999999999999</v>
      </c>
      <c r="D45" s="45">
        <f>COUNTIFS(URABA!A:A,"Necoclí",URABA!S:S,"SIN RIESGO")</f>
        <v>4</v>
      </c>
      <c r="E45" s="49">
        <f>(D45/$B$45)*100</f>
        <v>17.391304347826086</v>
      </c>
      <c r="F45" s="45">
        <f>COUNTIFS(URABA!A:A,"Necoclí",URABA!S:S,"BAJO")</f>
        <v>0</v>
      </c>
      <c r="G45" s="49">
        <f>(F45/$B$45)*100</f>
        <v>0</v>
      </c>
      <c r="H45" s="45">
        <f>COUNTIFS(URABA!A:A,"Necoclí",URABA!S:S,"MEDIO")</f>
        <v>0</v>
      </c>
      <c r="I45" s="49">
        <f>(H45/$B$45)*100</f>
        <v>0</v>
      </c>
      <c r="J45" s="45">
        <f>COUNTIFS(URABA!A:A,"Necoclí",URABA!S:S,"ALTO")</f>
        <v>0</v>
      </c>
      <c r="K45" s="49">
        <f>(J45/$B$45)*100</f>
        <v>0</v>
      </c>
      <c r="L45" s="45">
        <f>COUNTIFS(URABA!A:A,"Necoclí",URABA!S:S,"INVIABLE SANITARIAMENTE")</f>
        <v>15</v>
      </c>
      <c r="M45" s="49">
        <f>(L45/$B$45)*100</f>
        <v>65.217391304347828</v>
      </c>
      <c r="N45" s="324">
        <f t="shared" si="4"/>
        <v>4</v>
      </c>
      <c r="O45" s="49">
        <f>(N45/$B$45)*100</f>
        <v>17.391304347826086</v>
      </c>
      <c r="P45" s="24"/>
    </row>
    <row r="46" spans="1:16" ht="15.75">
      <c r="A46" s="61" t="s">
        <v>122</v>
      </c>
      <c r="B46" s="45">
        <f>'CONSOLIDADO-ACUEDUCTOSRURALES1'!D26</f>
        <v>4</v>
      </c>
      <c r="C46" s="49">
        <f t="shared" si="5"/>
        <v>3.2</v>
      </c>
      <c r="D46" s="45">
        <f>COUNTIFS(URABA!A:A,"San Juan De Urabá",URABA!S:S,"SIN RIESGO")</f>
        <v>0</v>
      </c>
      <c r="E46" s="49">
        <f>(D46/$B$46)*100</f>
        <v>0</v>
      </c>
      <c r="F46" s="45">
        <f>COUNTIFS(URABA!A:A,"San Juan De Urabá",URABA!S:S,"BAJO")</f>
        <v>0</v>
      </c>
      <c r="G46" s="49">
        <f>(F46/$B$46)*100</f>
        <v>0</v>
      </c>
      <c r="H46" s="45">
        <f>COUNTIFS(URABA!A:A,"San Juan De Urabá",URABA!S:S,"MEDIO")</f>
        <v>0</v>
      </c>
      <c r="I46" s="49">
        <f>(H46/$B$46)*100</f>
        <v>0</v>
      </c>
      <c r="J46" s="45">
        <f>COUNTIFS(URABA!A:A,"San Juan De Urabá",URABA!S:S,"ALTO")</f>
        <v>0</v>
      </c>
      <c r="K46" s="49">
        <f>(J46/$B$46)*100</f>
        <v>0</v>
      </c>
      <c r="L46" s="45">
        <f>COUNTIFS(URABA!A:A,"San Juan De Urabá",URABA!S:S,"INVIABLE SANITARIAMENTE")</f>
        <v>4</v>
      </c>
      <c r="M46" s="49">
        <f>(L46/$B$46)*100</f>
        <v>100</v>
      </c>
      <c r="N46" s="324">
        <f t="shared" si="4"/>
        <v>0</v>
      </c>
      <c r="O46" s="49">
        <f>(N46/$B$46)*100</f>
        <v>0</v>
      </c>
      <c r="P46" s="24"/>
    </row>
    <row r="47" spans="1:16" ht="15.75">
      <c r="A47" s="61" t="s">
        <v>123</v>
      </c>
      <c r="B47" s="45">
        <f>'CONSOLIDADO-ACUEDUCTOSRURALES1'!D27</f>
        <v>6</v>
      </c>
      <c r="C47" s="49">
        <f t="shared" si="5"/>
        <v>4.8</v>
      </c>
      <c r="D47" s="45">
        <f>COUNTIFS(URABA!A:A,"San Pedro de Urabá",URABA!S:S,"SIN RIESGO")</f>
        <v>0</v>
      </c>
      <c r="E47" s="49">
        <f>(D47/$B$47)*100</f>
        <v>0</v>
      </c>
      <c r="F47" s="45">
        <f>COUNTIFS(URABA!A:A,"San Pedro de Urabá",URABA!S:S,"BAJO")</f>
        <v>0</v>
      </c>
      <c r="G47" s="49">
        <f>(F47/$B$47)*100</f>
        <v>0</v>
      </c>
      <c r="H47" s="45">
        <f>COUNTIFS(URABA!A:A,"San Pedro de Urabá",URABA!S:S,"MEDIO")</f>
        <v>0</v>
      </c>
      <c r="I47" s="49">
        <f>(H47/$B$47)*100</f>
        <v>0</v>
      </c>
      <c r="J47" s="45">
        <f>COUNTIFS(URABA!A:A,"San Pedro De Uraba",URABA!S:S,"ALTO")</f>
        <v>0</v>
      </c>
      <c r="K47" s="49">
        <f>(J47/$B$47)*100</f>
        <v>0</v>
      </c>
      <c r="L47" s="45">
        <f>COUNTIFS(URABA!A:A,"San Pedro de Urabá",URABA!S:S,"INVIABLE SANITARIAMENTE")</f>
        <v>4</v>
      </c>
      <c r="M47" s="49">
        <f>(L47/$B$47)*100</f>
        <v>66.666666666666657</v>
      </c>
      <c r="N47" s="324">
        <f t="shared" si="4"/>
        <v>2</v>
      </c>
      <c r="O47" s="49">
        <f>(N47/$B$47)*100</f>
        <v>33.333333333333329</v>
      </c>
      <c r="P47" s="24"/>
    </row>
    <row r="48" spans="1:16" ht="15.75">
      <c r="A48" s="61" t="s">
        <v>124</v>
      </c>
      <c r="B48" s="45">
        <f>'CONSOLIDADO-ACUEDUCTOSRURALES1'!D28</f>
        <v>0</v>
      </c>
      <c r="C48" s="49">
        <f t="shared" si="5"/>
        <v>0</v>
      </c>
      <c r="D48" s="45">
        <f>COUNTIFS(URABA!A:A,"Vigia Del Fuerte",URABA!S:S,"SIN RIESGO")</f>
        <v>0</v>
      </c>
      <c r="E48" s="49">
        <v>0</v>
      </c>
      <c r="F48" s="45">
        <f>COUNTIFS(URABA!A:A,"Vigia Del Fuerte",URABA!S:S,"BAJO")</f>
        <v>0</v>
      </c>
      <c r="G48" s="49">
        <v>0</v>
      </c>
      <c r="H48" s="45">
        <f>COUNTIFS(URABA!A:A,"Vigia Del Fuerte",URABA!S:S,"MEDIO")</f>
        <v>0</v>
      </c>
      <c r="I48" s="49">
        <v>0</v>
      </c>
      <c r="J48" s="45">
        <f>COUNTIFS(URABA!A:A,"Vigia Del Fuerte",URABA!S:S,"ALTO")</f>
        <v>0</v>
      </c>
      <c r="K48" s="49">
        <v>0</v>
      </c>
      <c r="L48" s="45">
        <f>COUNTIFS(URABA!A:A,"Vigia Del Fuerte",URABA!S:S,"INVIABLE SANITARIAMENTE")</f>
        <v>0</v>
      </c>
      <c r="M48" s="49">
        <v>0</v>
      </c>
      <c r="N48" s="324">
        <f t="shared" si="4"/>
        <v>0</v>
      </c>
      <c r="O48" s="49">
        <v>0</v>
      </c>
      <c r="P48" s="24"/>
    </row>
    <row r="49" spans="1:16" ht="15.75">
      <c r="A49" s="61" t="s">
        <v>125</v>
      </c>
      <c r="B49" s="45">
        <f>'CONSOLIDADO-ACUEDUCTOSRURALES1'!D29</f>
        <v>23</v>
      </c>
      <c r="C49" s="49">
        <f t="shared" si="5"/>
        <v>18.399999999999999</v>
      </c>
      <c r="D49" s="45">
        <f>COUNTIFS(URABA!A:A,"Turbo",URABA!S:S,"SIN RIESGO")</f>
        <v>3</v>
      </c>
      <c r="E49" s="49">
        <f>(D49/$B$49)*100</f>
        <v>13.043478260869565</v>
      </c>
      <c r="F49" s="45">
        <f>COUNTIFS(URABA!A:A,"Turbo",URABA!S:S,"BAJO")</f>
        <v>0</v>
      </c>
      <c r="G49" s="49">
        <f>(F49/$B$49)*100</f>
        <v>0</v>
      </c>
      <c r="H49" s="45">
        <f>COUNTIFS(URABA!A:A,"Turbo",URABA!S:S,"MEDIO")</f>
        <v>0</v>
      </c>
      <c r="I49" s="49">
        <f>(H49/$B$49)*100</f>
        <v>0</v>
      </c>
      <c r="J49" s="45">
        <f>COUNTIFS(URABA!A:A,"Turbo",URABA!S:S,"ALTO")</f>
        <v>3</v>
      </c>
      <c r="K49" s="49">
        <f>(J49/$B$49)*100</f>
        <v>13.043478260869565</v>
      </c>
      <c r="L49" s="45">
        <f>COUNTIFS(URABA!A:A,"Turbo",URABA!S:S,"INVIABLE SANITARIAMENTE")</f>
        <v>5</v>
      </c>
      <c r="M49" s="49">
        <f>(L49/$B$49)*100</f>
        <v>21.739130434782609</v>
      </c>
      <c r="N49" s="324">
        <f t="shared" si="4"/>
        <v>12</v>
      </c>
      <c r="O49" s="49">
        <f>(N49/$B$49)*100</f>
        <v>52.173913043478258</v>
      </c>
      <c r="P49" s="24"/>
    </row>
    <row r="50" spans="1:16" s="23" customFormat="1" ht="24.75" customHeight="1">
      <c r="A50" s="75" t="s">
        <v>225</v>
      </c>
      <c r="B50" s="76">
        <f>SUM(B39:B49)</f>
        <v>125</v>
      </c>
      <c r="C50" s="77">
        <f>SUM(C39:C49)</f>
        <v>100</v>
      </c>
      <c r="D50" s="76">
        <f>SUM(D39:D49)</f>
        <v>12</v>
      </c>
      <c r="E50" s="77">
        <f>(D50/$B$50)*100</f>
        <v>9.6</v>
      </c>
      <c r="F50" s="76">
        <f>SUM(F39:F49)</f>
        <v>2</v>
      </c>
      <c r="G50" s="77">
        <f>(F50/$B$50)*100</f>
        <v>1.6</v>
      </c>
      <c r="H50" s="76">
        <f>SUM(H39:H49)</f>
        <v>5</v>
      </c>
      <c r="I50" s="77">
        <f>(H50/$B$50)*100</f>
        <v>4</v>
      </c>
      <c r="J50" s="76">
        <f>SUM(J39:J49)</f>
        <v>18</v>
      </c>
      <c r="K50" s="77">
        <f>(J50/$B$50)*100</f>
        <v>14.399999999999999</v>
      </c>
      <c r="L50" s="76">
        <f>SUM(L39:L49)</f>
        <v>56</v>
      </c>
      <c r="M50" s="77">
        <f>(L50/$B$50)*100</f>
        <v>44.800000000000004</v>
      </c>
      <c r="N50" s="76">
        <f>SUM(N39:N49)</f>
        <v>32</v>
      </c>
      <c r="O50" s="77">
        <f>(N50/$B$50)*100</f>
        <v>25.6</v>
      </c>
      <c r="P50" s="26"/>
    </row>
    <row r="51" spans="1:16">
      <c r="A51" s="33"/>
      <c r="B51" s="65"/>
      <c r="C51" s="33"/>
      <c r="D51" s="65"/>
      <c r="E51" s="33"/>
      <c r="F51" s="65"/>
      <c r="G51" s="33"/>
      <c r="H51" s="65"/>
      <c r="I51" s="33"/>
      <c r="J51" s="65"/>
      <c r="K51" s="33"/>
      <c r="L51" s="65"/>
      <c r="M51" s="33"/>
      <c r="N51" s="65"/>
      <c r="O51" s="33"/>
      <c r="P51" s="4"/>
    </row>
    <row r="52" spans="1:16">
      <c r="A52" s="33"/>
      <c r="B52" s="65"/>
      <c r="C52" s="33"/>
      <c r="D52" s="65"/>
      <c r="E52" s="33"/>
      <c r="F52" s="65"/>
      <c r="G52" s="33"/>
      <c r="H52" s="65"/>
      <c r="I52" s="33"/>
      <c r="J52" s="65"/>
      <c r="K52" s="33"/>
      <c r="L52" s="65"/>
      <c r="M52" s="33"/>
      <c r="N52" s="65"/>
      <c r="O52" s="33"/>
      <c r="P52" s="4"/>
    </row>
    <row r="53" spans="1:16">
      <c r="A53" s="33"/>
      <c r="B53" s="65"/>
      <c r="C53" s="33"/>
      <c r="D53" s="65"/>
      <c r="E53" s="33"/>
      <c r="F53" s="65"/>
      <c r="G53" s="33"/>
      <c r="H53" s="65"/>
      <c r="I53" s="33"/>
      <c r="J53" s="65"/>
      <c r="K53" s="33"/>
      <c r="L53" s="65"/>
      <c r="M53" s="33"/>
      <c r="N53" s="65"/>
      <c r="O53" s="33"/>
      <c r="P53" s="4"/>
    </row>
    <row r="54" spans="1:16" ht="21.75" customHeight="1">
      <c r="A54" s="591" t="s">
        <v>4561</v>
      </c>
      <c r="B54" s="594"/>
      <c r="C54" s="594"/>
      <c r="D54" s="594"/>
      <c r="E54" s="594"/>
      <c r="F54" s="594"/>
      <c r="G54" s="594"/>
      <c r="H54" s="594"/>
      <c r="I54" s="594"/>
      <c r="J54" s="594"/>
      <c r="K54" s="594"/>
      <c r="L54" s="594"/>
      <c r="M54" s="594"/>
      <c r="N54" s="594"/>
      <c r="O54" s="595"/>
      <c r="P54" s="24"/>
    </row>
    <row r="55" spans="1:16" ht="120.75" customHeight="1">
      <c r="A55" s="389" t="s">
        <v>11</v>
      </c>
      <c r="B55" s="71" t="s">
        <v>256</v>
      </c>
      <c r="C55" s="389" t="s">
        <v>105</v>
      </c>
      <c r="D55" s="392" t="s">
        <v>250</v>
      </c>
      <c r="E55" s="389" t="s">
        <v>105</v>
      </c>
      <c r="F55" s="393" t="s">
        <v>251</v>
      </c>
      <c r="G55" s="389" t="s">
        <v>105</v>
      </c>
      <c r="H55" s="394" t="s">
        <v>252</v>
      </c>
      <c r="I55" s="389" t="s">
        <v>105</v>
      </c>
      <c r="J55" s="395" t="s">
        <v>253</v>
      </c>
      <c r="K55" s="389" t="s">
        <v>105</v>
      </c>
      <c r="L55" s="396" t="s">
        <v>254</v>
      </c>
      <c r="M55" s="389" t="s">
        <v>105</v>
      </c>
      <c r="N55" s="71" t="s">
        <v>255</v>
      </c>
      <c r="O55" s="389" t="s">
        <v>105</v>
      </c>
      <c r="P55" s="24"/>
    </row>
    <row r="56" spans="1:16" ht="15.75">
      <c r="A56" s="461" t="s">
        <v>127</v>
      </c>
      <c r="B56" s="45">
        <f>'CONSOLIDADO-ACUEDUCTOSRURALES1'!D31</f>
        <v>24</v>
      </c>
      <c r="C56" s="49">
        <f>(B56/$B$73)*100</f>
        <v>9.2664092664092657</v>
      </c>
      <c r="D56" s="45">
        <f>COUNTIFS(NORTE!A:A,"Angostura",NORTE!S:S,"SIN RIESGO")</f>
        <v>0</v>
      </c>
      <c r="E56" s="49">
        <f>(D56/$B$56)*100</f>
        <v>0</v>
      </c>
      <c r="F56" s="363">
        <f>COUNTIFS(NORTE!A:A,"Angostura",NORTE!S:S,"BAJO")</f>
        <v>1</v>
      </c>
      <c r="G56" s="49">
        <f>(F56/$B$56)*100</f>
        <v>4.1666666666666661</v>
      </c>
      <c r="H56" s="45">
        <f>COUNTIFS(NORTE!A:A,"Angostura",NORTE!S:S,"MEDIO")</f>
        <v>0</v>
      </c>
      <c r="I56" s="49">
        <f>(H56/$B$56)*100</f>
        <v>0</v>
      </c>
      <c r="J56" s="332">
        <f>COUNTIFS(NORTE!A:A,"Angostura",NORTE!S:S,"ALTO")</f>
        <v>0</v>
      </c>
      <c r="K56" s="49">
        <f>(J56/$B$56)*100</f>
        <v>0</v>
      </c>
      <c r="L56" s="332">
        <f>COUNTIFS(NORTE!A:A,"Angostura",NORTE!S:S,"INVIABLE SANITARIAMENTE")</f>
        <v>6</v>
      </c>
      <c r="M56" s="49">
        <f>(L56/$B$56)*100</f>
        <v>25</v>
      </c>
      <c r="N56" s="45">
        <f>B56-(D56+F56+H56+J56+L56)</f>
        <v>17</v>
      </c>
      <c r="O56" s="49">
        <f>(N56/$B$56)*100</f>
        <v>70.833333333333343</v>
      </c>
      <c r="P56" s="24"/>
    </row>
    <row r="57" spans="1:16" ht="15.75">
      <c r="A57" s="461" t="s">
        <v>128</v>
      </c>
      <c r="B57" s="45">
        <f>'CONSOLIDADO-ACUEDUCTOSRURALES1'!D32</f>
        <v>9</v>
      </c>
      <c r="C57" s="49">
        <f>(B57/$B$73)*100</f>
        <v>3.4749034749034751</v>
      </c>
      <c r="D57" s="324">
        <f>COUNTIFS(NORTE!A:A,"Belmira",NORTE!S:S,"SIN RIESGO")</f>
        <v>2</v>
      </c>
      <c r="E57" s="49">
        <f>(D57/$B$57)*100</f>
        <v>22.222222222222221</v>
      </c>
      <c r="F57" s="332">
        <f>COUNTIFS(NORTE!A:A,"Belmira",NORTE!S:S,"BAJO")</f>
        <v>0</v>
      </c>
      <c r="G57" s="49">
        <f>(F57/$B$57)*100</f>
        <v>0</v>
      </c>
      <c r="H57" s="361">
        <f>COUNTIFS(NORTE!A:A,"Belmira",NORTE!S:S,"MEDIO")</f>
        <v>0</v>
      </c>
      <c r="I57" s="49">
        <f>(H57/$B$57)*100</f>
        <v>0</v>
      </c>
      <c r="J57" s="332">
        <f>COUNTIFS(NORTE!A:A,"Belmira",NORTE!S:S,"ALTO")</f>
        <v>0</v>
      </c>
      <c r="K57" s="49">
        <f>(J57/$B$57)*100</f>
        <v>0</v>
      </c>
      <c r="L57" s="332">
        <f>COUNTIFS(NORTE!A:A,"Belmira",NORTE!S:S,"INVIABLE SANITARIAMENTE")</f>
        <v>7</v>
      </c>
      <c r="M57" s="49">
        <f>(L57/$B$57)*100</f>
        <v>77.777777777777786</v>
      </c>
      <c r="N57" s="324">
        <f t="shared" ref="N57:N72" si="6">B57-(D57+F57+H57+J57+L57)</f>
        <v>0</v>
      </c>
      <c r="O57" s="49">
        <f>(N57/$B$57)*100</f>
        <v>0</v>
      </c>
      <c r="P57" s="24"/>
    </row>
    <row r="58" spans="1:16" ht="15.75">
      <c r="A58" s="461" t="s">
        <v>129</v>
      </c>
      <c r="B58" s="45">
        <f>'CONSOLIDADO-ACUEDUCTOSRURALES1'!D33</f>
        <v>13</v>
      </c>
      <c r="C58" s="49">
        <f t="shared" ref="C58:C72" si="7">(B58/$B$73)*100</f>
        <v>5.019305019305019</v>
      </c>
      <c r="D58" s="324">
        <f>COUNTIFS(NORTE!A:A,"Briceño",NORTE!S:S,"SIN RIESGO")</f>
        <v>0</v>
      </c>
      <c r="E58" s="49">
        <f>(D58/$B$58)*100</f>
        <v>0</v>
      </c>
      <c r="F58" s="332">
        <f>COUNTIFS(NORTE!C:C,"Briceño",NORTE!U:U, "BAJO")</f>
        <v>0</v>
      </c>
      <c r="G58" s="49">
        <f>(F58/$B$58)*100</f>
        <v>0</v>
      </c>
      <c r="H58" s="361">
        <f>COUNTIFS(NORTE!A:A,"Briceño",NORTE!S:S,"MEDIO")</f>
        <v>0</v>
      </c>
      <c r="I58" s="49">
        <f>(H58/$B$58)*100</f>
        <v>0</v>
      </c>
      <c r="J58" s="332">
        <f>COUNTIFS(NORTE!A:A,"Briceño",NORTE!S:S,"ALTO")</f>
        <v>4</v>
      </c>
      <c r="K58" s="49">
        <f>(J58/$B$58)*100</f>
        <v>30.76923076923077</v>
      </c>
      <c r="L58" s="332">
        <f>COUNTIFS(NORTE!A:A,"Briceño",NORTE!S:S,"INVIABLE SANITARIAMENTE")</f>
        <v>8</v>
      </c>
      <c r="M58" s="49">
        <f>(L58/$B$58)*100</f>
        <v>61.53846153846154</v>
      </c>
      <c r="N58" s="324">
        <f t="shared" si="6"/>
        <v>1</v>
      </c>
      <c r="O58" s="49">
        <f>(N58/$B$58)*100</f>
        <v>7.6923076923076925</v>
      </c>
      <c r="P58" s="24"/>
    </row>
    <row r="59" spans="1:16" ht="15.75">
      <c r="A59" s="461" t="s">
        <v>130</v>
      </c>
      <c r="B59" s="45">
        <f>'CONSOLIDADO-ACUEDUCTOSRURALES1'!D34</f>
        <v>17</v>
      </c>
      <c r="C59" s="49">
        <f t="shared" si="7"/>
        <v>6.563706563706563</v>
      </c>
      <c r="D59" s="324">
        <f>COUNTIFS(NORTE!A:A,"Campamento",NORTE!S:S,"SIN RIESGO")</f>
        <v>0</v>
      </c>
      <c r="E59" s="49">
        <f>(D59/$B$59)*100</f>
        <v>0</v>
      </c>
      <c r="F59" s="332">
        <f>COUNTIFS(NORTE!A:A,"Campamento",NORTE!S:S, "BAJO")</f>
        <v>0</v>
      </c>
      <c r="G59" s="49">
        <f>(F59/$B$59)*100</f>
        <v>0</v>
      </c>
      <c r="H59" s="361">
        <f>COUNTIFS(NORTE!A:A,"Campamento",NORTE!S:S,"MEDIO")</f>
        <v>0</v>
      </c>
      <c r="I59" s="49">
        <f>(H59/$B$59)*100</f>
        <v>0</v>
      </c>
      <c r="J59" s="335">
        <f>COUNTIFS(NORTE!A:A,"Campamento",NORTE!S:S,"ALTO")</f>
        <v>0</v>
      </c>
      <c r="K59" s="49">
        <f>(J59/$B$59)*100</f>
        <v>0</v>
      </c>
      <c r="L59" s="335">
        <f>COUNTIFS(NORTE!A:A,"Campamento",NORTE!S:S,"INVIABLE SANITARIAMENTE")</f>
        <v>1</v>
      </c>
      <c r="M59" s="49">
        <f>(L59/$B$59)*100</f>
        <v>5.8823529411764701</v>
      </c>
      <c r="N59" s="324">
        <f t="shared" si="6"/>
        <v>16</v>
      </c>
      <c r="O59" s="49">
        <f>(N59/$B$59)*100</f>
        <v>94.117647058823522</v>
      </c>
      <c r="P59" s="24"/>
    </row>
    <row r="60" spans="1:16" ht="15.75">
      <c r="A60" s="461" t="s">
        <v>131</v>
      </c>
      <c r="B60" s="45">
        <f>'CONSOLIDADO-ACUEDUCTOSRURALES1'!D35</f>
        <v>7</v>
      </c>
      <c r="C60" s="49">
        <f t="shared" si="7"/>
        <v>2.7027027027027026</v>
      </c>
      <c r="D60" s="324">
        <f>COUNTIFS(NORTE!A:A,"Carolina del Príncipe",NORTE!S:S,"SIN RIESGO")</f>
        <v>3</v>
      </c>
      <c r="E60" s="49">
        <f>(D60/$B$60)*100</f>
        <v>42.857142857142854</v>
      </c>
      <c r="F60" s="364">
        <f>COUNTIFS(NORTE!A:A,"Carolina del Príncipe",NORTE!S:S, "BAJO")</f>
        <v>0</v>
      </c>
      <c r="G60" s="49">
        <f>(F60/$B$60)*100</f>
        <v>0</v>
      </c>
      <c r="H60" s="361">
        <f>COUNTIFS(NORTE!A:A,"Carolina del Príncipe",NORTE!S:S,"MEDIO")</f>
        <v>0</v>
      </c>
      <c r="I60" s="49">
        <f>(H60/$B$60)*100</f>
        <v>0</v>
      </c>
      <c r="J60" s="335">
        <f>COUNTIFS(NORTE!A:A,"Carolina del Príncipe",NORTE!S:S,"ALTO")</f>
        <v>1</v>
      </c>
      <c r="K60" s="49">
        <f>(J60/$B$60)*100</f>
        <v>14.285714285714285</v>
      </c>
      <c r="L60" s="335">
        <f>COUNTIFS(NORTE!A:A,"Carolina del Príncipe",NORTE!S:S,"INVIABLE SANITARIAMENTE")</f>
        <v>0</v>
      </c>
      <c r="M60" s="49">
        <f>(L60/$B$60)*100</f>
        <v>0</v>
      </c>
      <c r="N60" s="324">
        <f t="shared" si="6"/>
        <v>3</v>
      </c>
      <c r="O60" s="49">
        <f>(N60/$B$60)*100</f>
        <v>42.857142857142854</v>
      </c>
      <c r="P60" s="24"/>
    </row>
    <row r="61" spans="1:16" ht="15.75">
      <c r="A61" s="461" t="s">
        <v>132</v>
      </c>
      <c r="B61" s="45">
        <f>'CONSOLIDADO-ACUEDUCTOSRURALES1'!D36</f>
        <v>5</v>
      </c>
      <c r="C61" s="49">
        <f t="shared" si="7"/>
        <v>1.9305019305019304</v>
      </c>
      <c r="D61" s="324">
        <f>COUNTIFS(NORTE!A:A,"Don Matías",NORTE!S:S, "SIN RIESGO")</f>
        <v>0</v>
      </c>
      <c r="E61" s="49">
        <f>(D61/$B$61)*100</f>
        <v>0</v>
      </c>
      <c r="F61" s="364">
        <f>COUNTIFS(NORTE!A:A,"Don Matías",NORTE!S:S, "BAJO")</f>
        <v>2</v>
      </c>
      <c r="G61" s="49">
        <f>(F61/$B$61)*100</f>
        <v>40</v>
      </c>
      <c r="H61" s="361">
        <f>COUNTIFS(NORTE!A:A,"Don Matías",NORTE!S:S,"MEDIO")</f>
        <v>0</v>
      </c>
      <c r="I61" s="49">
        <f>(H61/$B$61)*100</f>
        <v>0</v>
      </c>
      <c r="J61" s="335">
        <f>COUNTIFS(NORTE!A:A,"Don Matías",NORTE!S:S,"ALTO")</f>
        <v>2</v>
      </c>
      <c r="K61" s="49">
        <f>(J61/$B$61)*100</f>
        <v>40</v>
      </c>
      <c r="L61" s="335">
        <f>COUNTIFS(NORTE!A:A,"Don Matías",NORTE!S:S,"INVIABLE SANITARIAMENTE")</f>
        <v>1</v>
      </c>
      <c r="M61" s="49">
        <f>(L61/$B$61)*100</f>
        <v>20</v>
      </c>
      <c r="N61" s="324">
        <f t="shared" si="6"/>
        <v>0</v>
      </c>
      <c r="O61" s="49">
        <f>(N61/$B$61)*100</f>
        <v>0</v>
      </c>
      <c r="P61" s="24"/>
    </row>
    <row r="62" spans="1:16" ht="15.75">
      <c r="A62" s="461" t="s">
        <v>4089</v>
      </c>
      <c r="B62" s="45">
        <f>'CONSOLIDADO-ACUEDUCTOSRURALES1'!D37</f>
        <v>11</v>
      </c>
      <c r="C62" s="49">
        <f t="shared" si="7"/>
        <v>4.2471042471042466</v>
      </c>
      <c r="D62" s="331">
        <f>COUNTIFS(NORTE!A:A,"Entrerríos",NORTE!S:S, "SIN RIESGO")</f>
        <v>6</v>
      </c>
      <c r="E62" s="49">
        <f>(D62/$B$62)*100</f>
        <v>54.54545454545454</v>
      </c>
      <c r="F62" s="364">
        <f>COUNTIFS(NORTE!A:A,"Entrerríos",NORTE!S:S,"BAJO")</f>
        <v>0</v>
      </c>
      <c r="G62" s="49">
        <f>(F62/$B$62)*100</f>
        <v>0</v>
      </c>
      <c r="H62" s="361">
        <f>COUNTIFS(NORTE!A:A,"Entrerríos",NORTE!S:S,"MEDIO")</f>
        <v>1</v>
      </c>
      <c r="I62" s="49">
        <f>(H62/$B$62)*100</f>
        <v>9.0909090909090917</v>
      </c>
      <c r="J62" s="335">
        <f>COUNTIFS(NORTE!A:A,"Entrerríos",NORTE!S:S,"ALTO")</f>
        <v>4</v>
      </c>
      <c r="K62" s="49">
        <f>(J62/$B$62)*100</f>
        <v>36.363636363636367</v>
      </c>
      <c r="L62" s="335">
        <f>COUNTIFS(NORTE!A:A,"Entrerríos",NORTE!S:S,"INVIABLE SANITARIAMENTE")</f>
        <v>0</v>
      </c>
      <c r="M62" s="49">
        <f>(L62/$B$62)*100</f>
        <v>0</v>
      </c>
      <c r="N62" s="324">
        <f t="shared" si="6"/>
        <v>0</v>
      </c>
      <c r="O62" s="49">
        <f>(N62/$B$62)*100</f>
        <v>0</v>
      </c>
      <c r="P62" s="24"/>
    </row>
    <row r="63" spans="1:16" ht="15.75">
      <c r="A63" s="461" t="s">
        <v>133</v>
      </c>
      <c r="B63" s="45">
        <f>'CONSOLIDADO-ACUEDUCTOSRURALES1'!D38</f>
        <v>21</v>
      </c>
      <c r="C63" s="49">
        <f t="shared" si="7"/>
        <v>8.1081081081081088</v>
      </c>
      <c r="D63" s="331">
        <f>COUNTIFS(NORTE!A:A,"Gómez Plata",NORTE!S:S, "SIN RIESGO")</f>
        <v>0</v>
      </c>
      <c r="E63" s="49">
        <f>(D63/$B$63)*100</f>
        <v>0</v>
      </c>
      <c r="F63" s="364">
        <f>COUNTIFS(NORTE!A:A,"Gómez Plata",NORTE!S:S, "BAJO")</f>
        <v>0</v>
      </c>
      <c r="G63" s="49">
        <f>(F63/$B$63)*100</f>
        <v>0</v>
      </c>
      <c r="H63" s="361">
        <f>COUNTIFS(NORTE!A:A,"Gómez Plata",NORTE!S:S,"MEDIO")</f>
        <v>1</v>
      </c>
      <c r="I63" s="49">
        <f>(H63/$B$63)*100</f>
        <v>4.7619047619047619</v>
      </c>
      <c r="J63" s="335">
        <f>COUNTIFS(NORTE!A:A,"Gómez Plata",NORTE!S:S,"ALTO")</f>
        <v>4</v>
      </c>
      <c r="K63" s="49">
        <f>(J63/$B$63)*100</f>
        <v>19.047619047619047</v>
      </c>
      <c r="L63" s="335">
        <f>COUNTIFS(NORTE!A:A,"Gómez Plata",NORTE!S:S,"INVIABLE SANITARIAMENTE")</f>
        <v>9</v>
      </c>
      <c r="M63" s="49">
        <f>(L63/$B$63)*100</f>
        <v>42.857142857142854</v>
      </c>
      <c r="N63" s="324">
        <f t="shared" si="6"/>
        <v>7</v>
      </c>
      <c r="O63" s="49">
        <f>(N63/$B$63)*100</f>
        <v>33.333333333333329</v>
      </c>
      <c r="P63" s="24"/>
    </row>
    <row r="64" spans="1:16" ht="15.75">
      <c r="A64" s="461" t="s">
        <v>134</v>
      </c>
      <c r="B64" s="45">
        <f>'CONSOLIDADO-ACUEDUCTOSRURALES1'!D39</f>
        <v>14</v>
      </c>
      <c r="C64" s="49">
        <f t="shared" si="7"/>
        <v>5.4054054054054053</v>
      </c>
      <c r="D64" s="331">
        <f>COUNTIFS(NORTE!A:A,"Guadalupe",NORTE!S:S, "SIN RIESGO")</f>
        <v>4</v>
      </c>
      <c r="E64" s="49">
        <f>(D64/$B$64)*100</f>
        <v>28.571428571428569</v>
      </c>
      <c r="F64" s="364">
        <f>COUNTIFS(NORTE!A:A,"Guadalupe",NORTE!S:S, "BAJO")</f>
        <v>0</v>
      </c>
      <c r="G64" s="49">
        <f>(F64/$B$64)*100</f>
        <v>0</v>
      </c>
      <c r="H64" s="361">
        <f>COUNTIFS(NORTE!A:A,"Guadalupe",NORTE!S:S,"MEDIO")</f>
        <v>0</v>
      </c>
      <c r="I64" s="49">
        <f>(H64/$B$64)*100</f>
        <v>0</v>
      </c>
      <c r="J64" s="335">
        <f>COUNTIFS(NORTE!A:A,"Guadalupe",NORTE!S:S,"ALTO")</f>
        <v>0</v>
      </c>
      <c r="K64" s="49">
        <f>(J64/$B$64)*100</f>
        <v>0</v>
      </c>
      <c r="L64" s="335">
        <f>COUNTIFS(NORTE!A:A,"Guadalupe",NORTE!S:S,"INVIABLE SANITARIAMENTE")</f>
        <v>5</v>
      </c>
      <c r="M64" s="49">
        <f>(L64/$B$64)*100</f>
        <v>35.714285714285715</v>
      </c>
      <c r="N64" s="324">
        <f t="shared" si="6"/>
        <v>5</v>
      </c>
      <c r="O64" s="49">
        <f>(N64/$B$64)*100</f>
        <v>35.714285714285715</v>
      </c>
      <c r="P64" s="24"/>
    </row>
    <row r="65" spans="1:16" ht="15.75">
      <c r="A65" s="461" t="s">
        <v>135</v>
      </c>
      <c r="B65" s="45">
        <f>'CONSOLIDADO-ACUEDUCTOSRURALES1'!D40</f>
        <v>38</v>
      </c>
      <c r="C65" s="49">
        <f t="shared" si="7"/>
        <v>14.671814671814673</v>
      </c>
      <c r="D65" s="331">
        <f>COUNTIFS(NORTE!A:A,"Ituango",NORTE!S:S, "SIN RIESGO")</f>
        <v>0</v>
      </c>
      <c r="E65" s="49">
        <f>(D65/$B$65)*100</f>
        <v>0</v>
      </c>
      <c r="F65" s="364">
        <f>COUNTIFS(NORTE!A:A,"Ituango",NORTE!S:S, "BAJO")</f>
        <v>0</v>
      </c>
      <c r="G65" s="49">
        <f>(F65/$B$65)*100</f>
        <v>0</v>
      </c>
      <c r="H65" s="361">
        <f>COUNTIFS(NORTE!A:A,"Ituango",NORTE!S:S,"MEDIO")</f>
        <v>0</v>
      </c>
      <c r="I65" s="49">
        <f>(H65/$B$65)*100</f>
        <v>0</v>
      </c>
      <c r="J65" s="335">
        <f>COUNTIFS(NORTE!A:A,"Ituango",NORTE!S:S,"ALTO")</f>
        <v>0</v>
      </c>
      <c r="K65" s="49">
        <f>(J65/$B$65)*100</f>
        <v>0</v>
      </c>
      <c r="L65" s="335">
        <f>COUNTIFS(NORTE!A:A,"Ituango",NORTE!S:S,"INVIABLE SANITARIAMENTE")</f>
        <v>19</v>
      </c>
      <c r="M65" s="49">
        <f>(L65/$B$65)*100</f>
        <v>50</v>
      </c>
      <c r="N65" s="324">
        <f t="shared" si="6"/>
        <v>19</v>
      </c>
      <c r="O65" s="49">
        <f>(N65/$B$65)*100</f>
        <v>50</v>
      </c>
      <c r="P65" s="24"/>
    </row>
    <row r="66" spans="1:16" ht="15.75">
      <c r="A66" s="461" t="s">
        <v>136</v>
      </c>
      <c r="B66" s="45">
        <f>'CONSOLIDADO-ACUEDUCTOSRURALES1'!D41</f>
        <v>18</v>
      </c>
      <c r="C66" s="49">
        <f t="shared" si="7"/>
        <v>6.9498069498069501</v>
      </c>
      <c r="D66" s="331">
        <f>COUNTIFS(NORTE!A:A,"San Andrés de Cuerquia",NORTE!S:S, "SIN RIESGO")</f>
        <v>0</v>
      </c>
      <c r="E66" s="49">
        <f>(D66/$B$66)*100</f>
        <v>0</v>
      </c>
      <c r="F66" s="364">
        <f>COUNTIFS(NORTE!A:A,"San Andrés de Cuerquia",NORTE!S:S, "BAJO")</f>
        <v>0</v>
      </c>
      <c r="G66" s="49">
        <f>(F66/$B$66)*100</f>
        <v>0</v>
      </c>
      <c r="H66" s="361">
        <f>COUNTIFS(NORTE!A:A,"San Andrés de Cuerquia",NORTE!S:S,"MEDIO")</f>
        <v>0</v>
      </c>
      <c r="I66" s="49">
        <f>(H66/$B$66)*100</f>
        <v>0</v>
      </c>
      <c r="J66" s="335">
        <f>COUNTIFS(NORTE!A:A,"San Andrés de Cuerquia",NORTE!S:S,"ALTO")</f>
        <v>5</v>
      </c>
      <c r="K66" s="49">
        <f>(J66/$B$66)*100</f>
        <v>27.777777777777779</v>
      </c>
      <c r="L66" s="335">
        <f>COUNTIFS(NORTE!A:A,"San Andrés de Cuerquia",NORTE!S:S,"INVIABLE SANITARIAMENTE")</f>
        <v>1</v>
      </c>
      <c r="M66" s="49">
        <f>(L66/$B$66)*100</f>
        <v>5.5555555555555554</v>
      </c>
      <c r="N66" s="324">
        <f t="shared" si="6"/>
        <v>12</v>
      </c>
      <c r="O66" s="49">
        <f>(N66/$B$66)*100</f>
        <v>66.666666666666657</v>
      </c>
      <c r="P66" s="24"/>
    </row>
    <row r="67" spans="1:16" ht="15.75">
      <c r="A67" s="461" t="s">
        <v>137</v>
      </c>
      <c r="B67" s="45">
        <f>'CONSOLIDADO-ACUEDUCTOSRURALES1'!D42</f>
        <v>4</v>
      </c>
      <c r="C67" s="49">
        <f t="shared" si="7"/>
        <v>1.5444015444015444</v>
      </c>
      <c r="D67" s="331">
        <f>COUNTIFS(NORTE!A:A,"San Jose De La Montaña",NORTE!S:S, "SIN RIESGO")</f>
        <v>0</v>
      </c>
      <c r="E67" s="49">
        <f>(D67/$B$67)*100</f>
        <v>0</v>
      </c>
      <c r="F67" s="364">
        <f>COUNTIFS(NORTE!A:A,"San José de la Montaña",NORTE!S:S, "BAJO")</f>
        <v>0</v>
      </c>
      <c r="G67" s="49">
        <f>(F67/$B$67)*100</f>
        <v>0</v>
      </c>
      <c r="H67" s="361">
        <f>COUNTIFS(NORTE!A:A,"San José de la Montaña",NORTE!S:S,"MEDIO")</f>
        <v>0</v>
      </c>
      <c r="I67" s="49">
        <f>(H67/$B$67)*100</f>
        <v>0</v>
      </c>
      <c r="J67" s="335">
        <f>COUNTIFS(NORTE!A:A,"San José de la Montaña",NORTE!S:S,"ALTO")</f>
        <v>4</v>
      </c>
      <c r="K67" s="49">
        <f>(J67/$B$67)*100</f>
        <v>100</v>
      </c>
      <c r="L67" s="335">
        <f>COUNTIFS(NORTE!A:A,"San José de la Montaña",NORTE!S:S,"INVIABLE SANITARIAMENTE")</f>
        <v>0</v>
      </c>
      <c r="M67" s="49">
        <f>(L67/$B$67)*100</f>
        <v>0</v>
      </c>
      <c r="N67" s="324">
        <f t="shared" si="6"/>
        <v>0</v>
      </c>
      <c r="O67" s="49">
        <f>(N67/$B$67)*100</f>
        <v>0</v>
      </c>
      <c r="P67" s="24"/>
    </row>
    <row r="68" spans="1:16" ht="15.75">
      <c r="A68" s="461" t="s">
        <v>138</v>
      </c>
      <c r="B68" s="45">
        <f>'CONSOLIDADO-ACUEDUCTOSRURALES1'!D43</f>
        <v>16</v>
      </c>
      <c r="C68" s="49">
        <f t="shared" si="7"/>
        <v>6.1776061776061777</v>
      </c>
      <c r="D68" s="331">
        <f>COUNTIFS(NORTE!A:A,"San Pedro De Los Milagros",NORTE!S:S, "SIN RIESGO")</f>
        <v>7</v>
      </c>
      <c r="E68" s="49">
        <f>(D68/$B$68)*100</f>
        <v>43.75</v>
      </c>
      <c r="F68" s="364">
        <f>COUNTIFS(NORTE!A:A,"San Pedro de los Milagros",NORTE!S:S, "BAJO")</f>
        <v>0</v>
      </c>
      <c r="G68" s="49">
        <f>(F68/$B$68)*100</f>
        <v>0</v>
      </c>
      <c r="H68" s="361">
        <f>COUNTIFS(NORTE!A:A,"San Pedro de los Milagros",NORTE!S:S,"MEDIO")</f>
        <v>1</v>
      </c>
      <c r="I68" s="49">
        <f>(H68/$B$68)*100</f>
        <v>6.25</v>
      </c>
      <c r="J68" s="335">
        <f>COUNTIFS(NORTE!A:A,"San Pedro de los Milagros",NORTE!S:S,"ALTO")</f>
        <v>0</v>
      </c>
      <c r="K68" s="49">
        <f>(J68/$B$68)*100</f>
        <v>0</v>
      </c>
      <c r="L68" s="335">
        <f>COUNTIFS(NORTE!A:A,"San Pedro de los Milagros",NORTE!S:S,"INVIABLE SANITARIAMENTE")</f>
        <v>8</v>
      </c>
      <c r="M68" s="49">
        <f>(L68/$B$68)*100</f>
        <v>50</v>
      </c>
      <c r="N68" s="324">
        <f t="shared" si="6"/>
        <v>0</v>
      </c>
      <c r="O68" s="49">
        <f>(N68/$B$68)*100</f>
        <v>0</v>
      </c>
      <c r="P68" s="24"/>
    </row>
    <row r="69" spans="1:16" ht="15.75">
      <c r="A69" s="461" t="s">
        <v>139</v>
      </c>
      <c r="B69" s="45">
        <f>'CONSOLIDADO-ACUEDUCTOSRURALES1'!D44</f>
        <v>30</v>
      </c>
      <c r="C69" s="49">
        <f t="shared" si="7"/>
        <v>11.583011583011583</v>
      </c>
      <c r="D69" s="331">
        <f>COUNTIFS(NORTE!A:A,"Santa Rosa De Osos",NORTE!S:S, "SIN RIESGO")</f>
        <v>4</v>
      </c>
      <c r="E69" s="49">
        <f>(D69/$B$69)*100</f>
        <v>13.333333333333334</v>
      </c>
      <c r="F69" s="364">
        <f>COUNTIFS(NORTE!A:A,"Santa Rosa de Osos",NORTE!S:S, "BAJO")</f>
        <v>2</v>
      </c>
      <c r="G69" s="49">
        <f>(F69/$B$69)*100</f>
        <v>6.666666666666667</v>
      </c>
      <c r="H69" s="361">
        <f>COUNTIFS(NORTE!A:A,"Santa Rosa de Osos",NORTE!S:S,"MEDIO")</f>
        <v>5</v>
      </c>
      <c r="I69" s="49">
        <f>(H69/$B$69)*100</f>
        <v>16.666666666666664</v>
      </c>
      <c r="J69" s="335">
        <f>COUNTIFS(NORTE!A:A,"Santa Rosa de Osos",NORTE!S:S,"ALTO")</f>
        <v>18</v>
      </c>
      <c r="K69" s="49">
        <f>(J69/$B$69)*100</f>
        <v>60</v>
      </c>
      <c r="L69" s="335">
        <f>COUNTIFS(NORTE!A:A,"Santa Rosa de Osos",NORTE!S:S,"INVIABLE SANITARIAMENTE")</f>
        <v>1</v>
      </c>
      <c r="M69" s="49">
        <f>(L69/$B$69)*100</f>
        <v>3.3333333333333335</v>
      </c>
      <c r="N69" s="324">
        <f t="shared" si="6"/>
        <v>0</v>
      </c>
      <c r="O69" s="49">
        <f>(N69/$B$69)*100</f>
        <v>0</v>
      </c>
      <c r="P69" s="24"/>
    </row>
    <row r="70" spans="1:16" ht="15.75">
      <c r="A70" s="461" t="s">
        <v>140</v>
      </c>
      <c r="B70" s="45">
        <f>'CONSOLIDADO-ACUEDUCTOSRURALES1'!D45</f>
        <v>12</v>
      </c>
      <c r="C70" s="49">
        <f t="shared" si="7"/>
        <v>4.6332046332046328</v>
      </c>
      <c r="D70" s="331">
        <f>COUNTIFS(NORTE!A:A,"Toledo",NORTE!S:S, "SIN RIESGO")</f>
        <v>3</v>
      </c>
      <c r="E70" s="49">
        <f>(D70/$B$70)*100</f>
        <v>25</v>
      </c>
      <c r="F70" s="364">
        <f>COUNTIFS(NORTE!A:A,"Toledo",NORTE!S:S, "BAJO")</f>
        <v>0</v>
      </c>
      <c r="G70" s="49">
        <f>(F70/$B$70)*100</f>
        <v>0</v>
      </c>
      <c r="H70" s="361">
        <f>COUNTIFS(NORTE!A:A,"Toledo",NORTE!S:S,"MEDIO")</f>
        <v>0</v>
      </c>
      <c r="I70" s="49">
        <f>(H70/$B$70)*100</f>
        <v>0</v>
      </c>
      <c r="J70" s="335">
        <f>COUNTIFS(NORTE!A:A,"Toledo",NORTE!S:S,"ALTO")</f>
        <v>0</v>
      </c>
      <c r="K70" s="49">
        <f>(J70/$B$70)*100</f>
        <v>0</v>
      </c>
      <c r="L70" s="335">
        <f>COUNTIFS(NORTE!A:A,"Toledo",NORTE!S:S,"INVIABLE SANITARIAMENTE")</f>
        <v>7</v>
      </c>
      <c r="M70" s="49">
        <f>(L70/$B$70)*100</f>
        <v>58.333333333333336</v>
      </c>
      <c r="N70" s="324">
        <f t="shared" si="6"/>
        <v>2</v>
      </c>
      <c r="O70" s="49">
        <f>(N70/$B$70)*100</f>
        <v>16.666666666666664</v>
      </c>
      <c r="P70" s="24"/>
    </row>
    <row r="71" spans="1:16" ht="15.75">
      <c r="A71" s="461" t="s">
        <v>141</v>
      </c>
      <c r="B71" s="45">
        <f>'CONSOLIDADO-ACUEDUCTOSRURALES1'!D46</f>
        <v>8</v>
      </c>
      <c r="C71" s="49">
        <f t="shared" si="7"/>
        <v>3.0888030888030888</v>
      </c>
      <c r="D71" s="331">
        <f>COUNTIFS(NORTE!A:A,"Valdivia",NORTE!S:S, "SIN RIESGO")</f>
        <v>1</v>
      </c>
      <c r="E71" s="49">
        <f>(D71/$B$71)*100</f>
        <v>12.5</v>
      </c>
      <c r="F71" s="364">
        <f>COUNTIFS(NORTE!A:A,"Valdivia",NORTE!S:S, "BAJO")</f>
        <v>0</v>
      </c>
      <c r="G71" s="49">
        <f>(F71/$B$71)*100</f>
        <v>0</v>
      </c>
      <c r="H71" s="361">
        <f>COUNTIFS(NORTE!A:A,"Valdivia",NORTE!S:S,"MEDIO")</f>
        <v>0</v>
      </c>
      <c r="I71" s="49">
        <f>(H71/$B$71)*100</f>
        <v>0</v>
      </c>
      <c r="J71" s="335">
        <f>COUNTIFS(NORTE!A:A,"Valdivia",NORTE!S:S,"ALTO")</f>
        <v>7</v>
      </c>
      <c r="K71" s="49">
        <f>(J71/$B$71)*100</f>
        <v>87.5</v>
      </c>
      <c r="L71" s="335">
        <f>COUNTIFS(NORTE!A:A,"Valdivia",NORTE!S:S,"INVIABLE SANITARIAMENTE")</f>
        <v>0</v>
      </c>
      <c r="M71" s="49">
        <f>(L71/$B$71)*100</f>
        <v>0</v>
      </c>
      <c r="N71" s="324">
        <f t="shared" si="6"/>
        <v>0</v>
      </c>
      <c r="O71" s="49">
        <f>(N71/$B$71)*100</f>
        <v>0</v>
      </c>
      <c r="P71" s="24"/>
    </row>
    <row r="72" spans="1:16" ht="20.25" customHeight="1">
      <c r="A72" s="461" t="s">
        <v>142</v>
      </c>
      <c r="B72" s="45">
        <f>'CONSOLIDADO-ACUEDUCTOSRURALES1'!D47</f>
        <v>12</v>
      </c>
      <c r="C72" s="49">
        <f t="shared" si="7"/>
        <v>4.6332046332046328</v>
      </c>
      <c r="D72" s="331">
        <f>COUNTIFS(NORTE!A:A,"Yarumal",NORTE!S:S, "SIN RIESGO")</f>
        <v>0</v>
      </c>
      <c r="E72" s="49">
        <f>(D72/$B$72)*100</f>
        <v>0</v>
      </c>
      <c r="F72" s="364">
        <f>COUNTIFS(NORTE!A:A,"Yarumal",NORTE!S:S, "BAJO")</f>
        <v>1</v>
      </c>
      <c r="G72" s="49">
        <f>(F72/$B$72)*100</f>
        <v>8.3333333333333321</v>
      </c>
      <c r="H72" s="335">
        <f>COUNTIFS(NORTE!A:A,"Yarumal",NORTE!S:S,"MEDIO")</f>
        <v>0</v>
      </c>
      <c r="I72" s="49">
        <f>(H72/$B$72)*100</f>
        <v>0</v>
      </c>
      <c r="J72" s="335">
        <f>COUNTIFS(NORTE!A:A,"Yarumal",NORTE!S:S,"ALTO")</f>
        <v>0</v>
      </c>
      <c r="K72" s="49">
        <f>(J72/$B$72)*100</f>
        <v>0</v>
      </c>
      <c r="L72" s="335">
        <f>COUNTIFS(NORTE!A:A,"Yarumal",NORTE!S:S,"INVIABLE SANITARIAMENTE")</f>
        <v>11</v>
      </c>
      <c r="M72" s="49">
        <f>(L72/$B$72)*100</f>
        <v>91.666666666666657</v>
      </c>
      <c r="N72" s="324">
        <f t="shared" si="6"/>
        <v>0</v>
      </c>
      <c r="O72" s="49">
        <f>(N72/$B$72)*100</f>
        <v>0</v>
      </c>
      <c r="P72" s="24"/>
    </row>
    <row r="73" spans="1:16" ht="28.5" customHeight="1">
      <c r="A73" s="537" t="s">
        <v>225</v>
      </c>
      <c r="B73" s="76">
        <f>SUM(B56:B72)</f>
        <v>259</v>
      </c>
      <c r="C73" s="77">
        <f>SUM(C56:C72)</f>
        <v>99.999999999999986</v>
      </c>
      <c r="D73" s="76">
        <f>SUM(D56:D72)</f>
        <v>30</v>
      </c>
      <c r="E73" s="77">
        <f>(D73/$B$73)*100</f>
        <v>11.583011583011583</v>
      </c>
      <c r="F73" s="76">
        <f>SUM(F56:F72)</f>
        <v>6</v>
      </c>
      <c r="G73" s="77">
        <f>(F73/$B$73)*100</f>
        <v>2.3166023166023164</v>
      </c>
      <c r="H73" s="76">
        <f>SUM(H56:H72)</f>
        <v>8</v>
      </c>
      <c r="I73" s="77">
        <f>(H73/$B$73)*100</f>
        <v>3.0888030888030888</v>
      </c>
      <c r="J73" s="76">
        <f>SUM(J56:J72)</f>
        <v>49</v>
      </c>
      <c r="K73" s="77">
        <f>(J73/$B$73)*100</f>
        <v>18.918918918918919</v>
      </c>
      <c r="L73" s="76">
        <f>SUM(L56:L72)</f>
        <v>84</v>
      </c>
      <c r="M73" s="77">
        <f>(L73/$B$73)*100</f>
        <v>32.432432432432435</v>
      </c>
      <c r="N73" s="76">
        <f>SUM(N56:N72)</f>
        <v>82</v>
      </c>
      <c r="O73" s="77">
        <f>(N73/$B$73)*100</f>
        <v>31.660231660231659</v>
      </c>
      <c r="P73" s="24"/>
    </row>
    <row r="74" spans="1:16">
      <c r="A74" s="33"/>
      <c r="B74" s="65"/>
      <c r="C74" s="33"/>
      <c r="D74" s="65"/>
      <c r="E74" s="33"/>
      <c r="F74" s="65"/>
      <c r="G74" s="33"/>
      <c r="H74" s="65"/>
      <c r="I74" s="33"/>
      <c r="J74" s="65"/>
      <c r="K74" s="33"/>
      <c r="L74" s="26"/>
      <c r="M74" s="33"/>
      <c r="N74" s="65"/>
      <c r="O74" s="33"/>
      <c r="P74" s="4"/>
    </row>
    <row r="75" spans="1:16">
      <c r="A75" s="33"/>
      <c r="B75" s="65"/>
      <c r="C75" s="33"/>
      <c r="D75" s="65"/>
      <c r="E75" s="33"/>
      <c r="F75" s="65"/>
      <c r="G75" s="33"/>
      <c r="H75" s="65"/>
      <c r="I75" s="33"/>
      <c r="J75" s="65"/>
      <c r="K75" s="33"/>
      <c r="L75" s="65"/>
      <c r="M75" s="33"/>
      <c r="N75" s="65"/>
      <c r="O75" s="33"/>
      <c r="P75" s="4"/>
    </row>
    <row r="76" spans="1:16">
      <c r="A76" s="33"/>
      <c r="B76" s="65"/>
      <c r="C76" s="33"/>
      <c r="D76" s="65"/>
      <c r="E76" s="33"/>
      <c r="F76" s="65"/>
      <c r="G76" s="33"/>
      <c r="H76" s="65"/>
      <c r="I76" s="33"/>
      <c r="J76" s="65"/>
      <c r="K76" s="33"/>
      <c r="L76" s="65"/>
      <c r="M76" s="33"/>
      <c r="N76" s="65"/>
      <c r="O76" s="33"/>
      <c r="P76" s="4"/>
    </row>
    <row r="77" spans="1:16" ht="24.75" customHeight="1">
      <c r="A77" s="591" t="s">
        <v>4562</v>
      </c>
      <c r="B77" s="594"/>
      <c r="C77" s="594"/>
      <c r="D77" s="594"/>
      <c r="E77" s="594"/>
      <c r="F77" s="594"/>
      <c r="G77" s="594"/>
      <c r="H77" s="594"/>
      <c r="I77" s="594"/>
      <c r="J77" s="594"/>
      <c r="K77" s="594"/>
      <c r="L77" s="594"/>
      <c r="M77" s="594"/>
      <c r="N77" s="594"/>
      <c r="O77" s="595"/>
      <c r="P77" s="24"/>
    </row>
    <row r="78" spans="1:16" ht="130.5" customHeight="1">
      <c r="A78" s="389" t="s">
        <v>11</v>
      </c>
      <c r="B78" s="71" t="s">
        <v>256</v>
      </c>
      <c r="C78" s="389" t="s">
        <v>105</v>
      </c>
      <c r="D78" s="392" t="s">
        <v>250</v>
      </c>
      <c r="E78" s="389" t="s">
        <v>105</v>
      </c>
      <c r="F78" s="393" t="s">
        <v>251</v>
      </c>
      <c r="G78" s="389" t="s">
        <v>105</v>
      </c>
      <c r="H78" s="394" t="s">
        <v>252</v>
      </c>
      <c r="I78" s="389" t="s">
        <v>105</v>
      </c>
      <c r="J78" s="395" t="s">
        <v>253</v>
      </c>
      <c r="K78" s="389" t="s">
        <v>105</v>
      </c>
      <c r="L78" s="396" t="s">
        <v>254</v>
      </c>
      <c r="M78" s="389" t="s">
        <v>105</v>
      </c>
      <c r="N78" s="71" t="s">
        <v>255</v>
      </c>
      <c r="O78" s="389" t="s">
        <v>105</v>
      </c>
      <c r="P78" s="24"/>
    </row>
    <row r="79" spans="1:16" ht="15.75">
      <c r="A79" s="461" t="s">
        <v>144</v>
      </c>
      <c r="B79" s="29">
        <f>'CONSOLIDADO-ACUEDUCTOSRURALES1'!D49</f>
        <v>7</v>
      </c>
      <c r="C79" s="49">
        <f t="shared" ref="C79:C97" si="8">(B79/$B$98)*100</f>
        <v>1.3513513513513513</v>
      </c>
      <c r="D79" s="366">
        <f>COUNTIFS(OCCIDENTE!A:A,"Abriaquí",OCCIDENTE!S:S,"SIN RIESGO")</f>
        <v>0</v>
      </c>
      <c r="E79" s="49">
        <f>(D79/$B$79)*100</f>
        <v>0</v>
      </c>
      <c r="F79" s="29">
        <f>+COUNTIFS(OCCIDENTE!S10:S527,"Abriaquí",OCCIDENTE!S10:S527,"BAJO")</f>
        <v>0</v>
      </c>
      <c r="G79" s="49">
        <f>(F79/$B$79)*100</f>
        <v>0</v>
      </c>
      <c r="H79" s="29">
        <f>+COUNTIFS(OCCIDENTE!S10:S527,"Abriaquí",OCCIDENTE!S10:S527,"MEDIO")</f>
        <v>0</v>
      </c>
      <c r="I79" s="49">
        <f>(H79/$B$79)*100</f>
        <v>0</v>
      </c>
      <c r="J79" s="366">
        <f>COUNTIFS(OCCIDENTE!A:A,"Abriaquí",OCCIDENTE!S:S,"ALTO")</f>
        <v>0</v>
      </c>
      <c r="K79" s="49">
        <f>(J79/$B$79)*100</f>
        <v>0</v>
      </c>
      <c r="L79" s="366">
        <f>COUNTIFS(OCCIDENTE!A:A,"Abriaquí",OCCIDENTE!S:S,"INVIABLE SANITARIAMENTE")</f>
        <v>7</v>
      </c>
      <c r="M79" s="49">
        <f>(L79/$B$79)*100</f>
        <v>100</v>
      </c>
      <c r="N79" s="29">
        <f t="shared" ref="N79:N97" si="9">B79-(D79+F79+H79+J79+L79)</f>
        <v>0</v>
      </c>
      <c r="O79" s="49">
        <f>(N79/$B$79)*100</f>
        <v>0</v>
      </c>
      <c r="P79" s="24"/>
    </row>
    <row r="80" spans="1:16" ht="15.75">
      <c r="A80" s="461" t="s">
        <v>145</v>
      </c>
      <c r="B80" s="29">
        <f>'CONSOLIDADO-ACUEDUCTOSRURALES1'!D50</f>
        <v>18</v>
      </c>
      <c r="C80" s="49">
        <f t="shared" si="8"/>
        <v>3.4749034749034751</v>
      </c>
      <c r="D80" s="29">
        <f>COUNTIFS(OCCIDENTE!A:A,"Anzá",OCCIDENTE!S:S,"SIN RIESGO")</f>
        <v>1</v>
      </c>
      <c r="E80" s="49">
        <f>(D80/$B$80)*100</f>
        <v>5.5555555555555554</v>
      </c>
      <c r="F80" s="29">
        <f>COUNTIFS(OCCIDENTE!A:A,"Anzá",OCCIDENTE!S:S,"BAJO")</f>
        <v>0</v>
      </c>
      <c r="G80" s="49">
        <f>(F80/$B$80)*100</f>
        <v>0</v>
      </c>
      <c r="H80" s="29">
        <f>COUNTIFS(OCCIDENTE!A:A,"Anzá",OCCIDENTE!S:S,"MEDIO")</f>
        <v>0</v>
      </c>
      <c r="I80" s="49">
        <f>(H80/$B$80)*100</f>
        <v>0</v>
      </c>
      <c r="J80" s="29">
        <f>COUNTIFS(OCCIDENTE!A:A,"Anzá",OCCIDENTE!S:S,"ALTO")</f>
        <v>0</v>
      </c>
      <c r="K80" s="49">
        <f>(J80/$B$80)*100</f>
        <v>0</v>
      </c>
      <c r="L80" s="29">
        <f>COUNTIFS(OCCIDENTE!A:A,"Anzá",OCCIDENTE!S:S,"INVIABLE SANITARIAMENTE")</f>
        <v>15</v>
      </c>
      <c r="M80" s="49">
        <f>(L80/$B$80)*100</f>
        <v>83.333333333333343</v>
      </c>
      <c r="N80" s="326">
        <f t="shared" si="9"/>
        <v>2</v>
      </c>
      <c r="O80" s="49">
        <f>(N80/$B$80)*100</f>
        <v>11.111111111111111</v>
      </c>
      <c r="P80" s="24"/>
    </row>
    <row r="81" spans="1:16" ht="15.75">
      <c r="A81" s="461" t="s">
        <v>89</v>
      </c>
      <c r="B81" s="334">
        <f>'CONSOLIDADO-ACUEDUCTOSRURALES1'!D51</f>
        <v>4</v>
      </c>
      <c r="C81" s="49">
        <f t="shared" si="8"/>
        <v>0.77220077220077221</v>
      </c>
      <c r="D81" s="29">
        <f>COUNTIFS(OCCIDENTE!A:A,"Armenia",OCCIDENTE!S:S,"SIN RIESGO")</f>
        <v>0</v>
      </c>
      <c r="E81" s="49">
        <f>(D81/$B$81)*100</f>
        <v>0</v>
      </c>
      <c r="F81" s="29">
        <f>COUNTIFS(OCCIDENTE!A:A,"Armenia",OCCIDENTE!S:S,"BAJO")</f>
        <v>0</v>
      </c>
      <c r="G81" s="49">
        <f>(F81/$B$81)*100</f>
        <v>0</v>
      </c>
      <c r="H81" s="29">
        <f>COUNTIFS(OCCIDENTE!A:A,"Armenia",OCCIDENTE!S:S,"MEDIO")</f>
        <v>1</v>
      </c>
      <c r="I81" s="49">
        <f>(H81/$B$81)*100</f>
        <v>25</v>
      </c>
      <c r="J81" s="29">
        <f>COUNTIFS(OCCIDENTE!A:A,"Armenia",OCCIDENTE!S:S,"ALTO")</f>
        <v>1</v>
      </c>
      <c r="K81" s="49">
        <f>(J81/$B$81)*100</f>
        <v>25</v>
      </c>
      <c r="L81" s="29">
        <f>COUNTIFS(OCCIDENTE!A:A,"Armenia",OCCIDENTE!S:S,"INVIABLE SANITARIAMENTE")</f>
        <v>1</v>
      </c>
      <c r="M81" s="49">
        <f>(L81/$B$81)*100</f>
        <v>25</v>
      </c>
      <c r="N81" s="326">
        <f t="shared" si="9"/>
        <v>1</v>
      </c>
      <c r="O81" s="49">
        <f>(N81/$B$81)*100</f>
        <v>25</v>
      </c>
      <c r="P81" s="24"/>
    </row>
    <row r="82" spans="1:16" ht="15.75">
      <c r="A82" s="461" t="s">
        <v>146</v>
      </c>
      <c r="B82" s="334">
        <f>'CONSOLIDADO-ACUEDUCTOSRURALES1'!D52</f>
        <v>38</v>
      </c>
      <c r="C82" s="49">
        <f t="shared" si="8"/>
        <v>7.3359073359073363</v>
      </c>
      <c r="D82" s="29">
        <f>COUNTIFS(OCCIDENTE!A:A,"Buriticá",OCCIDENTE!S:S,"SIN RIESGO")</f>
        <v>0</v>
      </c>
      <c r="E82" s="49">
        <f>(D82/$B$82)*100</f>
        <v>0</v>
      </c>
      <c r="F82" s="29">
        <f>COUNTIFS(OCCIDENTE!A:A,"Buriticá",OCCIDENTE!S:S,"BAJO")</f>
        <v>0</v>
      </c>
      <c r="G82" s="49">
        <f>(F82/$B$82)*100</f>
        <v>0</v>
      </c>
      <c r="H82" s="29">
        <f>COUNTIFS(OCCIDENTE!A:A,"Buriticá",OCCIDENTE!S:S,"MEDIO")</f>
        <v>0</v>
      </c>
      <c r="I82" s="49">
        <f>(H82/$B$82)*100</f>
        <v>0</v>
      </c>
      <c r="J82" s="29">
        <f>COUNTIFS(OCCIDENTE!A:A,"Buriticá",OCCIDENTE!S:S,"ALTO")</f>
        <v>2</v>
      </c>
      <c r="K82" s="49">
        <f>(J82/$B$82)*100</f>
        <v>5.2631578947368416</v>
      </c>
      <c r="L82" s="29">
        <f>COUNTIFS(OCCIDENTE!A:A,"Buriticá",OCCIDENTE!S:S,"INVIABLE SANITARIAMENTE")</f>
        <v>31</v>
      </c>
      <c r="M82" s="49">
        <f>(L82/$B$82)*100</f>
        <v>81.578947368421055</v>
      </c>
      <c r="N82" s="326">
        <f t="shared" si="9"/>
        <v>5</v>
      </c>
      <c r="O82" s="49">
        <f>(N82/$B$82)*100</f>
        <v>13.157894736842104</v>
      </c>
      <c r="P82" s="24"/>
    </row>
    <row r="83" spans="1:16" ht="15.75">
      <c r="A83" s="461" t="s">
        <v>151</v>
      </c>
      <c r="B83" s="334">
        <f>'CONSOLIDADO-ACUEDUCTOSRURALES1'!D53</f>
        <v>18</v>
      </c>
      <c r="C83" s="49">
        <f t="shared" si="8"/>
        <v>3.4749034749034751</v>
      </c>
      <c r="D83" s="29">
        <f>COUNTIFS(SUROESTE!A:A,"Caicedo",SUROESTE!S:S,"SIN RIESGO")</f>
        <v>0</v>
      </c>
      <c r="E83" s="49">
        <f>(D83/$B$87)*100</f>
        <v>0</v>
      </c>
      <c r="F83" s="29">
        <f>COUNTIFS(SUROESTE!A:A,"Caicedo",SUROESTE!S:S,"BAJO")</f>
        <v>0</v>
      </c>
      <c r="G83" s="49">
        <f>(F83/$B$87)*100</f>
        <v>0</v>
      </c>
      <c r="H83" s="29">
        <f>COUNTIFS(OCCIDENTE!A:A,"Caicedo",OCCIDENTE!S:S,"MEDIO")</f>
        <v>0</v>
      </c>
      <c r="I83" s="49">
        <f>(H83/$B$87)*100</f>
        <v>0</v>
      </c>
      <c r="J83" s="29">
        <f>COUNTIFS(OCCIDENTE!A:A,"Caicedo",OCCIDENTE!S:S,"ALTO")</f>
        <v>0</v>
      </c>
      <c r="K83" s="49">
        <f>(J83/$B$87)*100</f>
        <v>0</v>
      </c>
      <c r="L83" s="29">
        <f>COUNTIFS(OCCIDENTE!A:A,"Caicedo",OCCIDENTE!S:S,"INVIABLE SANITARIAMENTE")</f>
        <v>12</v>
      </c>
      <c r="M83" s="49">
        <f>(L83/$B$87)*100</f>
        <v>26.086956521739129</v>
      </c>
      <c r="N83" s="326">
        <f t="shared" si="9"/>
        <v>6</v>
      </c>
      <c r="O83" s="49">
        <f>(N83/$B$87)*100</f>
        <v>13.043478260869565</v>
      </c>
      <c r="P83" s="24"/>
    </row>
    <row r="84" spans="1:16" ht="15.75">
      <c r="A84" s="461" t="s">
        <v>147</v>
      </c>
      <c r="B84" s="334">
        <f>'CONSOLIDADO-ACUEDUCTOSRURALES1'!D54</f>
        <v>70</v>
      </c>
      <c r="C84" s="49">
        <f t="shared" si="8"/>
        <v>13.513513513513514</v>
      </c>
      <c r="D84" s="29">
        <f>COUNTIFS(OCCIDENTE!A:A,"Cañasgordas",OCCIDENTE!S:S,"SIN RIESGO")</f>
        <v>0</v>
      </c>
      <c r="E84" s="49">
        <f>(D84/$B$83)*100</f>
        <v>0</v>
      </c>
      <c r="F84" s="29">
        <f>COUNTIFS(OCCIDENTE!A:A,"Cañasgordas",OCCIDENTE!S:S,"BAJO")</f>
        <v>0</v>
      </c>
      <c r="G84" s="49">
        <f>(F84/$B$83)*100</f>
        <v>0</v>
      </c>
      <c r="H84" s="29">
        <f>COUNTIFS(OCCIDENTE!A:A,"Cañasgordas",OCCIDENTE!S:S,"MEDIO")</f>
        <v>0</v>
      </c>
      <c r="I84" s="49">
        <f>(H84/$B$83)*100</f>
        <v>0</v>
      </c>
      <c r="J84" s="29">
        <f>COUNTIFS(OCCIDENTE!A:A,"Cañasgordas",OCCIDENTE!S:S,"ALTO")</f>
        <v>1</v>
      </c>
      <c r="K84" s="49">
        <f>(J84/$B$83)*100</f>
        <v>5.5555555555555554</v>
      </c>
      <c r="L84" s="29">
        <f>COUNTIFS(OCCIDENTE!A:A,"Cañasgordas",OCCIDENTE!S:S,"INVIABLE SANITARIAMENTE")</f>
        <v>41</v>
      </c>
      <c r="M84" s="49">
        <f>(L84/$B$83)*100</f>
        <v>227.77777777777777</v>
      </c>
      <c r="N84" s="326">
        <f t="shared" si="9"/>
        <v>28</v>
      </c>
      <c r="O84" s="49">
        <f>(N84/$B$83)*100</f>
        <v>155.55555555555557</v>
      </c>
      <c r="P84" s="24"/>
    </row>
    <row r="85" spans="1:16" ht="15.75">
      <c r="A85" s="461" t="s">
        <v>148</v>
      </c>
      <c r="B85" s="334">
        <f>'CONSOLIDADO-ACUEDUCTOSRURALES1'!D55</f>
        <v>29</v>
      </c>
      <c r="C85" s="49">
        <f t="shared" si="8"/>
        <v>5.5984555984555984</v>
      </c>
      <c r="D85" s="29">
        <f>COUNTIFS(OCCIDENTE!A:A,"Dabeiba",OCCIDENTE!S:S,"SIN RIESGO")</f>
        <v>0</v>
      </c>
      <c r="E85" s="49">
        <f>(D85/$B$84)*100</f>
        <v>0</v>
      </c>
      <c r="F85" s="29">
        <f>COUNTIFS(OCCIDENTE!A:A,"Dabeiba",OCCIDENTE!S:S,"BAJO")</f>
        <v>0</v>
      </c>
      <c r="G85" s="49">
        <f>(F85/$B$84)*100</f>
        <v>0</v>
      </c>
      <c r="H85" s="29">
        <f>COUNTIFS(OCCIDENTE!A:A,"Dabeiba",OCCIDENTE!S:S,"MEDIO")</f>
        <v>0</v>
      </c>
      <c r="I85" s="49">
        <f>(H85/$B$84)*100</f>
        <v>0</v>
      </c>
      <c r="J85" s="29">
        <f>COUNTIFS(OCCIDENTE!A:A,"Dabeiba",OCCIDENTE!S:S,"ALTO")</f>
        <v>0</v>
      </c>
      <c r="K85" s="49">
        <f>(J85/$B$84)*100</f>
        <v>0</v>
      </c>
      <c r="L85" s="29">
        <f>COUNTIFS(OCCIDENTE!A:A,"Dabeiba",OCCIDENTE!S:S,"INVIABLE SANITARIAMENTE")</f>
        <v>29</v>
      </c>
      <c r="M85" s="49">
        <f>(L85/$B$84)*100</f>
        <v>41.428571428571431</v>
      </c>
      <c r="N85" s="326">
        <f t="shared" si="9"/>
        <v>0</v>
      </c>
      <c r="O85" s="49">
        <f>(N85/$B$84)*100</f>
        <v>0</v>
      </c>
      <c r="P85" s="24"/>
    </row>
    <row r="86" spans="1:16" ht="15.75">
      <c r="A86" s="461" t="s">
        <v>149</v>
      </c>
      <c r="B86" s="334">
        <f>'CONSOLIDADO-ACUEDUCTOSRURALES1'!D56</f>
        <v>45</v>
      </c>
      <c r="C86" s="49">
        <f t="shared" si="8"/>
        <v>8.6872586872586872</v>
      </c>
      <c r="D86" s="29">
        <f>COUNTIFS(OCCIDENTE!A:A,"Ebéjico",OCCIDENTE!S:S,"SIN RIESGO")</f>
        <v>8</v>
      </c>
      <c r="E86" s="49">
        <f>(D86/$B$85)*100</f>
        <v>27.586206896551722</v>
      </c>
      <c r="F86" s="29">
        <f>COUNTIFS(OCCIDENTE!A:A,"Ebéjico",OCCIDENTE!S:S,"BAJO")</f>
        <v>0</v>
      </c>
      <c r="G86" s="49">
        <f>(F86/$B$85)*100</f>
        <v>0</v>
      </c>
      <c r="H86" s="29">
        <f>COUNTIFS(OCCIDENTE!A:A,"Ebéjico",OCCIDENTE!S:S,"MEDIO")</f>
        <v>0</v>
      </c>
      <c r="I86" s="49">
        <f>(H86/$B$85)*100</f>
        <v>0</v>
      </c>
      <c r="J86" s="29">
        <f>COUNTIFS(OCCIDENTE!A:A,"Ebéjico",OCCIDENTE!S:S,"ALTO")</f>
        <v>0</v>
      </c>
      <c r="K86" s="49" t="s">
        <v>4312</v>
      </c>
      <c r="L86" s="29">
        <f>COUNTIFS(OCCIDENTE!A:A,"Ebéjico",OCCIDENTE!S:S,"INVIABLE SANITARIAMENTE")</f>
        <v>7</v>
      </c>
      <c r="M86" s="49">
        <f>(L86/$B$85)*100</f>
        <v>24.137931034482758</v>
      </c>
      <c r="N86" s="326">
        <f t="shared" si="9"/>
        <v>30</v>
      </c>
      <c r="O86" s="49">
        <f>(N86/$B$85)*100</f>
        <v>103.44827586206897</v>
      </c>
      <c r="P86" s="24"/>
    </row>
    <row r="87" spans="1:16" ht="15.75">
      <c r="A87" s="461" t="s">
        <v>150</v>
      </c>
      <c r="B87" s="334">
        <f>'CONSOLIDADO-ACUEDUCTOSRURALES1'!D57</f>
        <v>46</v>
      </c>
      <c r="C87" s="49">
        <f t="shared" si="8"/>
        <v>8.8803088803088812</v>
      </c>
      <c r="D87" s="29">
        <f>COUNTIFS(OCCIDENTE!A:A,"Frontino",OCCIDENTE!S:S,"SIN RIESGO")</f>
        <v>1</v>
      </c>
      <c r="E87" s="49">
        <f>(D87/$B$86)*100</f>
        <v>2.2222222222222223</v>
      </c>
      <c r="F87" s="29">
        <f>COUNTIFS(OCCIDENTE!A:A,"Frontino",OCCIDENTE!S:S,"BAJO")</f>
        <v>0</v>
      </c>
      <c r="G87" s="49">
        <f>(F87/$B$86)*100</f>
        <v>0</v>
      </c>
      <c r="H87" s="29">
        <f>COUNTIFS(OCCIDENTE!A:A,"Frontino",OCCIDENTE!S:S,"MEDIO")</f>
        <v>0</v>
      </c>
      <c r="I87" s="49">
        <f>(H87/$B$86)*100</f>
        <v>0</v>
      </c>
      <c r="J87" s="29">
        <f>COUNTIFS(OCCIDENTE!A:A,"Frontino",OCCIDENTE!S:S,"ALTO")</f>
        <v>25</v>
      </c>
      <c r="K87" s="49">
        <f>(J87/$B$86)*100</f>
        <v>55.555555555555557</v>
      </c>
      <c r="L87" s="29">
        <f>COUNTIFS(OCCIDENTE!A:A,"Frontino",OCCIDENTE!S:S,"INVIABLE SANITARIAMENTE")</f>
        <v>1</v>
      </c>
      <c r="M87" s="49">
        <f>(L87/$B$86)*100</f>
        <v>2.2222222222222223</v>
      </c>
      <c r="N87" s="326">
        <f t="shared" si="9"/>
        <v>19</v>
      </c>
      <c r="O87" s="49">
        <f>(N87/$B$86)*100</f>
        <v>42.222222222222221</v>
      </c>
      <c r="P87" s="24"/>
    </row>
    <row r="88" spans="1:16" ht="15.75">
      <c r="A88" s="461" t="s">
        <v>152</v>
      </c>
      <c r="B88" s="334">
        <f>'CONSOLIDADO-ACUEDUCTOSRURALES1'!D58</f>
        <v>22</v>
      </c>
      <c r="C88" s="49">
        <f t="shared" si="8"/>
        <v>4.2471042471042466</v>
      </c>
      <c r="D88" s="29">
        <f>COUNTIFS(OCCIDENTE!A:A,"Giraldo",OCCIDENTE!S:S,"SIN RIESGO")</f>
        <v>0</v>
      </c>
      <c r="E88" s="49">
        <f>(D88/$B$88)*100</f>
        <v>0</v>
      </c>
      <c r="F88" s="29">
        <f>COUNTIFS(OCCIDENTE!A:A,"Giraldo",OCCIDENTE!S:S,"BAJO")</f>
        <v>0</v>
      </c>
      <c r="G88" s="49">
        <f>(F88/$B$88)*100</f>
        <v>0</v>
      </c>
      <c r="H88" s="29">
        <f>COUNTIFS(OCCIDENTE!A:A,"Giraldo",OCCIDENTE!S:S,"MEDIO")</f>
        <v>0</v>
      </c>
      <c r="I88" s="49">
        <f>(H88/$B$88)*100</f>
        <v>0</v>
      </c>
      <c r="J88" s="29">
        <f>COUNTIFS(OCCIDENTE!A:A,"Giraldo",OCCIDENTE!S:S,"ALTO")</f>
        <v>0</v>
      </c>
      <c r="K88" s="49">
        <f>(J88/$B$88)*100</f>
        <v>0</v>
      </c>
      <c r="L88" s="29">
        <f>COUNTIFS(OCCIDENTE!A:A,"Giraldo",OCCIDENTE!S:S,"INVIABLE SANITARIAMENTE")</f>
        <v>22</v>
      </c>
      <c r="M88" s="49">
        <f>(L88/$B$88)*100</f>
        <v>100</v>
      </c>
      <c r="N88" s="326">
        <f t="shared" si="9"/>
        <v>0</v>
      </c>
      <c r="O88" s="49">
        <f>(N88/$B$88)*100</f>
        <v>0</v>
      </c>
      <c r="P88" s="24"/>
    </row>
    <row r="89" spans="1:16" ht="15.75">
      <c r="A89" s="461" t="s">
        <v>153</v>
      </c>
      <c r="B89" s="334">
        <f>'CONSOLIDADO-ACUEDUCTOSRURALES1'!D59</f>
        <v>13</v>
      </c>
      <c r="C89" s="49">
        <f t="shared" si="8"/>
        <v>2.5096525096525095</v>
      </c>
      <c r="D89" s="29">
        <f>COUNTIFS(OCCIDENTE!A:A,"Heliconia",OCCIDENTE!S:S,"SIN RIESGO")</f>
        <v>1</v>
      </c>
      <c r="E89" s="49">
        <f>(D89/$B$89)*100</f>
        <v>7.6923076923076925</v>
      </c>
      <c r="F89" s="29">
        <f>COUNTIFS(OCCIDENTE!A:A,"Heliconia",OCCIDENTE!S:S,"BAJO")</f>
        <v>0</v>
      </c>
      <c r="G89" s="49">
        <f>(F89/$B$89)*100</f>
        <v>0</v>
      </c>
      <c r="H89" s="29">
        <f>COUNTIFS(OCCIDENTE!A:A,"Heliconia",OCCIDENTE!S:S,"MEDIO")</f>
        <v>0</v>
      </c>
      <c r="I89" s="49">
        <f>(H89/$B$89)*100</f>
        <v>0</v>
      </c>
      <c r="J89" s="29">
        <f>COUNTIFS(OCCIDENTE!A:A,"Heliconia",OCCIDENTE!S:S,"ALTO")</f>
        <v>2</v>
      </c>
      <c r="K89" s="49">
        <f>(J89/$B$89)*100</f>
        <v>15.384615384615385</v>
      </c>
      <c r="L89" s="29">
        <f>COUNTIFS(OCCIDENTE!A:A,"Heliconia",OCCIDENTE!S:S,"INVIABLE SANITARIAMENTE")</f>
        <v>7</v>
      </c>
      <c r="M89" s="49">
        <f>(L89/$B$89)*100</f>
        <v>53.846153846153847</v>
      </c>
      <c r="N89" s="326">
        <f t="shared" si="9"/>
        <v>3</v>
      </c>
      <c r="O89" s="49">
        <f>(N89/$B$89)*100</f>
        <v>23.076923076923077</v>
      </c>
      <c r="P89" s="24"/>
    </row>
    <row r="90" spans="1:16" ht="15.75">
      <c r="A90" s="461" t="s">
        <v>154</v>
      </c>
      <c r="B90" s="334">
        <f>'CONSOLIDADO-ACUEDUCTOSRURALES1'!D60</f>
        <v>33</v>
      </c>
      <c r="C90" s="49">
        <f t="shared" si="8"/>
        <v>6.3706563706563708</v>
      </c>
      <c r="D90" s="29">
        <f>COUNTIFS(OCCIDENTE!A:A,"Liborina",OCCIDENTE!S:S,"SIN RIESGO")</f>
        <v>1</v>
      </c>
      <c r="E90" s="49">
        <f>(D90/$B$90)*100</f>
        <v>3.0303030303030303</v>
      </c>
      <c r="F90" s="337">
        <f>COUNTIFS(OCCIDENTE!A:A,"liborina",OCCIDENTE!S:S,"BAJO")</f>
        <v>0</v>
      </c>
      <c r="G90" s="49">
        <f>(F90/$B$90)*100</f>
        <v>0</v>
      </c>
      <c r="H90" s="29">
        <f>COUNTIFS(OCCIDENTE!A:A,"Liborina",OCCIDENTE!S:S,"MEDIO")</f>
        <v>0</v>
      </c>
      <c r="I90" s="49">
        <f>(H90/$B$90)*100</f>
        <v>0</v>
      </c>
      <c r="J90" s="29">
        <f>COUNTIFS(OCCIDENTE!A:A,"Liborina",OCCIDENTE!S:S,"ALTO")</f>
        <v>6</v>
      </c>
      <c r="K90" s="49">
        <f>(J90/$B$90)*100</f>
        <v>18.181818181818183</v>
      </c>
      <c r="L90" s="29">
        <f>COUNTIFS(OCCIDENTE!A:A,"Liborina",OCCIDENTE!S:S,"INVIABLE SANITARIAMENTE")</f>
        <v>25</v>
      </c>
      <c r="M90" s="49">
        <f>(L90/$B$90)*100</f>
        <v>75.757575757575751</v>
      </c>
      <c r="N90" s="326">
        <f t="shared" si="9"/>
        <v>1</v>
      </c>
      <c r="O90" s="49">
        <f>(N90/$B$90)*100</f>
        <v>3.0303030303030303</v>
      </c>
      <c r="P90" s="24"/>
    </row>
    <row r="91" spans="1:16" ht="15.75">
      <c r="A91" s="461" t="s">
        <v>155</v>
      </c>
      <c r="B91" s="334">
        <f>'CONSOLIDADO-ACUEDUCTOSRURALES1'!D61</f>
        <v>8</v>
      </c>
      <c r="C91" s="49">
        <f t="shared" si="8"/>
        <v>1.5444015444015444</v>
      </c>
      <c r="D91" s="29">
        <f>COUNTIFS(OCCIDENTE!A:A,"Olaya",OCCIDENTE!S:S,"SIN RIESGO")</f>
        <v>1</v>
      </c>
      <c r="E91" s="49">
        <f>(D91/$B$91)*100</f>
        <v>12.5</v>
      </c>
      <c r="F91" s="337">
        <f>COUNTIFS(OCCIDENTE!A:A,"Olaya",OCCIDENTE!S:S,"BAJO")</f>
        <v>0</v>
      </c>
      <c r="G91" s="49">
        <f>(F91/$B$91)*100</f>
        <v>0</v>
      </c>
      <c r="H91" s="29">
        <f>COUNTIFS(OCCIDENTE!A:A,"Olaya",OCCIDENTE!S:S,"MEDIO")</f>
        <v>1</v>
      </c>
      <c r="I91" s="49">
        <f>(H91/$B$91)*100</f>
        <v>12.5</v>
      </c>
      <c r="J91" s="29">
        <f>COUNTIFS(OCCIDENTE!A:A,"Olaya",OCCIDENTE!S:S,"ALTO")</f>
        <v>0</v>
      </c>
      <c r="K91" s="49">
        <f>(J91/$B$91)*100</f>
        <v>0</v>
      </c>
      <c r="L91" s="29">
        <f>COUNTIFS(OCCIDENTE!A:A,"Olaya",OCCIDENTE!S:S,"INVIABLE SANITARIAMENTE")</f>
        <v>3</v>
      </c>
      <c r="M91" s="49">
        <f>(L91/$B$91)*100</f>
        <v>37.5</v>
      </c>
      <c r="N91" s="326">
        <f t="shared" si="9"/>
        <v>3</v>
      </c>
      <c r="O91" s="49">
        <f>(N91/$B$91)*100</f>
        <v>37.5</v>
      </c>
      <c r="P91" s="24"/>
    </row>
    <row r="92" spans="1:16" ht="15.75">
      <c r="A92" s="461" t="s">
        <v>156</v>
      </c>
      <c r="B92" s="334">
        <f>'CONSOLIDADO-ACUEDUCTOSRURALES1'!D62</f>
        <v>32</v>
      </c>
      <c r="C92" s="49">
        <f t="shared" si="8"/>
        <v>6.1776061776061777</v>
      </c>
      <c r="D92" s="29">
        <f>COUNTIFS(OCCIDENTE!A:A,"Peque",OCCIDENTE!S:S,"SIN RIESGO")</f>
        <v>0</v>
      </c>
      <c r="E92" s="49">
        <f>(D92/$B$92)*100</f>
        <v>0</v>
      </c>
      <c r="F92" s="29">
        <f>COUNTIFS(OCCIDENTE!A:A,"Peque",OCCIDENTE!S:S,"BAJO")</f>
        <v>0</v>
      </c>
      <c r="G92" s="49">
        <f>(F92/$B$92)*100</f>
        <v>0</v>
      </c>
      <c r="H92" s="29">
        <f>COUNTIFS(OCCIDENTE!A:A,"Peque",OCCIDENTE!S:S,"MEDIO")</f>
        <v>0</v>
      </c>
      <c r="I92" s="49">
        <f>(H92/$B$92)*100</f>
        <v>0</v>
      </c>
      <c r="J92" s="29">
        <f>COUNTIFS(OCCIDENTE!A:A,"Peque",OCCIDENTE!S:S,"ALTO")</f>
        <v>0</v>
      </c>
      <c r="K92" s="49">
        <f>(J92/$B$92)*100</f>
        <v>0</v>
      </c>
      <c r="L92" s="29">
        <f>COUNTIFS(OCCIDENTE!A:A,"Peque",OCCIDENTE!S:S,"INVIABLE SANITARIAMENTE")</f>
        <v>0</v>
      </c>
      <c r="M92" s="49">
        <f>(L92/$B$92)*100</f>
        <v>0</v>
      </c>
      <c r="N92" s="326">
        <f t="shared" si="9"/>
        <v>32</v>
      </c>
      <c r="O92" s="49">
        <f>(N92/$B$92)*100</f>
        <v>100</v>
      </c>
      <c r="P92" s="24"/>
    </row>
    <row r="93" spans="1:16" ht="15.75">
      <c r="A93" s="461" t="s">
        <v>157</v>
      </c>
      <c r="B93" s="334">
        <f>'CONSOLIDADO-ACUEDUCTOSRURALES1'!D63</f>
        <v>26</v>
      </c>
      <c r="C93" s="49">
        <f t="shared" si="8"/>
        <v>5.019305019305019</v>
      </c>
      <c r="D93" s="29">
        <f>COUNTIFS(OCCIDENTE!A:A,"Sabanalarga",OCCIDENTE!S:S,"SIN RIESGO")</f>
        <v>0</v>
      </c>
      <c r="E93" s="49">
        <f>(D93/$B$93)*100</f>
        <v>0</v>
      </c>
      <c r="F93" s="29">
        <f>COUNTIFS(OCCIDENTE!A:A,"Sabanalarga",OCCIDENTE!S:S,"BAJO")</f>
        <v>0</v>
      </c>
      <c r="G93" s="49">
        <f>(F93/$B$93)*100</f>
        <v>0</v>
      </c>
      <c r="H93" s="29">
        <f>COUNTIFS(OCCIDENTE!A:A,"Sabanalarga",OCCIDENTE!S:S,"MEDIO")</f>
        <v>0</v>
      </c>
      <c r="I93" s="49">
        <f>(H93/$B$93)*100</f>
        <v>0</v>
      </c>
      <c r="J93" s="29">
        <f>COUNTIFS(OCCIDENTE!A:A,"Sabanalarga",OCCIDENTE!S:S,"ALTO")</f>
        <v>2</v>
      </c>
      <c r="K93" s="49">
        <f>(J93/$B$93)*100</f>
        <v>7.6923076923076925</v>
      </c>
      <c r="L93" s="29">
        <f>COUNTIFS(OCCIDENTE!A:A,"Sabanalarga",OCCIDENTE!S:S,"INVIABLE SANITARIAMENTE")</f>
        <v>19</v>
      </c>
      <c r="M93" s="49">
        <f>(L93/$B$93)*100</f>
        <v>73.076923076923066</v>
      </c>
      <c r="N93" s="326">
        <f t="shared" si="9"/>
        <v>5</v>
      </c>
      <c r="O93" s="49">
        <f>(N93/$B$93)*100</f>
        <v>19.230769230769234</v>
      </c>
      <c r="P93" s="24"/>
    </row>
    <row r="94" spans="1:16" ht="15.75">
      <c r="A94" s="461" t="s">
        <v>158</v>
      </c>
      <c r="B94" s="334">
        <f>'CONSOLIDADO-ACUEDUCTOSRURALES1'!D64</f>
        <v>28</v>
      </c>
      <c r="C94" s="49">
        <f t="shared" si="8"/>
        <v>5.4054054054054053</v>
      </c>
      <c r="D94" s="29">
        <f>COUNTIFS(OCCIDENTE!A:A,"San Jerónimo",OCCIDENTE!S:S,"SIN RIESGO")</f>
        <v>1</v>
      </c>
      <c r="E94" s="49">
        <f>(D94/$B$94)*100</f>
        <v>3.5714285714285712</v>
      </c>
      <c r="F94" s="29">
        <f>COUNTIFS(OCCIDENTE!A:A,"San Jerónimo",OCCIDENTE!S:S,"BAJO")</f>
        <v>1</v>
      </c>
      <c r="G94" s="49">
        <f>(F94/$B$94)*100</f>
        <v>3.5714285714285712</v>
      </c>
      <c r="H94" s="29">
        <f>COUNTIFS(OCCIDENTE!A:A,"San Jerónimo",OCCIDENTE!S:S,"MEDIO")</f>
        <v>1</v>
      </c>
      <c r="I94" s="49">
        <f>(H94/$B$94)*100</f>
        <v>3.5714285714285712</v>
      </c>
      <c r="J94" s="29">
        <f>COUNTIFS(OCCIDENTE!A:A,"San Jerónimo",OCCIDENTE!S:S,"ALTO")</f>
        <v>23</v>
      </c>
      <c r="K94" s="49">
        <f>(J94/$B$94)*100</f>
        <v>82.142857142857139</v>
      </c>
      <c r="L94" s="29">
        <f>COUNTIFS(OCCIDENTE!A:A,"San Jerónimo",OCCIDENTE!S:S,"INVIABLE SANITARIAMENTE")</f>
        <v>0</v>
      </c>
      <c r="M94" s="49">
        <f>(L94/$B$94)*100</f>
        <v>0</v>
      </c>
      <c r="N94" s="326">
        <f t="shared" si="9"/>
        <v>2</v>
      </c>
      <c r="O94" s="49">
        <f>(N94/$B$94)*100</f>
        <v>7.1428571428571423</v>
      </c>
      <c r="P94" s="24"/>
    </row>
    <row r="95" spans="1:16" ht="15.75">
      <c r="A95" s="461" t="s">
        <v>159</v>
      </c>
      <c r="B95" s="334">
        <f>'CONSOLIDADO-ACUEDUCTOSRURALES1'!D65</f>
        <v>37</v>
      </c>
      <c r="C95" s="49">
        <f t="shared" si="8"/>
        <v>7.1428571428571423</v>
      </c>
      <c r="D95" s="29">
        <f>COUNTIFS(OCCIDENTE!A:A,"Santafe de Antioquia",OCCIDENTE!S:S,"SIN RIESGO")</f>
        <v>6</v>
      </c>
      <c r="E95" s="49">
        <f>(D95/$B$95)*100</f>
        <v>16.216216216216218</v>
      </c>
      <c r="F95" s="29">
        <f>COUNTIFS(OCCIDENTE!A:A,"Santafe de Antioquia",OCCIDENTE!S:S,"BAJO")</f>
        <v>0</v>
      </c>
      <c r="G95" s="49">
        <f>(F95/$B$95)*100</f>
        <v>0</v>
      </c>
      <c r="H95" s="29">
        <f>COUNTIFS(OCCIDENTE!A:A,"Santafe de Antioquia",OCCIDENTE!S:S,"MEDIO")</f>
        <v>0</v>
      </c>
      <c r="I95" s="49">
        <f>(H95/$B$95)*100</f>
        <v>0</v>
      </c>
      <c r="J95" s="29">
        <f>COUNTIFS(OCCIDENTE!A:A,"Santafe de Antioquia",OCCIDENTE!S:S,"ALTO")</f>
        <v>0</v>
      </c>
      <c r="K95" s="49">
        <f>(J95/$B$95)*100</f>
        <v>0</v>
      </c>
      <c r="L95" s="29">
        <f>COUNTIFS(OCCIDENTE!A:A,"Santafe de Antioquia",OCCIDENTE!S:S,"INVIABLE SANITARIAMENTE")</f>
        <v>31</v>
      </c>
      <c r="M95" s="49">
        <f>(L95/$B$95)*100</f>
        <v>83.78378378378379</v>
      </c>
      <c r="N95" s="326">
        <f t="shared" si="9"/>
        <v>0</v>
      </c>
      <c r="O95" s="49">
        <f>(N95/$B$95)*100</f>
        <v>0</v>
      </c>
      <c r="P95" s="24"/>
    </row>
    <row r="96" spans="1:16" ht="15.75">
      <c r="A96" s="461" t="s">
        <v>160</v>
      </c>
      <c r="B96" s="334">
        <f>'CONSOLIDADO-ACUEDUCTOSRURALES1'!D66</f>
        <v>27</v>
      </c>
      <c r="C96" s="49">
        <f t="shared" si="8"/>
        <v>5.2123552123552122</v>
      </c>
      <c r="D96" s="45">
        <f>COUNTIFS(OCCIDENTE!A:A,"Sopetrán",OCCIDENTE!S:S,"SIN RIESGO")</f>
        <v>5</v>
      </c>
      <c r="E96" s="49">
        <f>(D96/$B$96)*100</f>
        <v>18.518518518518519</v>
      </c>
      <c r="F96" s="45">
        <f>COUNTIFS(OCCIDENTE!A:A,"Sopetrán",OCCIDENTE!S:S,"BAJO")</f>
        <v>1</v>
      </c>
      <c r="G96" s="49">
        <f>(F96/$B$96)*100</f>
        <v>3.7037037037037033</v>
      </c>
      <c r="H96" s="29">
        <f>COUNTIFS(OCCIDENTE!A:A,"Sopetrán",OCCIDENTE!S:S,"MEDIO")</f>
        <v>2</v>
      </c>
      <c r="I96" s="49">
        <f>(H96/$B$96)*100</f>
        <v>7.4074074074074066</v>
      </c>
      <c r="J96" s="29">
        <f>COUNTIFS(OCCIDENTE!A:A,"Sopetrán",OCCIDENTE!S:S,"ALTO")</f>
        <v>4</v>
      </c>
      <c r="K96" s="49">
        <f>(J96/$B$96)*100</f>
        <v>14.814814814814813</v>
      </c>
      <c r="L96" s="29">
        <f>COUNTIFS(OCCIDENTE!A:A,"Sopetrán",OCCIDENTE!S:S,"INVIABLE SANITARIAMENTE")</f>
        <v>14</v>
      </c>
      <c r="M96" s="49">
        <f>(L96/$B$96)*100</f>
        <v>51.851851851851848</v>
      </c>
      <c r="N96" s="326">
        <f t="shared" si="9"/>
        <v>1</v>
      </c>
      <c r="O96" s="49">
        <f>(N96/$B$96)*100</f>
        <v>3.7037037037037033</v>
      </c>
      <c r="P96" s="24"/>
    </row>
    <row r="97" spans="1:16" s="28" customFormat="1" ht="15.75">
      <c r="A97" s="461" t="s">
        <v>161</v>
      </c>
      <c r="B97" s="334">
        <f>'CONSOLIDADO-ACUEDUCTOSRURALES1'!D67</f>
        <v>17</v>
      </c>
      <c r="C97" s="49">
        <f t="shared" si="8"/>
        <v>3.2818532818532815</v>
      </c>
      <c r="D97" s="29">
        <f>COUNTIFS(OCCIDENTE!A:A,"Uramita",OCCIDENTE!S:S,"SIN RIESGO")</f>
        <v>0</v>
      </c>
      <c r="E97" s="49">
        <f>(D97/$B$97)*100</f>
        <v>0</v>
      </c>
      <c r="F97" s="29">
        <f>COUNTIFS(OCCIDENTE!C:C,"Uramita",OCCIDENTE!U:U,"SIN RIESGO")</f>
        <v>0</v>
      </c>
      <c r="G97" s="49">
        <f>(F97/$B$97)*100</f>
        <v>0</v>
      </c>
      <c r="H97" s="29">
        <f>COUNTIFS(OCCIDENTE!A:A,"Uramita",OCCIDENTE!S:S,"MEDIO")</f>
        <v>0</v>
      </c>
      <c r="I97" s="49">
        <f>(H97/$B$97)*100</f>
        <v>0</v>
      </c>
      <c r="J97" s="29">
        <f>COUNTIFS(OCCIDENTE!A:A,"Uramita",OCCIDENTE!S:S,"ALTO")</f>
        <v>0</v>
      </c>
      <c r="K97" s="49">
        <f>(J97/$B$97)*100</f>
        <v>0</v>
      </c>
      <c r="L97" s="29">
        <f>COUNTIFS(OCCIDENTE!A:A,"Uramita",OCCIDENTE!S:S,"INVIABLE SANITARIAMENTE")</f>
        <v>16</v>
      </c>
      <c r="M97" s="49">
        <f>(L97/$B$97)*100</f>
        <v>94.117647058823522</v>
      </c>
      <c r="N97" s="326">
        <f t="shared" si="9"/>
        <v>1</v>
      </c>
      <c r="O97" s="49">
        <f>(N97/$B$97)*100</f>
        <v>5.8823529411764701</v>
      </c>
      <c r="P97" s="27"/>
    </row>
    <row r="98" spans="1:16" s="23" customFormat="1" ht="28.5" customHeight="1">
      <c r="A98" s="75" t="s">
        <v>225</v>
      </c>
      <c r="B98" s="76">
        <f>SUM(B79:B97)</f>
        <v>518</v>
      </c>
      <c r="C98" s="77">
        <f>SUM(C79:C97)</f>
        <v>100</v>
      </c>
      <c r="D98" s="76">
        <f>SUM(D79:D97)</f>
        <v>25</v>
      </c>
      <c r="E98" s="77">
        <f>(D98/$B$98)*100</f>
        <v>4.8262548262548259</v>
      </c>
      <c r="F98" s="76">
        <f>SUM(F79:F97)</f>
        <v>2</v>
      </c>
      <c r="G98" s="77">
        <f>(F98/$B$98)*100</f>
        <v>0.38610038610038611</v>
      </c>
      <c r="H98" s="76">
        <f>SUM(H79:H97)</f>
        <v>5</v>
      </c>
      <c r="I98" s="77">
        <f>(H98/$B$98)*100</f>
        <v>0.96525096525096521</v>
      </c>
      <c r="J98" s="76">
        <f>SUM(J79:J97)</f>
        <v>66</v>
      </c>
      <c r="K98" s="77">
        <f>(J98/$B$98)*100</f>
        <v>12.741312741312742</v>
      </c>
      <c r="L98" s="76">
        <f>SUM(L79:L97)</f>
        <v>281</v>
      </c>
      <c r="M98" s="77">
        <f>(L98/$B$98)*100</f>
        <v>54.247104247104247</v>
      </c>
      <c r="N98" s="76">
        <f>SUM(N79:N97)</f>
        <v>139</v>
      </c>
      <c r="O98" s="77">
        <f>(N98/$B$98)*100</f>
        <v>26.833976833976834</v>
      </c>
      <c r="P98" s="26"/>
    </row>
    <row r="99" spans="1:16">
      <c r="A99" s="33"/>
      <c r="B99" s="65"/>
      <c r="C99" s="33"/>
      <c r="D99" s="65"/>
      <c r="E99" s="33"/>
      <c r="F99" s="65"/>
      <c r="G99" s="33"/>
      <c r="H99" s="65"/>
      <c r="I99" s="33"/>
      <c r="J99" s="65"/>
      <c r="K99" s="33"/>
      <c r="L99" s="65"/>
      <c r="M99" s="33"/>
      <c r="N99" s="65"/>
      <c r="O99" s="33"/>
      <c r="P99" s="4"/>
    </row>
    <row r="100" spans="1:16">
      <c r="A100" s="33"/>
      <c r="B100" s="65"/>
      <c r="C100" s="33"/>
      <c r="D100" s="65"/>
      <c r="E100" s="33"/>
      <c r="F100" s="65"/>
      <c r="G100" s="33"/>
      <c r="H100" s="65"/>
      <c r="I100" s="33"/>
      <c r="J100" s="65"/>
      <c r="K100" s="33"/>
      <c r="L100" s="65"/>
      <c r="M100" s="33"/>
      <c r="N100" s="65"/>
      <c r="O100" s="33"/>
      <c r="P100" s="4"/>
    </row>
    <row r="101" spans="1:16" ht="23.25" customHeight="1">
      <c r="A101" s="590" t="s">
        <v>4563</v>
      </c>
      <c r="B101" s="590"/>
      <c r="C101" s="590"/>
      <c r="D101" s="590"/>
      <c r="E101" s="590"/>
      <c r="F101" s="590"/>
      <c r="G101" s="590"/>
      <c r="H101" s="590"/>
      <c r="I101" s="590"/>
      <c r="J101" s="590"/>
      <c r="K101" s="590"/>
      <c r="L101" s="590"/>
      <c r="M101" s="590"/>
      <c r="N101" s="590"/>
      <c r="O101" s="590"/>
      <c r="P101" s="24"/>
    </row>
    <row r="102" spans="1:16" ht="132.75" customHeight="1">
      <c r="A102" s="389" t="s">
        <v>11</v>
      </c>
      <c r="B102" s="71" t="s">
        <v>256</v>
      </c>
      <c r="C102" s="389" t="s">
        <v>105</v>
      </c>
      <c r="D102" s="392" t="s">
        <v>250</v>
      </c>
      <c r="E102" s="389" t="s">
        <v>105</v>
      </c>
      <c r="F102" s="393" t="s">
        <v>251</v>
      </c>
      <c r="G102" s="389" t="s">
        <v>105</v>
      </c>
      <c r="H102" s="394" t="s">
        <v>252</v>
      </c>
      <c r="I102" s="389" t="s">
        <v>105</v>
      </c>
      <c r="J102" s="395" t="s">
        <v>253</v>
      </c>
      <c r="K102" s="389" t="s">
        <v>105</v>
      </c>
      <c r="L102" s="396" t="s">
        <v>254</v>
      </c>
      <c r="M102" s="389" t="s">
        <v>105</v>
      </c>
      <c r="N102" s="71" t="s">
        <v>255</v>
      </c>
      <c r="O102" s="389" t="s">
        <v>105</v>
      </c>
      <c r="P102" s="24"/>
    </row>
    <row r="103" spans="1:16" ht="15.75">
      <c r="A103" s="461" t="s">
        <v>163</v>
      </c>
      <c r="B103" s="45">
        <f>'CONSOLIDADO-ACUEDUCTOSRURALES1'!D69</f>
        <v>34</v>
      </c>
      <c r="C103" s="49">
        <f>(B103/$B$126)*100</f>
        <v>6.6536203522504884</v>
      </c>
      <c r="D103" s="29">
        <f>COUNTIFS(SUROESTE!A:A,"Amagá",SUROESTE!S:S,"SIN RIESGO")</f>
        <v>0</v>
      </c>
      <c r="E103" s="49">
        <f>(D103/$B$103)*100</f>
        <v>0</v>
      </c>
      <c r="F103" s="29">
        <f>COUNTIFS(SUROESTE!A:A,"Amagá",SUROESTE!S:S,"BAJO")</f>
        <v>1</v>
      </c>
      <c r="G103" s="49">
        <f>(F103/$B$103)*100</f>
        <v>2.9411764705882351</v>
      </c>
      <c r="H103" s="29">
        <f>COUNTIFS(SUROESTE!A:A,"Amagá",SUROESTE!S:S,"MEDIO")</f>
        <v>2</v>
      </c>
      <c r="I103" s="49">
        <f>(H103/$B$103)*100</f>
        <v>5.8823529411764701</v>
      </c>
      <c r="J103" s="29">
        <f>COUNTIFS(SUROESTE!A:A,"Amagá",SUROESTE!S:S,"ALTO")</f>
        <v>10</v>
      </c>
      <c r="K103" s="49">
        <f>(J103/$B$103)*100</f>
        <v>29.411764705882355</v>
      </c>
      <c r="L103" s="29">
        <f>COUNTIFS(SUROESTE!A:A,"Amagá",SUROESTE!S:S,"INVIABLE SANITARIAMENTE")</f>
        <v>21</v>
      </c>
      <c r="M103" s="49">
        <f>(L103/$B$103)*100</f>
        <v>61.764705882352942</v>
      </c>
      <c r="N103" s="29">
        <f>B103-(D103+F103+H103+J103+L103)</f>
        <v>0</v>
      </c>
      <c r="O103" s="49">
        <f>(N103/$B$103)*100</f>
        <v>0</v>
      </c>
      <c r="P103" s="24"/>
    </row>
    <row r="104" spans="1:16" ht="15.75">
      <c r="A104" s="461" t="s">
        <v>164</v>
      </c>
      <c r="B104" s="45">
        <f>'CONSOLIDADO-ACUEDUCTOSRURALES1'!D70</f>
        <v>58</v>
      </c>
      <c r="C104" s="49">
        <f t="shared" ref="C104:C125" si="10">(B104/$B$126)*100</f>
        <v>11.350293542074363</v>
      </c>
      <c r="D104" s="29">
        <f>COUNTIFS(SUROESTE!A:A,"Andes",SUROESTE!S:S,"SIN RIESGO")</f>
        <v>3</v>
      </c>
      <c r="E104" s="49">
        <f>(D104/$B$104)*100</f>
        <v>5.1724137931034484</v>
      </c>
      <c r="F104" s="29">
        <f>COUNTIFS(SUROESTE!A:A,"Andes",SUROESTE!S:S,"BAJO")</f>
        <v>0</v>
      </c>
      <c r="G104" s="49">
        <f>(F104/$B$104)*100</f>
        <v>0</v>
      </c>
      <c r="H104" s="29">
        <f>COUNTIFS(SUROESTE!A:A,"Andes",SUROESTE!S:S,"MEDIO")</f>
        <v>12</v>
      </c>
      <c r="I104" s="49">
        <f>(H104/$B$104)*100</f>
        <v>20.689655172413794</v>
      </c>
      <c r="J104" s="29">
        <f>COUNTIFS(SUROESTE!A:A,"Andes",SUROESTE!S:S,"ALTO")</f>
        <v>13</v>
      </c>
      <c r="K104" s="49">
        <f>(J104/$B$104)*100</f>
        <v>22.413793103448278</v>
      </c>
      <c r="L104" s="29">
        <f>COUNTIFS(SUROESTE!A:A,"Andes",SUROESTE!S:S,"INVIABLE SANITARIAMENTE")</f>
        <v>6</v>
      </c>
      <c r="M104" s="49">
        <f>(L104/$B$104)*100</f>
        <v>10.344827586206897</v>
      </c>
      <c r="N104" s="326">
        <f t="shared" ref="N104:N125" si="11">B104-(D104+F104+H104+J104+L104)</f>
        <v>24</v>
      </c>
      <c r="O104" s="49">
        <f>(N104/$B$104)*100</f>
        <v>41.379310344827587</v>
      </c>
      <c r="P104" s="24"/>
    </row>
    <row r="105" spans="1:16" ht="15.75">
      <c r="A105" s="461" t="s">
        <v>4094</v>
      </c>
      <c r="B105" s="45">
        <f>'CONSOLIDADO-ACUEDUCTOSRURALES1'!D71</f>
        <v>12</v>
      </c>
      <c r="C105" s="49">
        <f t="shared" si="10"/>
        <v>2.3483365949119372</v>
      </c>
      <c r="D105" s="29">
        <f>COUNTIFS(SUROESTE!A:A,"Angelópolis",SUROESTE!S:S,"SIN RIESGO")</f>
        <v>1</v>
      </c>
      <c r="E105" s="49">
        <f>(D105/$B$105)*100</f>
        <v>8.3333333333333321</v>
      </c>
      <c r="F105" s="29">
        <f>COUNTIFS(SUROESTE!A:A,"Angelópolis",SUROESTE!S:S,"BAJO")</f>
        <v>0</v>
      </c>
      <c r="G105" s="49">
        <f>(F105/$B$105)*100</f>
        <v>0</v>
      </c>
      <c r="H105" s="29">
        <f>COUNTIFS(SUROESTE!A:A,"Angelópolis",SUROESTE!S:S,"MEDIO")</f>
        <v>0</v>
      </c>
      <c r="I105" s="49">
        <f>(H105/$B$105)*100</f>
        <v>0</v>
      </c>
      <c r="J105" s="29">
        <f>COUNTIFS(SUROESTE!A:A,"Angelópolis",SUROESTE!S:S,"ALTO")</f>
        <v>0</v>
      </c>
      <c r="K105" s="49">
        <f>(J105/$B$105)*100</f>
        <v>0</v>
      </c>
      <c r="L105" s="29">
        <f>COUNTIFS(SUROESTE!A:A,"Angelópolis",SUROESTE!S:S,"INVIABLE SANITARIAMENTE")</f>
        <v>11</v>
      </c>
      <c r="M105" s="49">
        <f>(L105/$B$105)*100</f>
        <v>91.666666666666657</v>
      </c>
      <c r="N105" s="326">
        <f t="shared" si="11"/>
        <v>0</v>
      </c>
      <c r="O105" s="49">
        <f>(N105/$B$105)*100</f>
        <v>0</v>
      </c>
      <c r="P105" s="24"/>
    </row>
    <row r="106" spans="1:16" ht="15.75">
      <c r="A106" s="461" t="s">
        <v>165</v>
      </c>
      <c r="B106" s="45">
        <f>'CONSOLIDADO-ACUEDUCTOSRURALES1'!D72</f>
        <v>12</v>
      </c>
      <c r="C106" s="49">
        <f t="shared" si="10"/>
        <v>2.3483365949119372</v>
      </c>
      <c r="D106" s="29">
        <f>COUNTIFS(SUROESTE!A:A,"Betania",SUROESTE!S:S,"SIN RIESGO")</f>
        <v>9</v>
      </c>
      <c r="E106" s="49">
        <f>(D106/$B$106)*100</f>
        <v>75</v>
      </c>
      <c r="F106" s="29">
        <f>COUNTIFS(SUROESTE!A:A,"Betania",SUROESTE!S:S,"BAJO")</f>
        <v>2</v>
      </c>
      <c r="G106" s="49">
        <f>(F106/$B$106)*100</f>
        <v>16.666666666666664</v>
      </c>
      <c r="H106" s="29">
        <f>COUNTIFS(SUROESTE!A:A,"Betania",SUROESTE!S:S,"MEDIO")</f>
        <v>0</v>
      </c>
      <c r="I106" s="49">
        <f>(H106/$B$106)*100</f>
        <v>0</v>
      </c>
      <c r="J106" s="29">
        <f>COUNTIFS(SUROESTE!A:A,"Betania",SUROESTE!S:S,"ALTO")</f>
        <v>0</v>
      </c>
      <c r="K106" s="49">
        <f>(J106/$B$106)*100</f>
        <v>0</v>
      </c>
      <c r="L106" s="29">
        <f>COUNTIFS(SUROESTE!A:A,"Betania",SUROESTE!S:S,"INVIABLE SANITARIAMENTE")</f>
        <v>0</v>
      </c>
      <c r="M106" s="49">
        <f>(L106/$B$106)*100</f>
        <v>0</v>
      </c>
      <c r="N106" s="326">
        <f t="shared" si="11"/>
        <v>1</v>
      </c>
      <c r="O106" s="49">
        <f>(N106/$B$106)*100</f>
        <v>8.3333333333333321</v>
      </c>
      <c r="P106" s="24"/>
    </row>
    <row r="107" spans="1:16" ht="15.75">
      <c r="A107" s="461" t="s">
        <v>47</v>
      </c>
      <c r="B107" s="45">
        <f>'CONSOLIDADO-ACUEDUCTOSRURALES1'!D73</f>
        <v>28</v>
      </c>
      <c r="C107" s="49">
        <f t="shared" si="10"/>
        <v>5.4794520547945202</v>
      </c>
      <c r="D107" s="29">
        <f>COUNTIFS(SUROESTE!A:A,"Betulia",SUROESTE!S:S,"SIN RIESGO")</f>
        <v>3</v>
      </c>
      <c r="E107" s="49">
        <f>(D107/$B$107)*100</f>
        <v>10.714285714285714</v>
      </c>
      <c r="F107" s="29">
        <f>COUNTIFS(SUROESTE!A:A,"Betulia",SUROESTE!S:S,"BAJO")</f>
        <v>0</v>
      </c>
      <c r="G107" s="49">
        <f>(F107/$B$107)*100</f>
        <v>0</v>
      </c>
      <c r="H107" s="29">
        <f>COUNTIFS(SUROESTE!A:A,"Betulia",SUROESTE!S:S,"MEDIO")</f>
        <v>1</v>
      </c>
      <c r="I107" s="49">
        <f>(H107/$B$107)*100</f>
        <v>3.5714285714285712</v>
      </c>
      <c r="J107" s="29">
        <f>COUNTIFS(SUROESTE!A:A,"Betulia",SUROESTE!S:S,"ALTO")</f>
        <v>24</v>
      </c>
      <c r="K107" s="49">
        <f>(J107/$B$107)*100</f>
        <v>85.714285714285708</v>
      </c>
      <c r="L107" s="29">
        <f>COUNTIFS(SUROESTE!A:A,"Betulia",SUROESTE!S:S,"INVIABLE SANITARIAMENTE")</f>
        <v>0</v>
      </c>
      <c r="M107" s="49">
        <f>(L107/$B$107)*100</f>
        <v>0</v>
      </c>
      <c r="N107" s="326">
        <f t="shared" si="11"/>
        <v>0</v>
      </c>
      <c r="O107" s="49">
        <f>(N107/$B$107)*100</f>
        <v>0</v>
      </c>
      <c r="P107" s="24"/>
    </row>
    <row r="108" spans="1:16" ht="15.75">
      <c r="A108" s="461" t="s">
        <v>166</v>
      </c>
      <c r="B108" s="45">
        <f>'CONSOLIDADO-ACUEDUCTOSRURALES1'!D74</f>
        <v>16</v>
      </c>
      <c r="C108" s="49">
        <f t="shared" si="10"/>
        <v>3.131115459882583</v>
      </c>
      <c r="D108" s="29">
        <f>COUNTIFS(SUROESTE!A:A,"Caramanta",SUROESTE!S:S,"SIN RIESGO")</f>
        <v>0</v>
      </c>
      <c r="E108" s="49">
        <f>(D108/$B$108)*100</f>
        <v>0</v>
      </c>
      <c r="F108" s="29">
        <f>COUNTIFS(SUROESTE!A:A,"Caramanta",SUROESTE!S:S,"BAJO")</f>
        <v>0</v>
      </c>
      <c r="G108" s="49">
        <f>(F108/$B$108)*100</f>
        <v>0</v>
      </c>
      <c r="H108" s="29">
        <f>COUNTIFS(SUROESTE!A:A,"Caramanta",SUROESTE!S:S,"MEDIO")</f>
        <v>0</v>
      </c>
      <c r="I108" s="49">
        <f>(H108/$B$108)*100</f>
        <v>0</v>
      </c>
      <c r="J108" s="29">
        <f>COUNTIFS(SUROESTE!A:A,"Caramanta",SUROESTE!S:S,"ALTO")</f>
        <v>0</v>
      </c>
      <c r="K108" s="49">
        <f>(J108/$B$108)*100</f>
        <v>0</v>
      </c>
      <c r="L108" s="29">
        <f>COUNTIFS(SUROESTE!A:A,"Caramanta",SUROESTE!S:S,"INVIABLE SANITARIAMENTE")</f>
        <v>10</v>
      </c>
      <c r="M108" s="49">
        <f>(L108/$B$108)*100</f>
        <v>62.5</v>
      </c>
      <c r="N108" s="326">
        <f t="shared" si="11"/>
        <v>6</v>
      </c>
      <c r="O108" s="49">
        <f>(N108/$B$108)*100</f>
        <v>37.5</v>
      </c>
      <c r="P108" s="24"/>
    </row>
    <row r="109" spans="1:16" ht="15.75">
      <c r="A109" s="461" t="s">
        <v>167</v>
      </c>
      <c r="B109" s="45">
        <f>'CONSOLIDADO-ACUEDUCTOSRURALES1'!D75</f>
        <v>17</v>
      </c>
      <c r="C109" s="49">
        <f t="shared" si="10"/>
        <v>3.3268101761252442</v>
      </c>
      <c r="D109" s="29">
        <f>COUNTIFS(SUROESTE!A:A,"Ciudad Bolívar",SUROESTE!S:S,"SIN RIESGO")</f>
        <v>5</v>
      </c>
      <c r="E109" s="49">
        <f>(D109/$B$109)*100</f>
        <v>29.411764705882355</v>
      </c>
      <c r="F109" s="29">
        <f>COUNTIFS(SUROESTE!A:A,"Ciudad Bolívar",SUROESTE!S:S,"BAJO")</f>
        <v>0</v>
      </c>
      <c r="G109" s="49">
        <f>(F109/$B$109)*100</f>
        <v>0</v>
      </c>
      <c r="H109" s="29">
        <f>COUNTIFS(SUROESTE!A:A,"Ciudad Bolívar",SUROESTE!S:S,"MEDIO")</f>
        <v>0</v>
      </c>
      <c r="I109" s="49">
        <f>(H109/$B$109)*100</f>
        <v>0</v>
      </c>
      <c r="J109" s="29">
        <f>COUNTIFS(SUROESTE!A:A,"Ciudad Bolívar",SUROESTE!S:S,"ALTO")</f>
        <v>4</v>
      </c>
      <c r="K109" s="49">
        <f>(J109/$B$109)*100</f>
        <v>23.52941176470588</v>
      </c>
      <c r="L109" s="29">
        <f>COUNTIFS(SUROESTE!A:A,"Ciudad Bolívar",SUROESTE!S:S,"INVIABLE SANITARIAMENTE")</f>
        <v>5</v>
      </c>
      <c r="M109" s="49">
        <f>(L109/$B$109)*100</f>
        <v>29.411764705882355</v>
      </c>
      <c r="N109" s="326">
        <f t="shared" si="11"/>
        <v>3</v>
      </c>
      <c r="O109" s="49">
        <f>(N109/$B$109)*100</f>
        <v>17.647058823529413</v>
      </c>
      <c r="P109" s="24"/>
    </row>
    <row r="110" spans="1:16" ht="15.75">
      <c r="A110" s="461" t="s">
        <v>168</v>
      </c>
      <c r="B110" s="45">
        <f>'CONSOLIDADO-ACUEDUCTOSRURALES1'!D76</f>
        <v>21</v>
      </c>
      <c r="C110" s="49">
        <f t="shared" si="10"/>
        <v>4.10958904109589</v>
      </c>
      <c r="D110" s="29">
        <f>COUNTIFS(SUROESTE!A:A,"Concordia",SUROESTE!S:S,"SIN RIESGO")</f>
        <v>2</v>
      </c>
      <c r="E110" s="49">
        <f>(D110/$B$110)*100</f>
        <v>9.5238095238095237</v>
      </c>
      <c r="F110" s="29">
        <f>COUNTIFS(SUROESTE!A:A,"Concordia",SUROESTE!S:S,"BAJO")</f>
        <v>0</v>
      </c>
      <c r="G110" s="49">
        <f>(F110/$B$110)*100</f>
        <v>0</v>
      </c>
      <c r="H110" s="29">
        <f>COUNTIFS(SUROESTE!A:A,"Concordia",SUROESTE!S:S,"MEDIO")</f>
        <v>2</v>
      </c>
      <c r="I110" s="49">
        <f>(H110/$B$110)*100</f>
        <v>9.5238095238095237</v>
      </c>
      <c r="J110" s="29">
        <f>COUNTIFS(SUROESTE!A:A,"Concordia",SUROESTE!S:S,"ALTO")</f>
        <v>10</v>
      </c>
      <c r="K110" s="49">
        <f>(J110/$B$110)*100</f>
        <v>47.619047619047613</v>
      </c>
      <c r="L110" s="29">
        <f>COUNTIFS(SUROESTE!A:A,"Concordia",SUROESTE!S:S,"INVIABLE SANITARIAMENTE")</f>
        <v>7</v>
      </c>
      <c r="M110" s="49">
        <f>(L110/$B$110)*100</f>
        <v>33.333333333333329</v>
      </c>
      <c r="N110" s="326">
        <f t="shared" si="11"/>
        <v>0</v>
      </c>
      <c r="O110" s="49">
        <f>(N110/$B$110)*100</f>
        <v>0</v>
      </c>
      <c r="P110" s="24"/>
    </row>
    <row r="111" spans="1:16" ht="15.75">
      <c r="A111" s="461" t="s">
        <v>169</v>
      </c>
      <c r="B111" s="45">
        <f>'CONSOLIDADO-ACUEDUCTOSRURALES1'!D77</f>
        <v>36</v>
      </c>
      <c r="C111" s="49">
        <f t="shared" si="10"/>
        <v>7.0450097847358117</v>
      </c>
      <c r="D111" s="29">
        <f>COUNTIFS(SUROESTE!A:A,"Fredonia",SUROESTE!S:S,"SIN RIESGO")</f>
        <v>9</v>
      </c>
      <c r="E111" s="49">
        <f>(D111/$B$111)*100</f>
        <v>25</v>
      </c>
      <c r="F111" s="29">
        <f>COUNTIFS(SUROESTE!A:A,"Fredonia",SUROESTE!S:S,"BAJO")</f>
        <v>3</v>
      </c>
      <c r="G111" s="49">
        <f>(F111/$B$111)*100</f>
        <v>8.3333333333333321</v>
      </c>
      <c r="H111" s="29">
        <f>COUNTIFS(SUROESTE!A:A,"Fredonia",SUROESTE!S:S,"MEDIO")</f>
        <v>4</v>
      </c>
      <c r="I111" s="49">
        <f>(H111/$B$111)*100</f>
        <v>11.111111111111111</v>
      </c>
      <c r="J111" s="29">
        <f>COUNTIFS(SUROESTE!A:A,"Fredonia",SUROESTE!S:S,"ALTO")</f>
        <v>0</v>
      </c>
      <c r="K111" s="49">
        <f>(J111/$B$111)*100</f>
        <v>0</v>
      </c>
      <c r="L111" s="29">
        <f>COUNTIFS(SUROESTE!A:A,"Fredonia",SUROESTE!S:S,"INVIABLE SANITARIAMENTE")</f>
        <v>19</v>
      </c>
      <c r="M111" s="49">
        <f>(L111/$B$111)*100</f>
        <v>52.777777777777779</v>
      </c>
      <c r="N111" s="326">
        <f t="shared" si="11"/>
        <v>1</v>
      </c>
      <c r="O111" s="49">
        <f>(N111/$B$111)*100</f>
        <v>2.7777777777777777</v>
      </c>
      <c r="P111" s="24"/>
    </row>
    <row r="112" spans="1:16" ht="15.75">
      <c r="A112" s="461" t="s">
        <v>170</v>
      </c>
      <c r="B112" s="45">
        <f>'CONSOLIDADO-ACUEDUCTOSRURALES1'!D78</f>
        <v>9</v>
      </c>
      <c r="C112" s="49">
        <f t="shared" si="10"/>
        <v>1.7612524461839529</v>
      </c>
      <c r="D112" s="29">
        <f>COUNTIFS(SUROESTE!A:A,"Hispania",SUROESTE!S:S,"SIN RIESGO")</f>
        <v>0</v>
      </c>
      <c r="E112" s="49">
        <f>(D112/$B$112)*100</f>
        <v>0</v>
      </c>
      <c r="F112" s="29">
        <f>COUNTIFS(SUROESTE!A:A,"Hispania",SUROESTE!S:S,"BAJO")</f>
        <v>0</v>
      </c>
      <c r="G112" s="49">
        <f>(F112/$B$112)*100</f>
        <v>0</v>
      </c>
      <c r="H112" s="29">
        <f>COUNTIFS(SUROESTE!A:A,"Hispania",SUROESTE!S:S,"MEDIO")</f>
        <v>5</v>
      </c>
      <c r="I112" s="49">
        <f>(H112/$B$112)*100</f>
        <v>55.555555555555557</v>
      </c>
      <c r="J112" s="29">
        <f>COUNTIFS(SUROESTE!A:A,"Hispania",SUROESTE!S:S,"ALTO")</f>
        <v>4</v>
      </c>
      <c r="K112" s="49">
        <f>(J112/$B$112)*100</f>
        <v>44.444444444444443</v>
      </c>
      <c r="L112" s="29">
        <f>COUNTIFS(SUROESTE!A:A,"Hispania",SUROESTE!S:S,"INVIABLE SANITARIAMENTE")</f>
        <v>0</v>
      </c>
      <c r="M112" s="49">
        <f>(L112/$B$112)*100</f>
        <v>0</v>
      </c>
      <c r="N112" s="326">
        <f t="shared" si="11"/>
        <v>0</v>
      </c>
      <c r="O112" s="49">
        <f>(N112/$B$112)*100</f>
        <v>0</v>
      </c>
      <c r="P112" s="24"/>
    </row>
    <row r="113" spans="1:16" ht="15.75">
      <c r="A113" s="461" t="s">
        <v>171</v>
      </c>
      <c r="B113" s="45">
        <f>'CONSOLIDADO-ACUEDUCTOSRURALES1'!D79</f>
        <v>23</v>
      </c>
      <c r="C113" s="49">
        <f t="shared" si="10"/>
        <v>4.5009784735812133</v>
      </c>
      <c r="D113" s="29">
        <f>COUNTIFS(SUROESTE!A:A,"Jardín",SUROESTE!S:S,"SIN RIESGO")</f>
        <v>1</v>
      </c>
      <c r="E113" s="49">
        <f>(D113/$B$113)*100</f>
        <v>4.3478260869565215</v>
      </c>
      <c r="F113" s="29">
        <f>COUNTIFS(SUROESTE!A:A,"Jardín",SUROESTE!S:S,"BAJO")</f>
        <v>0</v>
      </c>
      <c r="G113" s="49">
        <f>(F113/$B$113)*100</f>
        <v>0</v>
      </c>
      <c r="H113" s="29">
        <f>COUNTIFS(SUROESTE!A:A,"Jardín",SUROESTE!S:S,"MEDIO")</f>
        <v>0</v>
      </c>
      <c r="I113" s="49">
        <f>(H113/$B$113)*100</f>
        <v>0</v>
      </c>
      <c r="J113" s="29">
        <f>COUNTIFS(SUROESTE!A:A,"Jardín",SUROESTE!S:S,"ALTO")</f>
        <v>1</v>
      </c>
      <c r="K113" s="49">
        <f>(J113/$B$113)*100</f>
        <v>4.3478260869565215</v>
      </c>
      <c r="L113" s="29">
        <f>COUNTIFS(SUROESTE!A:A,"Jardín",SUROESTE!S:S,"INVIABLE SANITARIAMENTE")</f>
        <v>21</v>
      </c>
      <c r="M113" s="49">
        <f>(L113/$B$113)*100</f>
        <v>91.304347826086953</v>
      </c>
      <c r="N113" s="366">
        <f t="shared" si="11"/>
        <v>0</v>
      </c>
      <c r="O113" s="49">
        <f>(N113/$B$113)*100</f>
        <v>0</v>
      </c>
      <c r="P113" s="24"/>
    </row>
    <row r="114" spans="1:16" ht="15.75">
      <c r="A114" s="461" t="s">
        <v>172</v>
      </c>
      <c r="B114" s="45">
        <f>'CONSOLIDADO-ACUEDUCTOSRURALES1'!D80</f>
        <v>25</v>
      </c>
      <c r="C114" s="49">
        <f t="shared" si="10"/>
        <v>4.8923679060665357</v>
      </c>
      <c r="D114" s="29">
        <f>COUNTIFS(SUROESTE!A:A,"Jericó",SUROESTE!S:S,"SIN RIESGO")</f>
        <v>3</v>
      </c>
      <c r="E114" s="49">
        <f>(D114/$B$114)*100</f>
        <v>12</v>
      </c>
      <c r="F114" s="29">
        <f>COUNTIFS(SUROESTE!A:A,"Jericó",SUROESTE!S:S,"BAJO")</f>
        <v>0</v>
      </c>
      <c r="G114" s="49">
        <f>(F114/$B$114)*100</f>
        <v>0</v>
      </c>
      <c r="H114" s="29">
        <f>COUNTIFS(SUROESTE!A:A,"Jericó",SUROESTE!S:S,"MEDIO")</f>
        <v>0</v>
      </c>
      <c r="I114" s="49">
        <f>(H114/$B$114)*100</f>
        <v>0</v>
      </c>
      <c r="J114" s="29">
        <f>COUNTIFS(SUROESTE!A:A,"Jericó",SUROESTE!S:S,"ALTO")</f>
        <v>3</v>
      </c>
      <c r="K114" s="49">
        <f>(J114/$B$114)*100</f>
        <v>12</v>
      </c>
      <c r="L114" s="29">
        <f>COUNTIFS(SUROESTE!A:A,"Jericó",SUROESTE!S:S,"INVIABLE SANITARIAMENTE")</f>
        <v>19</v>
      </c>
      <c r="M114" s="49">
        <f>(L114/$B$114)*100</f>
        <v>76</v>
      </c>
      <c r="N114" s="326">
        <f t="shared" si="11"/>
        <v>0</v>
      </c>
      <c r="O114" s="49">
        <f>(N114/$B$114)*100</f>
        <v>0</v>
      </c>
      <c r="P114" s="24"/>
    </row>
    <row r="115" spans="1:16" ht="15.75">
      <c r="A115" s="461" t="s">
        <v>173</v>
      </c>
      <c r="B115" s="45">
        <f>'CONSOLIDADO-ACUEDUCTOSRURALES1'!D81</f>
        <v>0</v>
      </c>
      <c r="C115" s="49">
        <f t="shared" si="10"/>
        <v>0</v>
      </c>
      <c r="D115" s="29">
        <f>COUNTIFS(SUROESTE!A:A,"La Pintada",SUROESTE!S:S,"SIN RIESGO")</f>
        <v>0</v>
      </c>
      <c r="E115" s="49">
        <v>0</v>
      </c>
      <c r="F115" s="29">
        <f>COUNTIFS(SUROESTE!A:A,"La Pintada",SUROESTE!S:S,"BAJO")</f>
        <v>0</v>
      </c>
      <c r="G115" s="49">
        <v>0</v>
      </c>
      <c r="H115" s="29">
        <f>COUNTIFS(SUROESTE!A:A,"La Pintada",SUROESTE!S:S,"MEDIO")</f>
        <v>0</v>
      </c>
      <c r="I115" s="49">
        <v>0</v>
      </c>
      <c r="J115" s="29">
        <f>COUNTIFS(SUROESTE!A:A,"La Pintada",SUROESTE!S:S,"ALTO")</f>
        <v>0</v>
      </c>
      <c r="K115" s="49">
        <v>0</v>
      </c>
      <c r="L115" s="29">
        <f>COUNTIFS(SUROESTE!A:A,"La Pintada",SUROESTE!S:S,"INVIABLE SANITARIAMENTE")</f>
        <v>0</v>
      </c>
      <c r="M115" s="49">
        <v>0</v>
      </c>
      <c r="N115" s="326">
        <f t="shared" si="11"/>
        <v>0</v>
      </c>
      <c r="O115" s="49">
        <v>0</v>
      </c>
      <c r="P115" s="24"/>
    </row>
    <row r="116" spans="1:16" ht="15.75">
      <c r="A116" s="461" t="s">
        <v>174</v>
      </c>
      <c r="B116" s="45">
        <f>'CONSOLIDADO-ACUEDUCTOSRURALES1'!D82</f>
        <v>19</v>
      </c>
      <c r="C116" s="49">
        <f t="shared" si="10"/>
        <v>3.7181996086105675</v>
      </c>
      <c r="D116" s="29">
        <f>COUNTIFS(SUROESTE!A:A,"Montebello",SUROESTE!S:S,"SIN RIESGO")</f>
        <v>0</v>
      </c>
      <c r="E116" s="49">
        <f>(D116/$B$116)*100</f>
        <v>0</v>
      </c>
      <c r="F116" s="29">
        <f>COUNTIFS(SUROESTE!A:A,"Montebello",SUROESTE!S:S,"BAJO")</f>
        <v>1</v>
      </c>
      <c r="G116" s="49">
        <f>(F116/$B$116)*100</f>
        <v>5.2631578947368416</v>
      </c>
      <c r="H116" s="29">
        <f>COUNTIFS(SUROESTE!A:A,"Montebello",SUROESTE!S:S,"MEDIO")</f>
        <v>1</v>
      </c>
      <c r="I116" s="49">
        <f>(H116/$B$116)*100</f>
        <v>5.2631578947368416</v>
      </c>
      <c r="J116" s="29">
        <f>COUNTIFS(SUROESTE!A:A,"Montebello",SUROESTE!S:S,"ALTO")</f>
        <v>0</v>
      </c>
      <c r="K116" s="49">
        <f>(J116/$B$116)*100</f>
        <v>0</v>
      </c>
      <c r="L116" s="29">
        <f>COUNTIFS(SUROESTE!A:A,"Montebello",SUROESTE!S:S,"INVIABLE SANITARIAMENTE")</f>
        <v>16</v>
      </c>
      <c r="M116" s="49">
        <f>(L116/$B$116)*100</f>
        <v>84.210526315789465</v>
      </c>
      <c r="N116" s="326">
        <f t="shared" si="11"/>
        <v>1</v>
      </c>
      <c r="O116" s="49">
        <f>(N116/$B$116)*100</f>
        <v>5.2631578947368416</v>
      </c>
      <c r="P116" s="24"/>
    </row>
    <row r="117" spans="1:16" ht="15.75">
      <c r="A117" s="461" t="s">
        <v>175</v>
      </c>
      <c r="B117" s="45">
        <f>'CONSOLIDADO-ACUEDUCTOSRURALES1'!D83</f>
        <v>6</v>
      </c>
      <c r="C117" s="49">
        <f t="shared" si="10"/>
        <v>1.1741682974559686</v>
      </c>
      <c r="D117" s="29">
        <f>COUNTIFS(SUROESTE!A:A,"Pueblorrico",SUROESTE!S:S,"SIN RIESGO")</f>
        <v>0</v>
      </c>
      <c r="E117" s="49">
        <f>(D117/$B$117)*100</f>
        <v>0</v>
      </c>
      <c r="F117" s="29">
        <f>COUNTIFS(SUROESTE!A:A,"Pueblorrico",SUROESTE!S:S,"BAJO")</f>
        <v>0</v>
      </c>
      <c r="G117" s="49">
        <f>(F117/$B$117)*100</f>
        <v>0</v>
      </c>
      <c r="H117" s="29">
        <f>COUNTIFS(SUROESTE!A:A,"Pueblorrico",SUROESTE!S:S,"MEDIO")</f>
        <v>0</v>
      </c>
      <c r="I117" s="49">
        <f>(H117/$B$117)*100</f>
        <v>0</v>
      </c>
      <c r="J117" s="29">
        <f>COUNTIFS(SUROESTE!A:A,"Pueblorrico",SUROESTE!S:S,"ALTO")</f>
        <v>0</v>
      </c>
      <c r="K117" s="49">
        <f>(J117/$B$117)*100</f>
        <v>0</v>
      </c>
      <c r="L117" s="29">
        <f>COUNTIFS(SUROESTE!A:A,"Pueblorrico",SUROESTE!S:S,"INVIABLE SANITARIAMENTE")</f>
        <v>6</v>
      </c>
      <c r="M117" s="49">
        <f>(L117/$B$117)*100</f>
        <v>100</v>
      </c>
      <c r="N117" s="326">
        <f t="shared" si="11"/>
        <v>0</v>
      </c>
      <c r="O117" s="49">
        <f>(N117/$B$117)*100</f>
        <v>0</v>
      </c>
      <c r="P117" s="24"/>
    </row>
    <row r="118" spans="1:16" ht="15.75">
      <c r="A118" s="461" t="s">
        <v>176</v>
      </c>
      <c r="B118" s="45">
        <f>'CONSOLIDADO-ACUEDUCTOSRURALES1'!D84</f>
        <v>27</v>
      </c>
      <c r="C118" s="49">
        <f t="shared" si="10"/>
        <v>5.283757338551859</v>
      </c>
      <c r="D118" s="29">
        <f>COUNTIFS(SUROESTE!A:A,"Salgar",SUROESTE!S:S,"SIN RIESGO")</f>
        <v>3</v>
      </c>
      <c r="E118" s="49">
        <f>(D118/$B$118)*100</f>
        <v>11.111111111111111</v>
      </c>
      <c r="F118" s="29">
        <f>COUNTIFS(SUROESTE!A:A,"Salgar",SUROESTE!S:S,"BAJO")</f>
        <v>0</v>
      </c>
      <c r="G118" s="49">
        <f>(F118/$B$118)*100</f>
        <v>0</v>
      </c>
      <c r="H118" s="29">
        <f>COUNTIFS(SUROESTE!A:A,"Salgar",SUROESTE!S:S,"MEDIO")</f>
        <v>1</v>
      </c>
      <c r="I118" s="49">
        <f>(H118/$B$118)*100</f>
        <v>3.7037037037037033</v>
      </c>
      <c r="J118" s="29">
        <f>COUNTIFS(SUROESTE!A:A,"Salgar",SUROESTE!S:S,"ALTO")</f>
        <v>15</v>
      </c>
      <c r="K118" s="49">
        <f>(J118/$B$118)*100</f>
        <v>55.555555555555557</v>
      </c>
      <c r="L118" s="29">
        <f>COUNTIFS(SUROESTE!A:A,"Salgar",SUROESTE!S:S,"INVIABLE SANITARIAMENTE")</f>
        <v>0</v>
      </c>
      <c r="M118" s="49">
        <f>(L118/$B$118)*100</f>
        <v>0</v>
      </c>
      <c r="N118" s="326">
        <f t="shared" si="11"/>
        <v>8</v>
      </c>
      <c r="O118" s="49">
        <f>(N118/$B$118)*100</f>
        <v>29.629629629629626</v>
      </c>
      <c r="P118" s="24"/>
    </row>
    <row r="119" spans="1:16" ht="15.75">
      <c r="A119" s="461" t="s">
        <v>177</v>
      </c>
      <c r="B119" s="45">
        <f>'CONSOLIDADO-ACUEDUCTOSRURALES1'!D85</f>
        <v>41</v>
      </c>
      <c r="C119" s="49">
        <f t="shared" si="10"/>
        <v>8.0234833659491187</v>
      </c>
      <c r="D119" s="29">
        <f>COUNTIFS(SUROESTE!A:A,"Santa Bárbara",SUROESTE!S:S,"SIN RIESGO")</f>
        <v>17</v>
      </c>
      <c r="E119" s="49">
        <f>(D119/$B$119)*100</f>
        <v>41.463414634146339</v>
      </c>
      <c r="F119" s="29">
        <f>COUNTIFS(SUROESTE!A:A,"Santa Bárbara",SUROESTE!S:S,"BAJO")</f>
        <v>0</v>
      </c>
      <c r="G119" s="49">
        <f>(F119/$B$119)*100</f>
        <v>0</v>
      </c>
      <c r="H119" s="29">
        <f>COUNTIFS(SUROESTE!A:A,"Santa Bárbara",SUROESTE!S:S,"MEDIO")</f>
        <v>0</v>
      </c>
      <c r="I119" s="49">
        <f>(H119/$B$119)*100</f>
        <v>0</v>
      </c>
      <c r="J119" s="29">
        <f>COUNTIFS(SUROESTE!A:A,"Santa Bárbara",SUROESTE!S:S,"ALTO")</f>
        <v>2</v>
      </c>
      <c r="K119" s="49">
        <f>(J119/$B$119)*100</f>
        <v>4.8780487804878048</v>
      </c>
      <c r="L119" s="29">
        <f>COUNTIFS(SUROESTE!A:A,"Santa Bárbara",SUROESTE!S:S,"INVIABLE SANITARIAMENTE")</f>
        <v>22</v>
      </c>
      <c r="M119" s="49">
        <f>(L119/$B$119)*100</f>
        <v>53.658536585365859</v>
      </c>
      <c r="N119" s="326">
        <f t="shared" si="11"/>
        <v>0</v>
      </c>
      <c r="O119" s="49">
        <f>(N119/$B$119)*100</f>
        <v>0</v>
      </c>
      <c r="P119" s="24"/>
    </row>
    <row r="120" spans="1:16" ht="15.75">
      <c r="A120" s="461" t="s">
        <v>178</v>
      </c>
      <c r="B120" s="45">
        <f>'CONSOLIDADO-ACUEDUCTOSRURALES1'!D86</f>
        <v>33</v>
      </c>
      <c r="C120" s="49">
        <f t="shared" si="10"/>
        <v>6.4579256360078272</v>
      </c>
      <c r="D120" s="29">
        <f>COUNTIFS(SUROESTE!A:A,"Támesis",SUROESTE!S:S,"SIN RIESGO")</f>
        <v>6</v>
      </c>
      <c r="E120" s="49">
        <f>(D120/$B$120)*100</f>
        <v>18.181818181818183</v>
      </c>
      <c r="F120" s="29">
        <f>COUNTIFS(SUROESTE!A:A,"Támesis",SUROESTE!S:S,"BAJO")</f>
        <v>1</v>
      </c>
      <c r="G120" s="49">
        <f>(F120/$B$120)*100</f>
        <v>3.0303030303030303</v>
      </c>
      <c r="H120" s="29">
        <f>COUNTIFS(SUROESTE!A:A,"Támesis",SUROESTE!S:S,"MEDIO")</f>
        <v>0</v>
      </c>
      <c r="I120" s="49">
        <f>(H120/$B$120)*100</f>
        <v>0</v>
      </c>
      <c r="J120" s="29">
        <f>COUNTIFS(SUROESTE!A:A,"Támesis",SUROESTE!S:S,"ALTO")</f>
        <v>23</v>
      </c>
      <c r="K120" s="49">
        <f>(J120/$B$120)*100</f>
        <v>69.696969696969703</v>
      </c>
      <c r="L120" s="29">
        <f>COUNTIFS(SUROESTE!A:A,"Támesis",SUROESTE!S:S,"INVIABLE SANITARIAMENTE")</f>
        <v>3</v>
      </c>
      <c r="M120" s="49">
        <f>(L120/$B$120)*100</f>
        <v>9.0909090909090917</v>
      </c>
      <c r="N120" s="326">
        <f t="shared" si="11"/>
        <v>0</v>
      </c>
      <c r="O120" s="49">
        <f>(N120/$B$120)*100</f>
        <v>0</v>
      </c>
      <c r="P120" s="24"/>
    </row>
    <row r="121" spans="1:16" ht="15.75">
      <c r="A121" s="461" t="s">
        <v>179</v>
      </c>
      <c r="B121" s="45">
        <f>'CONSOLIDADO-ACUEDUCTOSRURALES1'!D87</f>
        <v>13</v>
      </c>
      <c r="C121" s="49">
        <f t="shared" si="10"/>
        <v>2.5440313111545985</v>
      </c>
      <c r="D121" s="29">
        <f>COUNTIFS(SUROESTE!A:A,"Tarso",SUROESTE!S:S,"SIN RIESGO")</f>
        <v>7</v>
      </c>
      <c r="E121" s="49">
        <f>(D121/$B$121)*100</f>
        <v>53.846153846153847</v>
      </c>
      <c r="F121" s="29">
        <f>COUNTIFS(SUROESTE!A:A,"Tarso",SUROESTE!S:S,"BAJO")</f>
        <v>0</v>
      </c>
      <c r="G121" s="49">
        <f>(F121/$B$121)*100</f>
        <v>0</v>
      </c>
      <c r="H121" s="29">
        <f>COUNTIFS(SUROESTE!A:A,"Tarso",SUROESTE!S:S,"MEDIO")</f>
        <v>0</v>
      </c>
      <c r="I121" s="49">
        <f>(H121/$B$121)*100</f>
        <v>0</v>
      </c>
      <c r="J121" s="29">
        <f>COUNTIFS(SUROESTE!A:A,"Tarso",SUROESTE!S:S,"ALTO")</f>
        <v>0</v>
      </c>
      <c r="K121" s="49">
        <f>(J121/$B$121)*100</f>
        <v>0</v>
      </c>
      <c r="L121" s="29">
        <f>COUNTIFS(SUROESTE!A:A,"Tarso",SUROESTE!S:S,"INVIABLE SANITARIAMENTE")</f>
        <v>3</v>
      </c>
      <c r="M121" s="49">
        <f>(L121/$B$121)*100</f>
        <v>23.076923076923077</v>
      </c>
      <c r="N121" s="326">
        <f t="shared" si="11"/>
        <v>3</v>
      </c>
      <c r="O121" s="49">
        <f>(N121/$B$121)*100</f>
        <v>23.076923076923077</v>
      </c>
      <c r="P121" s="24"/>
    </row>
    <row r="122" spans="1:16" ht="15.75">
      <c r="A122" s="461" t="s">
        <v>180</v>
      </c>
      <c r="B122" s="45">
        <f>'CONSOLIDADO-ACUEDUCTOSRURALES1'!D88</f>
        <v>23</v>
      </c>
      <c r="C122" s="49">
        <f t="shared" si="10"/>
        <v>4.5009784735812133</v>
      </c>
      <c r="D122" s="29">
        <f>COUNTIFS(SUROESTE!A:A,"Titiribí",SUROESTE!S:S,"SIN RIESGO")</f>
        <v>1</v>
      </c>
      <c r="E122" s="49">
        <f>(D122/$B$122)*100</f>
        <v>4.3478260869565215</v>
      </c>
      <c r="F122" s="29">
        <f>COUNTIFS(SUROESTE!A:A,"Titiribí",SUROESTE!S:S,"BAJO")</f>
        <v>0</v>
      </c>
      <c r="G122" s="49">
        <f>(F122/$B$122)*100</f>
        <v>0</v>
      </c>
      <c r="H122" s="29">
        <f>COUNTIFS(SUROESTE!A:A,"Titiribí",SUROESTE!S:S,"MEDIO")</f>
        <v>0</v>
      </c>
      <c r="I122" s="49">
        <f>(H122/$B$122)*100</f>
        <v>0</v>
      </c>
      <c r="J122" s="29">
        <f>COUNTIFS(SUROESTE!A:A,"Titiribí",SUROESTE!S:S,"ALTO")</f>
        <v>1</v>
      </c>
      <c r="K122" s="49">
        <f>(J122/$B$122)*100</f>
        <v>4.3478260869565215</v>
      </c>
      <c r="L122" s="29">
        <f>COUNTIFS(SUROESTE!A:A,"Titiribí",SUROESTE!S:S,"INVIABLE SANITARIAMENTE")</f>
        <v>21</v>
      </c>
      <c r="M122" s="49">
        <f>(L122/$B$122)*100</f>
        <v>91.304347826086953</v>
      </c>
      <c r="N122" s="326">
        <f t="shared" si="11"/>
        <v>0</v>
      </c>
      <c r="O122" s="49">
        <f>(N122/$B$122)*100</f>
        <v>0</v>
      </c>
      <c r="P122" s="24"/>
    </row>
    <row r="123" spans="1:16" ht="15.75">
      <c r="A123" s="461" t="s">
        <v>181</v>
      </c>
      <c r="B123" s="45">
        <f>'CONSOLIDADO-ACUEDUCTOSRURALES1'!D89</f>
        <v>31</v>
      </c>
      <c r="C123" s="49">
        <f t="shared" si="10"/>
        <v>6.0665362035225048</v>
      </c>
      <c r="D123" s="29">
        <f>COUNTIFS(SUROESTE!A:A,"Urrao",SUROESTE!S:S,"SIN RIESGO")</f>
        <v>0</v>
      </c>
      <c r="E123" s="49">
        <f>(D123/$B$123)*100</f>
        <v>0</v>
      </c>
      <c r="F123" s="29">
        <f>COUNTIFS(SUROESTE!A:A,"Urrao",SUROESTE!S:S,"BAJO")</f>
        <v>0</v>
      </c>
      <c r="G123" s="49">
        <f>(F123/$B$123)*100</f>
        <v>0</v>
      </c>
      <c r="H123" s="29">
        <f>COUNTIFS(SUROESTE!A:A,"Urrao",SUROESTE!S:S,"MEDIO")</f>
        <v>2</v>
      </c>
      <c r="I123" s="49">
        <f>(H123/$B$123)*100</f>
        <v>6.4516129032258061</v>
      </c>
      <c r="J123" s="29">
        <f>COUNTIFS(SUROESTE!A:A,"Urrao",SUROESTE!S:S,"ALTO")</f>
        <v>0</v>
      </c>
      <c r="K123" s="49">
        <f>(J123/$B$123)*100</f>
        <v>0</v>
      </c>
      <c r="L123" s="29">
        <f>COUNTIFS(SUROESTE!A:A,"Urrao",SUROESTE!S:S,"INVIABLE SANITARIAMENTE")</f>
        <v>16</v>
      </c>
      <c r="M123" s="49">
        <f>(L123/$B$123)*100</f>
        <v>51.612903225806448</v>
      </c>
      <c r="N123" s="326">
        <f t="shared" si="11"/>
        <v>13</v>
      </c>
      <c r="O123" s="49">
        <f>(N123/$B$123)*100</f>
        <v>41.935483870967744</v>
      </c>
      <c r="P123" s="24"/>
    </row>
    <row r="124" spans="1:16" ht="15.75">
      <c r="A124" s="461" t="s">
        <v>182</v>
      </c>
      <c r="B124" s="45">
        <f>'CONSOLIDADO-ACUEDUCTOSRURALES1'!D90</f>
        <v>16</v>
      </c>
      <c r="C124" s="49">
        <f t="shared" si="10"/>
        <v>3.131115459882583</v>
      </c>
      <c r="D124" s="29">
        <f>COUNTIFS(SUROESTE!A:A,"Valparaíso",SUROESTE!S:S,"SIN RIESGO")</f>
        <v>0</v>
      </c>
      <c r="E124" s="49">
        <f>(D124/$B$124)*100</f>
        <v>0</v>
      </c>
      <c r="F124" s="29">
        <f>COUNTIFS(SUROESTE!A:A,"Valparaíso",SUROESTE!S:S,"BAJO")</f>
        <v>0</v>
      </c>
      <c r="G124" s="49">
        <f>(F124/$B$124)*100</f>
        <v>0</v>
      </c>
      <c r="H124" s="29">
        <f>COUNTIFS(SUROESTE!A:A,"Valparaíso",SUROESTE!S:S,"MEDIO")</f>
        <v>0</v>
      </c>
      <c r="I124" s="49">
        <f>(H124/$B$124)*100</f>
        <v>0</v>
      </c>
      <c r="J124" s="29">
        <f>COUNTIFS(SUROESTE!A:A,"Valparaíso",SUROESTE!S:S,"ALTO")</f>
        <v>13</v>
      </c>
      <c r="K124" s="49">
        <f>(J124/$B$124)*100</f>
        <v>81.25</v>
      </c>
      <c r="L124" s="29">
        <f>COUNTIFS(SUROESTE!A:A,"Valparaíso",SUROESTE!S:S,"INVIABLE SANITARIAMENTE")</f>
        <v>1</v>
      </c>
      <c r="M124" s="49">
        <f>(L124/$B$124)*100</f>
        <v>6.25</v>
      </c>
      <c r="N124" s="326">
        <f t="shared" si="11"/>
        <v>2</v>
      </c>
      <c r="O124" s="49">
        <f>(N124/$B$124)*100</f>
        <v>12.5</v>
      </c>
      <c r="P124" s="24"/>
    </row>
    <row r="125" spans="1:16" ht="15.75">
      <c r="A125" s="461" t="s">
        <v>183</v>
      </c>
      <c r="B125" s="45">
        <f>'CONSOLIDADO-ACUEDUCTOSRURALES1'!D91</f>
        <v>11</v>
      </c>
      <c r="C125" s="49">
        <f t="shared" si="10"/>
        <v>2.152641878669276</v>
      </c>
      <c r="D125" s="29">
        <f>COUNTIFS(SUROESTE!A:A,"Venecia",SUROESTE!S:S,"SIN RIESGO")</f>
        <v>2</v>
      </c>
      <c r="E125" s="49">
        <f>(D125/$B$125)*100</f>
        <v>18.181818181818183</v>
      </c>
      <c r="F125" s="29">
        <f>COUNTIFS(SUROESTE!A:A,"Venecia",SUROESTE!S:S,"BAJO")</f>
        <v>2</v>
      </c>
      <c r="G125" s="49">
        <f>(F125/$B$125)*100</f>
        <v>18.181818181818183</v>
      </c>
      <c r="H125" s="29">
        <f>COUNTIFS(SUROESTE!A:A,"Venecia",SUROESTE!S:S,"MEDIO")</f>
        <v>1</v>
      </c>
      <c r="I125" s="49">
        <f>(H125/$B$125)*100</f>
        <v>9.0909090909090917</v>
      </c>
      <c r="J125" s="29">
        <f>COUNTIFS(SUROESTE!A:A,"Venecia",SUROESTE!S:S,"ALTO")</f>
        <v>6</v>
      </c>
      <c r="K125" s="49">
        <f>(J125/$B$125)*100</f>
        <v>54.54545454545454</v>
      </c>
      <c r="L125" s="29">
        <f>COUNTIFS(SUROESTE!A:A,"Venecia",SUROESTE!S:S,"INVIABLE SANITARIAMENTE")</f>
        <v>0</v>
      </c>
      <c r="M125" s="49">
        <f>(L125/$B$125)*100</f>
        <v>0</v>
      </c>
      <c r="N125" s="326">
        <f t="shared" si="11"/>
        <v>0</v>
      </c>
      <c r="O125" s="49">
        <f>(N125/$B$125)*100</f>
        <v>0</v>
      </c>
      <c r="P125" s="24"/>
    </row>
    <row r="126" spans="1:16" ht="34.5" customHeight="1">
      <c r="A126" s="75" t="s">
        <v>225</v>
      </c>
      <c r="B126" s="70">
        <f>SUM(B103:B125)</f>
        <v>511</v>
      </c>
      <c r="C126" s="77">
        <f>SUM(C103:C125)</f>
        <v>100</v>
      </c>
      <c r="D126" s="76">
        <f>SUM(D103:D125)</f>
        <v>72</v>
      </c>
      <c r="E126" s="77">
        <f>(D126/$B$126)*100</f>
        <v>14.090019569471623</v>
      </c>
      <c r="F126" s="76">
        <f>SUM(F103:F125)</f>
        <v>10</v>
      </c>
      <c r="G126" s="77">
        <f>(F126/$B$126)*100</f>
        <v>1.9569471624266144</v>
      </c>
      <c r="H126" s="76">
        <f>SUM(H103:H125)</f>
        <v>31</v>
      </c>
      <c r="I126" s="77">
        <f>(H126/$B$126)*100</f>
        <v>6.0665362035225048</v>
      </c>
      <c r="J126" s="76">
        <f>SUM(J103:J125)</f>
        <v>129</v>
      </c>
      <c r="K126" s="77">
        <f>(J126/$B$126)*100</f>
        <v>25.244618395303327</v>
      </c>
      <c r="L126" s="76">
        <f>SUM(L103:L125)</f>
        <v>207</v>
      </c>
      <c r="M126" s="77">
        <f>(L126/$B$126)*100</f>
        <v>40.50880626223092</v>
      </c>
      <c r="N126" s="76">
        <f>SUM(N103:N125)</f>
        <v>62</v>
      </c>
      <c r="O126" s="77">
        <f>(N126/$B$126)*100</f>
        <v>12.13307240704501</v>
      </c>
      <c r="P126" s="24"/>
    </row>
    <row r="127" spans="1:16">
      <c r="A127" s="33"/>
      <c r="B127" s="65"/>
      <c r="C127" s="33"/>
      <c r="D127" s="65"/>
      <c r="E127" s="33"/>
      <c r="F127" s="65"/>
      <c r="G127" s="33"/>
      <c r="H127" s="65"/>
      <c r="I127" s="33"/>
      <c r="J127" s="65"/>
      <c r="K127" s="33"/>
      <c r="L127" s="65"/>
      <c r="M127" s="33"/>
      <c r="N127" s="65"/>
      <c r="O127" s="33"/>
      <c r="P127" s="4"/>
    </row>
    <row r="128" spans="1:16">
      <c r="A128" s="33"/>
      <c r="B128" s="65"/>
      <c r="C128" s="33"/>
      <c r="D128" s="65"/>
      <c r="E128" s="33"/>
      <c r="F128" s="65"/>
      <c r="G128" s="33"/>
      <c r="H128" s="65"/>
      <c r="I128" s="33"/>
      <c r="J128" s="65"/>
      <c r="K128" s="33"/>
      <c r="L128" s="65"/>
      <c r="M128" s="33"/>
      <c r="N128" s="65"/>
      <c r="O128" s="33"/>
      <c r="P128" s="4"/>
    </row>
    <row r="129" spans="1:16">
      <c r="A129" s="33"/>
      <c r="B129" s="65"/>
      <c r="C129" s="33"/>
      <c r="D129" s="65"/>
      <c r="E129" s="33"/>
      <c r="F129" s="65"/>
      <c r="G129" s="33"/>
      <c r="H129" s="65"/>
      <c r="I129" s="33"/>
      <c r="J129" s="65"/>
      <c r="K129" s="33"/>
      <c r="L129" s="65"/>
      <c r="M129" s="33"/>
      <c r="N129" s="65"/>
      <c r="O129" s="33"/>
      <c r="P129" s="4"/>
    </row>
    <row r="130" spans="1:16" ht="23.25" customHeight="1">
      <c r="A130" s="589" t="s">
        <v>4564</v>
      </c>
      <c r="B130" s="589"/>
      <c r="C130" s="589"/>
      <c r="D130" s="589"/>
      <c r="E130" s="589"/>
      <c r="F130" s="589"/>
      <c r="G130" s="589"/>
      <c r="H130" s="589"/>
      <c r="I130" s="589"/>
      <c r="J130" s="589"/>
      <c r="K130" s="589"/>
      <c r="L130" s="589"/>
      <c r="M130" s="589"/>
      <c r="N130" s="589"/>
      <c r="O130" s="589"/>
      <c r="P130" s="24"/>
    </row>
    <row r="131" spans="1:16" ht="129.75" customHeight="1">
      <c r="A131" s="389" t="s">
        <v>11</v>
      </c>
      <c r="B131" s="71" t="s">
        <v>256</v>
      </c>
      <c r="C131" s="389" t="s">
        <v>105</v>
      </c>
      <c r="D131" s="392" t="s">
        <v>250</v>
      </c>
      <c r="E131" s="389" t="s">
        <v>105</v>
      </c>
      <c r="F131" s="393" t="s">
        <v>251</v>
      </c>
      <c r="G131" s="389" t="s">
        <v>105</v>
      </c>
      <c r="H131" s="394" t="s">
        <v>252</v>
      </c>
      <c r="I131" s="389" t="s">
        <v>105</v>
      </c>
      <c r="J131" s="395" t="s">
        <v>253</v>
      </c>
      <c r="K131" s="389" t="s">
        <v>105</v>
      </c>
      <c r="L131" s="396" t="s">
        <v>254</v>
      </c>
      <c r="M131" s="389" t="s">
        <v>105</v>
      </c>
      <c r="N131" s="71" t="s">
        <v>255</v>
      </c>
      <c r="O131" s="389" t="s">
        <v>105</v>
      </c>
      <c r="P131" s="24"/>
    </row>
    <row r="132" spans="1:16" ht="15.75">
      <c r="A132" s="461" t="s">
        <v>185</v>
      </c>
      <c r="B132" s="45">
        <f>+'CONSOLIDADO-ACUEDUCTOSRURALES1'!D94</f>
        <v>20</v>
      </c>
      <c r="C132" s="49">
        <f>(B132/$B$138)*100</f>
        <v>32.786885245901637</v>
      </c>
      <c r="D132" s="29">
        <f>COUNTIFS('BAJO CAUCA'!A:A,"Caucasia",'BAJO CAUCA'!S:S,"SIN RIESGO")</f>
        <v>0</v>
      </c>
      <c r="E132" s="49">
        <f>(D132/$B$132)*100</f>
        <v>0</v>
      </c>
      <c r="F132" s="29">
        <f>COUNTIFS('BAJO CAUCA'!A:A,"Caucasia",'BAJO CAUCA'!S:S,"BAJO")</f>
        <v>0</v>
      </c>
      <c r="G132" s="49">
        <f>(F132/$B$132)*100</f>
        <v>0</v>
      </c>
      <c r="H132" s="29">
        <f>COUNTIFS('BAJO CAUCA'!A:A,"Caucasia",'BAJO CAUCA'!S:S,"MEDIO")</f>
        <v>0</v>
      </c>
      <c r="I132" s="49">
        <f>(H132/$B$132)*100</f>
        <v>0</v>
      </c>
      <c r="J132" s="29">
        <f>COUNTIFS('BAJO CAUCA'!A:A,"Caucasia",'BAJO CAUCA'!S:S,"ALTO")</f>
        <v>0</v>
      </c>
      <c r="K132" s="49">
        <f>(J132/$B$132)*100</f>
        <v>0</v>
      </c>
      <c r="L132" s="29">
        <f>COUNTIFS('BAJO CAUCA'!A:A,"Caucasia",'BAJO CAUCA'!S:S,"INVIABLE SANITARIAMENTE")</f>
        <v>16</v>
      </c>
      <c r="M132" s="49">
        <f>(L132/$B$132)*100</f>
        <v>80</v>
      </c>
      <c r="N132" s="326">
        <f>B132-(D132+F132+H132+J132+L132)</f>
        <v>4</v>
      </c>
      <c r="O132" s="49">
        <f>(N132/$B$132)*100</f>
        <v>20</v>
      </c>
      <c r="P132" s="24"/>
    </row>
    <row r="133" spans="1:16" ht="15.75">
      <c r="A133" s="461" t="s">
        <v>186</v>
      </c>
      <c r="B133" s="45">
        <f>+'CONSOLIDADO-ACUEDUCTOSRURALES1'!D93</f>
        <v>8</v>
      </c>
      <c r="C133" s="49">
        <f t="shared" ref="C133:C137" si="12">(B133/$B$138)*100</f>
        <v>13.114754098360656</v>
      </c>
      <c r="D133" s="29">
        <f>COUNTIFS('BAJO CAUCA'!A:A,"Caceres",'BAJO CAUCA'!S:S,"SIN RIESGO")</f>
        <v>0</v>
      </c>
      <c r="E133" s="49">
        <f>(D133/$B$133)*100</f>
        <v>0</v>
      </c>
      <c r="F133" s="29">
        <f>COUNTIFS('BAJO CAUCA'!A:A,"Caceres",'BAJO CAUCA'!S:S,"BAJO")</f>
        <v>1</v>
      </c>
      <c r="G133" s="49">
        <f>(F133/$B$133)*100</f>
        <v>12.5</v>
      </c>
      <c r="H133" s="29">
        <f>COUNTIFS('BAJO CAUCA'!A:A,"Caceres",'BAJO CAUCA'!S:S,"MEDIO")</f>
        <v>1</v>
      </c>
      <c r="I133" s="49">
        <f>(H133/$B$133)*100</f>
        <v>12.5</v>
      </c>
      <c r="J133" s="29">
        <f>COUNTIFS('BAJO CAUCA'!A:A,"Caceres",'BAJO CAUCA'!S:S,"ALTO")</f>
        <v>1</v>
      </c>
      <c r="K133" s="49">
        <f>(J133/$B$133)*100</f>
        <v>12.5</v>
      </c>
      <c r="L133" s="29">
        <f>COUNTIFS('BAJO CAUCA'!A:A,"Caceres",'BAJO CAUCA'!S:S,"INVIABLE SANITARIAMENTE")</f>
        <v>4</v>
      </c>
      <c r="M133" s="49">
        <f>(L133/$B$133)*100</f>
        <v>50</v>
      </c>
      <c r="N133" s="326">
        <f t="shared" ref="N133:N137" si="13">B133-(D133+F133+H133+J133+L133)</f>
        <v>1</v>
      </c>
      <c r="O133" s="49">
        <f>(N133/$B$133)*100</f>
        <v>12.5</v>
      </c>
      <c r="P133" s="24"/>
    </row>
    <row r="134" spans="1:16" ht="15.75">
      <c r="A134" s="461" t="s">
        <v>187</v>
      </c>
      <c r="B134" s="45">
        <f>'CONSOLIDADO-ACUEDUCTOSRURALES1'!D95</f>
        <v>3</v>
      </c>
      <c r="C134" s="49">
        <f t="shared" si="12"/>
        <v>4.918032786885246</v>
      </c>
      <c r="D134" s="29">
        <f>COUNTIFS('BAJO CAUCA'!A:A,"El Bagre",'BAJO CAUCA'!S:S,"SIN RIESGO")</f>
        <v>0</v>
      </c>
      <c r="E134" s="49">
        <f>(D134/$B$134)*100</f>
        <v>0</v>
      </c>
      <c r="F134" s="29">
        <f>COUNTIFS('BAJO CAUCA'!A:A,"El Bagre",'BAJO CAUCA'!S:S,"BAJO")</f>
        <v>0</v>
      </c>
      <c r="G134" s="49">
        <f>(F134/$B$134)*100</f>
        <v>0</v>
      </c>
      <c r="H134" s="29">
        <f>COUNTIFS('BAJO CAUCA'!A:A,"El Bagre",'BAJO CAUCA'!S:S,"MEDIO")</f>
        <v>1</v>
      </c>
      <c r="I134" s="49">
        <f>(H134/$B$134)*100</f>
        <v>33.333333333333329</v>
      </c>
      <c r="J134" s="29">
        <f>COUNTIFS('BAJO CAUCA'!A:A,"El Bagre",'BAJO CAUCA'!S:S,"ALTO")</f>
        <v>0</v>
      </c>
      <c r="K134" s="49">
        <f>(J134/$B$134)*100</f>
        <v>0</v>
      </c>
      <c r="L134" s="29">
        <f>COUNTIFS('BAJO CAUCA'!A:A,"El Bagre",'BAJO CAUCA'!S:S,"INVIABLE SANITARIAMENTE")</f>
        <v>1</v>
      </c>
      <c r="M134" s="49">
        <f>(L134/$B$134)*100</f>
        <v>33.333333333333329</v>
      </c>
      <c r="N134" s="326">
        <f t="shared" si="13"/>
        <v>1</v>
      </c>
      <c r="O134" s="49">
        <f>(N134/$B$134)*100</f>
        <v>33.333333333333329</v>
      </c>
      <c r="P134" s="24"/>
    </row>
    <row r="135" spans="1:16" ht="15.75">
      <c r="A135" s="461" t="s">
        <v>15</v>
      </c>
      <c r="B135" s="45">
        <f>'CONSOLIDADO-ACUEDUCTOSRURALES1'!D96</f>
        <v>5</v>
      </c>
      <c r="C135" s="49">
        <f t="shared" si="12"/>
        <v>8.1967213114754092</v>
      </c>
      <c r="D135" s="29">
        <f>COUNTIFS('BAJO CAUCA'!A:A,"Nechí",'BAJO CAUCA'!S:S,"SIN RIESGO")</f>
        <v>0</v>
      </c>
      <c r="E135" s="49">
        <f>(D135/$B$135)*100</f>
        <v>0</v>
      </c>
      <c r="F135" s="29">
        <f>COUNTIFS('BAJO CAUCA'!A:A,"Nechí",'BAJO CAUCA'!S:S,"BAJO")</f>
        <v>0</v>
      </c>
      <c r="G135" s="49">
        <f>(F135/$B$135)*100</f>
        <v>0</v>
      </c>
      <c r="H135" s="29">
        <f>COUNTIFS('BAJO CAUCA'!A:A,"Nechí",'BAJO CAUCA'!S:S,"MEDIO")</f>
        <v>0</v>
      </c>
      <c r="I135" s="49">
        <f>(H135/$B$135)*100</f>
        <v>0</v>
      </c>
      <c r="J135" s="29">
        <f>COUNTIFS('BAJO CAUCA'!A:A,"Nechí",'BAJO CAUCA'!S:S,"ALTO")</f>
        <v>0</v>
      </c>
      <c r="K135" s="49">
        <f>(J135/$B$135)*100</f>
        <v>0</v>
      </c>
      <c r="L135" s="29">
        <f>COUNTIFS('BAJO CAUCA'!A:A,"Nechí",'BAJO CAUCA'!S:S,"INVIABLE SANITARIAMENTE")</f>
        <v>2</v>
      </c>
      <c r="M135" s="49">
        <f>(L135/$B$135)*100</f>
        <v>40</v>
      </c>
      <c r="N135" s="326">
        <f t="shared" si="13"/>
        <v>3</v>
      </c>
      <c r="O135" s="49">
        <f>(N135/$B$135)*100</f>
        <v>60</v>
      </c>
      <c r="P135" s="24"/>
    </row>
    <row r="136" spans="1:16" ht="15.75">
      <c r="A136" s="461" t="s">
        <v>188</v>
      </c>
      <c r="B136" s="45">
        <f>'CONSOLIDADO-ACUEDUCTOSRURALES1'!D97</f>
        <v>9</v>
      </c>
      <c r="C136" s="49">
        <f t="shared" si="12"/>
        <v>14.754098360655737</v>
      </c>
      <c r="D136" s="29">
        <f>COUNTIFS('BAJO CAUCA'!A:A,"Tarazá",'BAJO CAUCA'!S:S,"SIN RIESGO")</f>
        <v>0</v>
      </c>
      <c r="E136" s="49">
        <f>(D136/$B$136)*100</f>
        <v>0</v>
      </c>
      <c r="F136" s="29">
        <f>COUNTIFS('BAJO CAUCA'!A:A,"Tarazá",'BAJO CAUCA'!S:S,"BAJO")</f>
        <v>0</v>
      </c>
      <c r="G136" s="49">
        <f>(F136/$B$136)*100</f>
        <v>0</v>
      </c>
      <c r="H136" s="29">
        <f>COUNTIFS('BAJO CAUCA'!A:A,"Tarazá",'BAJO CAUCA'!S:S,"MEDIO")</f>
        <v>0</v>
      </c>
      <c r="I136" s="49">
        <f>(H136/$B$136)*100</f>
        <v>0</v>
      </c>
      <c r="J136" s="29">
        <f>COUNTIFS('BAJO CAUCA'!A:A,"Tarazá",'BAJO CAUCA'!S:S,"ALTO")</f>
        <v>1</v>
      </c>
      <c r="K136" s="49">
        <f>(J136/$B$136)*100</f>
        <v>11.111111111111111</v>
      </c>
      <c r="L136" s="29">
        <f>COUNTIFS('BAJO CAUCA'!A:A,"Tarazá",'BAJO CAUCA'!S:S,"INVIABLE SANITARIAMENTE")</f>
        <v>8</v>
      </c>
      <c r="M136" s="49">
        <f>(L136/$B$136)*100</f>
        <v>88.888888888888886</v>
      </c>
      <c r="N136" s="326">
        <f t="shared" si="13"/>
        <v>0</v>
      </c>
      <c r="O136" s="49">
        <f>(N136/$B$136)*100</f>
        <v>0</v>
      </c>
      <c r="P136" s="24"/>
    </row>
    <row r="137" spans="1:16" ht="15.75">
      <c r="A137" s="461" t="s">
        <v>189</v>
      </c>
      <c r="B137" s="45">
        <f>'CONSOLIDADO-ACUEDUCTOSRURALES1'!D98</f>
        <v>16</v>
      </c>
      <c r="C137" s="49">
        <f t="shared" si="12"/>
        <v>26.229508196721312</v>
      </c>
      <c r="D137" s="29">
        <f>COUNTIFS('BAJO CAUCA'!A:A,"Zaragoza",'BAJO CAUCA'!S:S,"SIN RIESGO")</f>
        <v>0</v>
      </c>
      <c r="E137" s="49">
        <f>(D137/$B$137)*100</f>
        <v>0</v>
      </c>
      <c r="F137" s="29">
        <f>COUNTIFS('BAJO CAUCA'!A:A,"Zaragoza",'BAJO CAUCA'!S:S,"BAJO")</f>
        <v>0</v>
      </c>
      <c r="G137" s="49">
        <f>(F137/$B$137)*100</f>
        <v>0</v>
      </c>
      <c r="H137" s="29">
        <f>COUNTIFS('BAJO CAUCA'!A:A,"Zaragoza",'BAJO CAUCA'!S:S,"MEDIO")</f>
        <v>0</v>
      </c>
      <c r="I137" s="49">
        <f>(H137/$B$137)*100</f>
        <v>0</v>
      </c>
      <c r="J137" s="29">
        <f>COUNTIFS('BAJO CAUCA'!A:A,"Zaragoza",'BAJO CAUCA'!S:S,"ALTO")</f>
        <v>1</v>
      </c>
      <c r="K137" s="49">
        <f>(J137/$B$137)*100</f>
        <v>6.25</v>
      </c>
      <c r="L137" s="29">
        <f>COUNTIFS('BAJO CAUCA'!A:A,"Zaragoza",'BAJO CAUCA'!S:S,"INVIABLE SANITARIAMENTE")</f>
        <v>3</v>
      </c>
      <c r="M137" s="49">
        <f>(L137/$B$137)*100</f>
        <v>18.75</v>
      </c>
      <c r="N137" s="326">
        <f t="shared" si="13"/>
        <v>12</v>
      </c>
      <c r="O137" s="49">
        <f>(N137/$B$137)*100</f>
        <v>75</v>
      </c>
      <c r="P137" s="24"/>
    </row>
    <row r="138" spans="1:16" ht="22.5" customHeight="1">
      <c r="A138" s="75" t="s">
        <v>225</v>
      </c>
      <c r="B138" s="70">
        <f>SUM(B132:B137)</f>
        <v>61</v>
      </c>
      <c r="C138" s="77">
        <f>SUM(C132:C137)</f>
        <v>100</v>
      </c>
      <c r="D138" s="76">
        <f>SUM(D132:D137)</f>
        <v>0</v>
      </c>
      <c r="E138" s="77">
        <f>(D138/$B$138)*100</f>
        <v>0</v>
      </c>
      <c r="F138" s="76">
        <f>SUM(F132:F137)</f>
        <v>1</v>
      </c>
      <c r="G138" s="77">
        <f>(F138/$B$138)*100</f>
        <v>1.639344262295082</v>
      </c>
      <c r="H138" s="76">
        <f>SUM(H132:H137)</f>
        <v>2</v>
      </c>
      <c r="I138" s="77">
        <f>(H138/$B$138)*100</f>
        <v>3.278688524590164</v>
      </c>
      <c r="J138" s="76">
        <f>SUM(J132:J137)</f>
        <v>3</v>
      </c>
      <c r="K138" s="77">
        <f>(J138/$B$138)*100</f>
        <v>4.918032786885246</v>
      </c>
      <c r="L138" s="76">
        <f>SUM(L132:L137)</f>
        <v>34</v>
      </c>
      <c r="M138" s="77">
        <f>(L138/$B$138)*100</f>
        <v>55.737704918032783</v>
      </c>
      <c r="N138" s="76">
        <f>SUM(N132:N137)</f>
        <v>21</v>
      </c>
      <c r="O138" s="77">
        <f>(N138/$B$138)*100</f>
        <v>34.42622950819672</v>
      </c>
      <c r="P138" s="24"/>
    </row>
    <row r="139" spans="1:16">
      <c r="A139" s="33"/>
      <c r="B139" s="65"/>
      <c r="C139" s="33"/>
      <c r="D139" s="65"/>
      <c r="E139" s="33"/>
      <c r="F139" s="65"/>
      <c r="G139" s="33"/>
      <c r="H139" s="65"/>
      <c r="I139" s="33"/>
      <c r="J139" s="65"/>
      <c r="K139" s="33"/>
      <c r="L139" s="65"/>
      <c r="M139" s="33"/>
      <c r="N139" s="65"/>
      <c r="O139" s="33"/>
    </row>
    <row r="140" spans="1:16">
      <c r="A140" s="33"/>
      <c r="B140" s="65"/>
      <c r="C140" s="33"/>
      <c r="D140" s="65"/>
      <c r="E140" s="33"/>
      <c r="F140" s="65"/>
      <c r="G140" s="33"/>
      <c r="H140" s="65"/>
      <c r="I140" s="33"/>
      <c r="J140" s="65"/>
      <c r="K140" s="33"/>
      <c r="L140" s="65"/>
      <c r="M140" s="33"/>
      <c r="N140" s="65"/>
      <c r="O140" s="33"/>
    </row>
    <row r="141" spans="1:16" ht="23.25" customHeight="1">
      <c r="A141" s="589" t="s">
        <v>4565</v>
      </c>
      <c r="B141" s="589"/>
      <c r="C141" s="589"/>
      <c r="D141" s="589"/>
      <c r="E141" s="589"/>
      <c r="F141" s="589"/>
      <c r="G141" s="589"/>
      <c r="H141" s="589"/>
      <c r="I141" s="589"/>
      <c r="J141" s="589"/>
      <c r="K141" s="589"/>
      <c r="L141" s="589"/>
      <c r="M141" s="589"/>
      <c r="N141" s="589"/>
      <c r="O141" s="589"/>
    </row>
    <row r="142" spans="1:16" ht="129" customHeight="1">
      <c r="A142" s="389" t="s">
        <v>11</v>
      </c>
      <c r="B142" s="71" t="s">
        <v>256</v>
      </c>
      <c r="C142" s="389" t="s">
        <v>105</v>
      </c>
      <c r="D142" s="392" t="s">
        <v>250</v>
      </c>
      <c r="E142" s="389" t="s">
        <v>105</v>
      </c>
      <c r="F142" s="393" t="s">
        <v>251</v>
      </c>
      <c r="G142" s="389" t="s">
        <v>105</v>
      </c>
      <c r="H142" s="394" t="s">
        <v>252</v>
      </c>
      <c r="I142" s="389" t="s">
        <v>105</v>
      </c>
      <c r="J142" s="395" t="s">
        <v>253</v>
      </c>
      <c r="K142" s="389" t="s">
        <v>105</v>
      </c>
      <c r="L142" s="396" t="s">
        <v>254</v>
      </c>
      <c r="M142" s="389" t="s">
        <v>105</v>
      </c>
      <c r="N142" s="71" t="s">
        <v>255</v>
      </c>
      <c r="O142" s="389" t="s">
        <v>105</v>
      </c>
    </row>
    <row r="143" spans="1:16" ht="15.75">
      <c r="A143" s="61" t="s">
        <v>191</v>
      </c>
      <c r="B143" s="45">
        <f>'CONSOLIDADO-ACUEDUCTOSRURALES1'!D100</f>
        <v>9</v>
      </c>
      <c r="C143" s="49">
        <f>(B143/$B$149)*100</f>
        <v>12.676056338028168</v>
      </c>
      <c r="D143" s="29">
        <f>COUNTIFS('MAGDALENA MEDIO'!A:A,"Caracolí",'MAGDALENA MEDIO'!S:S,"SIN RIESGO")</f>
        <v>0</v>
      </c>
      <c r="E143" s="49">
        <f>(D143/$B$143)*100</f>
        <v>0</v>
      </c>
      <c r="F143" s="29">
        <f>COUNTIFS('MAGDALENA MEDIO'!$A:$A,"Caracolí",'MAGDALENA MEDIO'!$S:$S,"BAJO")</f>
        <v>0</v>
      </c>
      <c r="G143" s="49">
        <f>(F143/$B$143)*100</f>
        <v>0</v>
      </c>
      <c r="H143" s="29">
        <f>COUNTIFS('MAGDALENA MEDIO'!$A:$A,"Caracolí",'MAGDALENA MEDIO'!$S:$S,"MEDIO")</f>
        <v>0</v>
      </c>
      <c r="I143" s="49">
        <f>(H143/$B$143)*100</f>
        <v>0</v>
      </c>
      <c r="J143" s="29">
        <f>COUNTIFS('MAGDALENA MEDIO'!$A:$A,"Caracolí",'MAGDALENA MEDIO'!$S:$S,"ALTO")</f>
        <v>0</v>
      </c>
      <c r="K143" s="49">
        <f>(J143/$B$143)*100</f>
        <v>0</v>
      </c>
      <c r="L143" s="29">
        <f>COUNTIFS('MAGDALENA MEDIO'!$A:$A,"Caracolí",'MAGDALENA MEDIO'!$S:$S,"INVIABLE SANITARIAMENTE")</f>
        <v>0</v>
      </c>
      <c r="M143" s="49">
        <f>(L143/$B$143)*100</f>
        <v>0</v>
      </c>
      <c r="N143" s="326">
        <f>B143-(D143+F143+H143+J143+L143)</f>
        <v>9</v>
      </c>
      <c r="O143" s="49">
        <f>(N143/$B$143)*100</f>
        <v>100</v>
      </c>
    </row>
    <row r="144" spans="1:16" ht="15.75">
      <c r="A144" s="61" t="s">
        <v>192</v>
      </c>
      <c r="B144" s="45">
        <f>'CONSOLIDADO-ACUEDUCTOSRURALES1'!D101</f>
        <v>8</v>
      </c>
      <c r="C144" s="49">
        <f t="shared" ref="C144:C148" si="14">(B144/$B$149)*100</f>
        <v>11.267605633802818</v>
      </c>
      <c r="D144" s="29">
        <f>COUNTIFS('MAGDALENA MEDIO'!A:A,"Maceo",'MAGDALENA MEDIO'!S:S,"SIN RIESGO")</f>
        <v>0</v>
      </c>
      <c r="E144" s="49">
        <f>(D144/$B$144)*100</f>
        <v>0</v>
      </c>
      <c r="F144" s="29">
        <f>COUNTIFS('MAGDALENA MEDIO'!$A:$A,"Maceo",'MAGDALENA MEDIO'!$S:$S,"BAJO")</f>
        <v>0</v>
      </c>
      <c r="G144" s="49">
        <f>(F144/$B$144)*100</f>
        <v>0</v>
      </c>
      <c r="H144" s="29">
        <f>COUNTIFS('MAGDALENA MEDIO'!$A:$A,"Maceo",'MAGDALENA MEDIO'!$S:$S,"MEDIO")</f>
        <v>0</v>
      </c>
      <c r="I144" s="49">
        <f>(H144/$B$144)*100</f>
        <v>0</v>
      </c>
      <c r="J144" s="29">
        <f>COUNTIFS('MAGDALENA MEDIO'!$A:$A,"Maceo",'MAGDALENA MEDIO'!$S:$S,"ALTO")</f>
        <v>0</v>
      </c>
      <c r="K144" s="49">
        <f>(J144/$B$144)*100</f>
        <v>0</v>
      </c>
      <c r="L144" s="29">
        <f>COUNTIFS('MAGDALENA MEDIO'!$A:$A,"Maceo",'MAGDALENA MEDIO'!$S:$S,"INVIABLE SANITARIAMENTE")</f>
        <v>6</v>
      </c>
      <c r="M144" s="49">
        <f>(L144/$B$144)*100</f>
        <v>75</v>
      </c>
      <c r="N144" s="326">
        <f t="shared" ref="N144:N148" si="15">B144-(D144+F144+H144+J144+L144)</f>
        <v>2</v>
      </c>
      <c r="O144" s="49">
        <f>(N144/$B$144)*100</f>
        <v>25</v>
      </c>
    </row>
    <row r="145" spans="1:16" ht="15.75">
      <c r="A145" s="61" t="s">
        <v>193</v>
      </c>
      <c r="B145" s="45">
        <f>'CONSOLIDADO-ACUEDUCTOSRURALES1'!D102</f>
        <v>15</v>
      </c>
      <c r="C145" s="49">
        <f t="shared" si="14"/>
        <v>21.12676056338028</v>
      </c>
      <c r="D145" s="29">
        <f>COUNTIFS('MAGDALENA MEDIO'!A:A,"Puerto Berrío",'MAGDALENA MEDIO'!S:S,"SIN RIESGO")</f>
        <v>1</v>
      </c>
      <c r="E145" s="49">
        <f>(D145/$B$145)*100</f>
        <v>6.666666666666667</v>
      </c>
      <c r="F145" s="29">
        <f>COUNTIFS('MAGDALENA MEDIO'!$A:$A,"Puerto Berrío",'MAGDALENA MEDIO'!$S:$S,"BAJO")</f>
        <v>0</v>
      </c>
      <c r="G145" s="49">
        <f>(F145/$B$145)*100</f>
        <v>0</v>
      </c>
      <c r="H145" s="29">
        <f>COUNTIFS('MAGDALENA MEDIO'!$A:$A,"Puerto Berrío",'MAGDALENA MEDIO'!$S:$S,"MEDIO")</f>
        <v>0</v>
      </c>
      <c r="I145" s="49">
        <f>(H145/$B$145)*100</f>
        <v>0</v>
      </c>
      <c r="J145" s="29">
        <f>COUNTIFS('MAGDALENA MEDIO'!$A:$A,"Puerto Berrío",'MAGDALENA MEDIO'!$S:$S,"ALTO")</f>
        <v>11</v>
      </c>
      <c r="K145" s="49">
        <f>(J145/$B$145)*100</f>
        <v>73.333333333333329</v>
      </c>
      <c r="L145" s="29">
        <f>COUNTIFS('MAGDALENA MEDIO'!$A:$A,"Puerto Berrío",'MAGDALENA MEDIO'!$S:$S,"INVIABLE SANITARIAMENTE")</f>
        <v>0</v>
      </c>
      <c r="M145" s="49">
        <f>(L145/$B$145)*100</f>
        <v>0</v>
      </c>
      <c r="N145" s="326">
        <f t="shared" si="15"/>
        <v>3</v>
      </c>
      <c r="O145" s="49">
        <f>(N145/$B$145)*100</f>
        <v>20</v>
      </c>
    </row>
    <row r="146" spans="1:16" ht="15.75">
      <c r="A146" s="61" t="s">
        <v>194</v>
      </c>
      <c r="B146" s="45">
        <f>'CONSOLIDADO-ACUEDUCTOSRURALES1'!D103</f>
        <v>7</v>
      </c>
      <c r="C146" s="49">
        <f t="shared" si="14"/>
        <v>9.8591549295774641</v>
      </c>
      <c r="D146" s="29">
        <f>COUNTIFS('MAGDALENA MEDIO'!A:A,"Puerto Nare",'MAGDALENA MEDIO'!S:S,"SIN RIESGO")</f>
        <v>3</v>
      </c>
      <c r="E146" s="49">
        <f>(D146/$B$146)*100</f>
        <v>42.857142857142854</v>
      </c>
      <c r="F146" s="29">
        <f>COUNTIFS('MAGDALENA MEDIO'!$A:$A,"Puerto Nare",'MAGDALENA MEDIO'!$S:$S,"BAJO")</f>
        <v>0</v>
      </c>
      <c r="G146" s="49">
        <f>(F146/$B$146)*100</f>
        <v>0</v>
      </c>
      <c r="H146" s="29">
        <f>COUNTIFS('MAGDALENA MEDIO'!$A:$A,"Puerto Nare",'MAGDALENA MEDIO'!$S:$S,"MEDIO")</f>
        <v>0</v>
      </c>
      <c r="I146" s="49">
        <f>(H146/$B$146)*100</f>
        <v>0</v>
      </c>
      <c r="J146" s="29">
        <f>COUNTIFS('MAGDALENA MEDIO'!$A:$A,"Puerto Nare",'MAGDALENA MEDIO'!$S:$S,"ALTO")</f>
        <v>0</v>
      </c>
      <c r="K146" s="49">
        <f>(J146/$B$146)*100</f>
        <v>0</v>
      </c>
      <c r="L146" s="29">
        <f>COUNTIFS('MAGDALENA MEDIO'!$A:$A,"Puerto Nare",'MAGDALENA MEDIO'!$S:$S,"INVIABLE SANITARIAMENTE")</f>
        <v>0</v>
      </c>
      <c r="M146" s="49">
        <f>(L146/$B$146)*100</f>
        <v>0</v>
      </c>
      <c r="N146" s="326">
        <f t="shared" si="15"/>
        <v>4</v>
      </c>
      <c r="O146" s="49">
        <f>(N146/$B$146)*100</f>
        <v>57.142857142857139</v>
      </c>
    </row>
    <row r="147" spans="1:16" ht="15.75">
      <c r="A147" s="61" t="s">
        <v>56</v>
      </c>
      <c r="B147" s="45">
        <f>'CONSOLIDADO-ACUEDUCTOSRURALES1'!D104</f>
        <v>11</v>
      </c>
      <c r="C147" s="49">
        <f t="shared" si="14"/>
        <v>15.492957746478872</v>
      </c>
      <c r="D147" s="29">
        <f>COUNTIFS('MAGDALENA MEDIO'!A:A,"Puerto Triunfo",'MAGDALENA MEDIO'!S:S,"SIN RIESGO")</f>
        <v>3</v>
      </c>
      <c r="E147" s="49">
        <f>(D147/$B$147)*100</f>
        <v>27.27272727272727</v>
      </c>
      <c r="F147" s="29">
        <f>COUNTIFS('MAGDALENA MEDIO'!$A:$A,"Puerto Triunfo",'MAGDALENA MEDIO'!$S:$S,"BAJO")</f>
        <v>1</v>
      </c>
      <c r="G147" s="49">
        <f>(F147/$B$147)*100</f>
        <v>9.0909090909090917</v>
      </c>
      <c r="H147" s="29">
        <f>COUNTIFS('MAGDALENA MEDIO'!$A:$A,"Puerto Truinfo",'MAGDALENA MEDIO'!$S:$S,"MEDIO")</f>
        <v>0</v>
      </c>
      <c r="I147" s="49">
        <f>(H147/$B$147)*100</f>
        <v>0</v>
      </c>
      <c r="J147" s="29">
        <f>COUNTIFS('MAGDALENA MEDIO'!$A:$A,"Puerto Triunfo",'MAGDALENA MEDIO'!$S:$S,"ALTO")</f>
        <v>6</v>
      </c>
      <c r="K147" s="49">
        <f>(J147/$B$147)*100</f>
        <v>54.54545454545454</v>
      </c>
      <c r="L147" s="29">
        <f>COUNTIFS('MAGDALENA MEDIO'!$A:$A,"Puerto Triunfo",'MAGDALENA MEDIO'!$S:$S,"INVIABLE SANITARIAMENTE")</f>
        <v>1</v>
      </c>
      <c r="M147" s="49">
        <f>(L147/$B$147)*100</f>
        <v>9.0909090909090917</v>
      </c>
      <c r="N147" s="326">
        <f t="shared" si="15"/>
        <v>0</v>
      </c>
      <c r="O147" s="49">
        <f>(N147/$B$147)*100</f>
        <v>0</v>
      </c>
    </row>
    <row r="148" spans="1:16" ht="15.75">
      <c r="A148" s="61" t="s">
        <v>195</v>
      </c>
      <c r="B148" s="45">
        <f>'CONSOLIDADO-ACUEDUCTOSRURALES1'!D105</f>
        <v>21</v>
      </c>
      <c r="C148" s="49">
        <f t="shared" si="14"/>
        <v>29.577464788732392</v>
      </c>
      <c r="D148" s="29">
        <f>COUNTIFS('MAGDALENA MEDIO'!A:A,"Yondó",'MAGDALENA MEDIO'!S:S,"SIN RIESGO")</f>
        <v>1</v>
      </c>
      <c r="E148" s="49">
        <f>(D148/$B$148)*100</f>
        <v>4.7619047619047619</v>
      </c>
      <c r="F148" s="29">
        <f>COUNTIFS('MAGDALENA MEDIO'!$A:$A,"Yondó",'MAGDALENA MEDIO'!$S:$S,"BAJO")</f>
        <v>0</v>
      </c>
      <c r="G148" s="49">
        <f>(F148/$B$148)*100</f>
        <v>0</v>
      </c>
      <c r="H148" s="29">
        <f>COUNTIFS('MAGDALENA MEDIO'!$A:$A,"Yondó",'MAGDALENA MEDIO'!$S:$S,"MEDIO")</f>
        <v>1</v>
      </c>
      <c r="I148" s="49">
        <f>(H148/$B$148)*100</f>
        <v>4.7619047619047619</v>
      </c>
      <c r="J148" s="29">
        <f>COUNTIFS('MAGDALENA MEDIO'!$A:$A,"Yondó",'MAGDALENA MEDIO'!$S:$S,"ALTO")</f>
        <v>9</v>
      </c>
      <c r="K148" s="49">
        <f>(J148/$B$148)*100</f>
        <v>42.857142857142854</v>
      </c>
      <c r="L148" s="29">
        <f>COUNTIFS('MAGDALENA MEDIO'!$A:$A,"Yondó",'MAGDALENA MEDIO'!$S:$S,"INVIABLE SANITARIAMENTE")</f>
        <v>6</v>
      </c>
      <c r="M148" s="49">
        <f>(L148/$B$148)*100</f>
        <v>28.571428571428569</v>
      </c>
      <c r="N148" s="326">
        <f t="shared" si="15"/>
        <v>4</v>
      </c>
      <c r="O148" s="49">
        <f>(N148/$B$148)*100</f>
        <v>19.047619047619047</v>
      </c>
    </row>
    <row r="149" spans="1:16" ht="23.25" customHeight="1">
      <c r="A149" s="75" t="s">
        <v>225</v>
      </c>
      <c r="B149" s="70">
        <f>SUM(B143:B148)</f>
        <v>71</v>
      </c>
      <c r="C149" s="77">
        <f>SUM(C143:C148)</f>
        <v>100</v>
      </c>
      <c r="D149" s="76">
        <f>SUM(D143:D148)</f>
        <v>8</v>
      </c>
      <c r="E149" s="77">
        <f>(D149/$B$149)*100</f>
        <v>11.267605633802818</v>
      </c>
      <c r="F149" s="76">
        <f>SUM(F143:F148)</f>
        <v>1</v>
      </c>
      <c r="G149" s="77">
        <f>(F149/$B$149)*100</f>
        <v>1.4084507042253522</v>
      </c>
      <c r="H149" s="76">
        <f>SUM(H143:H148)</f>
        <v>1</v>
      </c>
      <c r="I149" s="77">
        <f>(H149/$B$149)*100</f>
        <v>1.4084507042253522</v>
      </c>
      <c r="J149" s="76">
        <f>SUM(J143:J148)</f>
        <v>26</v>
      </c>
      <c r="K149" s="77">
        <f>(J149/$B$149)*100</f>
        <v>36.619718309859159</v>
      </c>
      <c r="L149" s="76">
        <f>SUM(L143:L148)</f>
        <v>13</v>
      </c>
      <c r="M149" s="77">
        <f>(L149/$B$149)*100</f>
        <v>18.30985915492958</v>
      </c>
      <c r="N149" s="76">
        <f>SUM(N143:N148)</f>
        <v>22</v>
      </c>
      <c r="O149" s="77">
        <f>(N149/$B$149)*100</f>
        <v>30.985915492957744</v>
      </c>
      <c r="P149" s="23"/>
    </row>
    <row r="150" spans="1:16">
      <c r="A150" s="33"/>
      <c r="B150" s="65"/>
      <c r="C150" s="33"/>
      <c r="D150" s="65"/>
      <c r="E150" s="33"/>
      <c r="F150" s="65"/>
      <c r="G150" s="33"/>
      <c r="H150" s="65"/>
      <c r="I150" s="33"/>
      <c r="J150" s="65"/>
      <c r="K150" s="33"/>
      <c r="L150" s="65"/>
      <c r="M150" s="33"/>
      <c r="N150" s="65"/>
      <c r="O150" s="33"/>
    </row>
    <row r="151" spans="1:16">
      <c r="A151" s="33"/>
      <c r="B151" s="65"/>
      <c r="C151" s="33"/>
      <c r="D151" s="65"/>
      <c r="E151" s="33"/>
      <c r="F151" s="65"/>
      <c r="G151" s="33"/>
      <c r="H151" s="65"/>
      <c r="I151" s="33"/>
      <c r="J151" s="65"/>
      <c r="K151" s="33"/>
      <c r="L151" s="65"/>
      <c r="M151" s="33"/>
      <c r="N151" s="65"/>
      <c r="O151" s="33"/>
    </row>
    <row r="152" spans="1:16">
      <c r="A152" s="33"/>
      <c r="B152" s="65"/>
      <c r="C152" s="33"/>
      <c r="D152" s="65"/>
      <c r="E152" s="33"/>
      <c r="F152" s="65"/>
      <c r="G152" s="33"/>
      <c r="H152" s="65"/>
      <c r="I152" s="33"/>
      <c r="J152" s="65"/>
      <c r="K152" s="33"/>
      <c r="L152" s="65"/>
      <c r="M152" s="33"/>
      <c r="N152" s="65"/>
      <c r="O152" s="33"/>
    </row>
    <row r="153" spans="1:16" ht="24" customHeight="1">
      <c r="A153" s="590" t="s">
        <v>4566</v>
      </c>
      <c r="B153" s="590"/>
      <c r="C153" s="590"/>
      <c r="D153" s="590"/>
      <c r="E153" s="590"/>
      <c r="F153" s="590"/>
      <c r="G153" s="590"/>
      <c r="H153" s="590"/>
      <c r="I153" s="590"/>
      <c r="J153" s="590"/>
      <c r="K153" s="590"/>
      <c r="L153" s="590"/>
      <c r="M153" s="590"/>
      <c r="N153" s="590"/>
      <c r="O153" s="590"/>
    </row>
    <row r="154" spans="1:16" ht="135" customHeight="1">
      <c r="A154" s="389" t="s">
        <v>11</v>
      </c>
      <c r="B154" s="71" t="s">
        <v>256</v>
      </c>
      <c r="C154" s="389" t="s">
        <v>105</v>
      </c>
      <c r="D154" s="392" t="s">
        <v>250</v>
      </c>
      <c r="E154" s="389" t="s">
        <v>105</v>
      </c>
      <c r="F154" s="393" t="s">
        <v>251</v>
      </c>
      <c r="G154" s="389" t="s">
        <v>105</v>
      </c>
      <c r="H154" s="394" t="s">
        <v>252</v>
      </c>
      <c r="I154" s="389" t="s">
        <v>105</v>
      </c>
      <c r="J154" s="395" t="s">
        <v>253</v>
      </c>
      <c r="K154" s="389" t="s">
        <v>105</v>
      </c>
      <c r="L154" s="396" t="s">
        <v>254</v>
      </c>
      <c r="M154" s="389" t="s">
        <v>105</v>
      </c>
      <c r="N154" s="71" t="s">
        <v>255</v>
      </c>
      <c r="O154" s="389" t="s">
        <v>105</v>
      </c>
    </row>
    <row r="155" spans="1:16" ht="15.75">
      <c r="A155" s="61" t="s">
        <v>197</v>
      </c>
      <c r="B155" s="29">
        <f>'CONSOLIDADO-ACUEDUCTOSRURALES1'!D107</f>
        <v>6</v>
      </c>
      <c r="C155" s="49">
        <f>(B155/$B$165)*100</f>
        <v>5.3571428571428568</v>
      </c>
      <c r="D155" s="29">
        <f>COUNTIFS(NORDESTE!$A:$A,"Amalfi",NORDESTE!$S:$S,"SIN RIESGO")</f>
        <v>0</v>
      </c>
      <c r="E155" s="49">
        <f>(D155/$B$155)*100</f>
        <v>0</v>
      </c>
      <c r="F155" s="29">
        <f>COUNTIFS(NORDESTE!$A:$A,"Amalfi",NORDESTE!$S:$S,"BAJO")</f>
        <v>1</v>
      </c>
      <c r="G155" s="49">
        <f>(F155/$B$155)*100</f>
        <v>16.666666666666664</v>
      </c>
      <c r="H155" s="29">
        <f>COUNTIFS(NORDESTE!$A:$A,"Amalfi",NORDESTE!$S:$S,"MEDIO")</f>
        <v>0</v>
      </c>
      <c r="I155" s="49">
        <f>(H155/$B$155)*100</f>
        <v>0</v>
      </c>
      <c r="J155" s="29">
        <f>COUNTIFS(NORDESTE!$A:$A,"Amalfi",NORDESTE!$S:$S,"ALTO")</f>
        <v>1</v>
      </c>
      <c r="K155" s="49">
        <f>(J155/$B$155)*100</f>
        <v>16.666666666666664</v>
      </c>
      <c r="L155" s="29">
        <f>COUNTIFS(NORDESTE!$A:$A,"Amalfi",NORDESTE!$S:$S,"INVIABLE SANITARIAMENTE")</f>
        <v>2</v>
      </c>
      <c r="M155" s="49">
        <f>(L155/$B$155)*100</f>
        <v>33.333333333333329</v>
      </c>
      <c r="N155" s="29">
        <f>B155-(L155+J155+H155+F155+D155)</f>
        <v>2</v>
      </c>
      <c r="O155" s="49">
        <f>(N155/$B$155)*100</f>
        <v>33.333333333333329</v>
      </c>
    </row>
    <row r="156" spans="1:16" ht="15.75">
      <c r="A156" s="61" t="s">
        <v>198</v>
      </c>
      <c r="B156" s="29">
        <f>'CONSOLIDADO-ACUEDUCTOSRURALES1'!D108</f>
        <v>4</v>
      </c>
      <c r="C156" s="49">
        <f t="shared" ref="C156:C164" si="16">(B156/$B$165)*100</f>
        <v>3.5714285714285712</v>
      </c>
      <c r="D156" s="29">
        <f>COUNTIFS(NORDESTE!$A:$A,"Anorí",NORDESTE!$S:$S,"SIN RIESGO")</f>
        <v>0</v>
      </c>
      <c r="E156" s="49">
        <f>(D156/$B$156)*100</f>
        <v>0</v>
      </c>
      <c r="F156" s="29">
        <f>COUNTIFS(NORDESTE!$A:$A,"Anorí",NORDESTE!$S:$S,"BAJO")</f>
        <v>0</v>
      </c>
      <c r="G156" s="49">
        <f>(F156/$B$156)*100</f>
        <v>0</v>
      </c>
      <c r="H156" s="29">
        <f>COUNTIFS(NORDESTE!$A:$A,"Anorí",NORDESTE!$S:$S,"MEDIO")</f>
        <v>1</v>
      </c>
      <c r="I156" s="49">
        <f>(H156/$B$156)*100</f>
        <v>25</v>
      </c>
      <c r="J156" s="29">
        <f>COUNTIFS(NORDESTE!$A:$A,"Anorí",NORDESTE!$S:$S,"ALTO")</f>
        <v>2</v>
      </c>
      <c r="K156" s="49">
        <f>(J156/$B$156)*100</f>
        <v>50</v>
      </c>
      <c r="L156" s="29">
        <f>COUNTIFS(NORDESTE!$A:$A,"Anorí",NORDESTE!$S:$S,"INVIABLE SANITARIAMENTE")</f>
        <v>0</v>
      </c>
      <c r="M156" s="49">
        <f>(L156/$B$156)*100</f>
        <v>0</v>
      </c>
      <c r="N156" s="29">
        <f>B156-(L156+J156+H156+F156+D156)</f>
        <v>1</v>
      </c>
      <c r="O156" s="49">
        <f>(N156/$B$156)*100</f>
        <v>25</v>
      </c>
    </row>
    <row r="157" spans="1:16" ht="15.75">
      <c r="A157" s="61" t="s">
        <v>199</v>
      </c>
      <c r="B157" s="29">
        <f>'CONSOLIDADO-ACUEDUCTOSRURALES1'!D109</f>
        <v>3</v>
      </c>
      <c r="C157" s="49">
        <f t="shared" si="16"/>
        <v>2.6785714285714284</v>
      </c>
      <c r="D157" s="29">
        <f>COUNTIFS(NORDESTE!$A:$A,"Cisneros",NORDESTE!$S:$S,"SIN RIESGO")</f>
        <v>0</v>
      </c>
      <c r="E157" s="49">
        <f>(D157/$B$157)*100</f>
        <v>0</v>
      </c>
      <c r="F157" s="29">
        <f>COUNTIFS(NORDESTE!$A:$A,"Cisneros",NORDESTE!$S:$S,"BAJO")</f>
        <v>0</v>
      </c>
      <c r="G157" s="49">
        <f>(F157/$B$157)*100</f>
        <v>0</v>
      </c>
      <c r="H157" s="29">
        <f>COUNTIFS(NORDESTE!$A:$A,"Cisneros",NORDESTE!$S:$S,"MEDIO")</f>
        <v>0</v>
      </c>
      <c r="I157" s="49">
        <f>(H157/$B$157)*100</f>
        <v>0</v>
      </c>
      <c r="J157" s="29">
        <f>COUNTIFS(NORDESTE!$A:$A,"Cisneros",NORDESTE!$S:$S,"ALTO")</f>
        <v>0</v>
      </c>
      <c r="K157" s="49">
        <f>(J157/$B$157)*100</f>
        <v>0</v>
      </c>
      <c r="L157" s="29">
        <f>COUNTIFS(NORDESTE!$A:$A,"Cisneros",NORDESTE!$S:$S,"INVIABLE SANITARIAMENTE")</f>
        <v>3</v>
      </c>
      <c r="M157" s="49">
        <f>(L157/$B$157)*100</f>
        <v>100</v>
      </c>
      <c r="N157" s="326">
        <f t="shared" ref="N157:N164" si="17">B157-(L157+J157+H157+F157+D157)</f>
        <v>0</v>
      </c>
      <c r="O157" s="49">
        <f>(N157/$B$157)*100</f>
        <v>0</v>
      </c>
    </row>
    <row r="158" spans="1:16" ht="15.75">
      <c r="A158" s="61" t="s">
        <v>200</v>
      </c>
      <c r="B158" s="29">
        <f>'CONSOLIDADO-ACUEDUCTOSRURALES1'!D110</f>
        <v>7</v>
      </c>
      <c r="C158" s="49">
        <f t="shared" si="16"/>
        <v>6.25</v>
      </c>
      <c r="D158" s="29">
        <f>COUNTIFS(NORDESTE!$A:$A,"Remedios",NORDESTE!$S:$S,"SIN RIESGO")</f>
        <v>0</v>
      </c>
      <c r="E158" s="49">
        <f>(D158/$B$158)*100</f>
        <v>0</v>
      </c>
      <c r="F158" s="29">
        <f>COUNTIFS(NORDESTE!$A:$A,"Remedios",NORDESTE!$S:$S,"BAJO")</f>
        <v>0</v>
      </c>
      <c r="G158" s="49">
        <f>(F158/$B$158)*100</f>
        <v>0</v>
      </c>
      <c r="H158" s="29">
        <f>COUNTIFS(NORDESTE!$A:$A,"Remedios",NORDESTE!$S:$S,"MEDIO")</f>
        <v>0</v>
      </c>
      <c r="I158" s="49">
        <f>(H158/$B$158)*100</f>
        <v>0</v>
      </c>
      <c r="J158" s="29">
        <f>COUNTIFS(NORDESTE!$A:$A,"Remedios",NORDESTE!$S:$S,"ALTO")</f>
        <v>0</v>
      </c>
      <c r="K158" s="49">
        <f>(J158/$B$158)*100</f>
        <v>0</v>
      </c>
      <c r="L158" s="29">
        <f>COUNTIFS(NORDESTE!$A:$A,"Remedios",NORDESTE!$S:$S,"INVIABLE SANITARIAMENTE")</f>
        <v>4</v>
      </c>
      <c r="M158" s="49">
        <f>(L158/$B$158)*100</f>
        <v>57.142857142857139</v>
      </c>
      <c r="N158" s="326">
        <f t="shared" si="17"/>
        <v>3</v>
      </c>
      <c r="O158" s="49">
        <f>(N158/$B$158)*100</f>
        <v>42.857142857142854</v>
      </c>
    </row>
    <row r="159" spans="1:16" ht="15.75">
      <c r="A159" s="61" t="s">
        <v>201</v>
      </c>
      <c r="B159" s="29">
        <f>'CONSOLIDADO-ACUEDUCTOSRURALES1'!D111</f>
        <v>34</v>
      </c>
      <c r="C159" s="49">
        <f t="shared" si="16"/>
        <v>30.357142857142854</v>
      </c>
      <c r="D159" s="29">
        <f>COUNTIFS(NORDESTE!$A:$A,"San Roque",NORDESTE!$S:$S,"SIN RIESGO")</f>
        <v>0</v>
      </c>
      <c r="E159" s="49">
        <f>(D159/$B$159)*100</f>
        <v>0</v>
      </c>
      <c r="F159" s="29">
        <f>COUNTIFS(NORDESTE!$A:$A,"San Roque",NORDESTE!$S:$S,"BAJO")</f>
        <v>0</v>
      </c>
      <c r="G159" s="49">
        <f>(F159/$B$159)*100</f>
        <v>0</v>
      </c>
      <c r="H159" s="29">
        <f>COUNTIFS(NORDESTE!$A:$A,"San Roque",NORDESTE!$S:$S,"MEDIO")</f>
        <v>0</v>
      </c>
      <c r="I159" s="49">
        <f>(H159/$B$159)*100</f>
        <v>0</v>
      </c>
      <c r="J159" s="29">
        <f>COUNTIFS(NORDESTE!$A:$A,"San Roque",NORDESTE!$S:$S,"ALTO")</f>
        <v>0</v>
      </c>
      <c r="K159" s="49">
        <f>(J159/$B$159)*100</f>
        <v>0</v>
      </c>
      <c r="L159" s="29">
        <f>COUNTIFS(NORDESTE!$A:$A,"San Roque",NORDESTE!$S:$S,"INVIABLE SANITARIAMENTE")</f>
        <v>33</v>
      </c>
      <c r="M159" s="49">
        <f>(L159/$B$159)*100</f>
        <v>97.058823529411768</v>
      </c>
      <c r="N159" s="326">
        <f t="shared" si="17"/>
        <v>1</v>
      </c>
      <c r="O159" s="49">
        <f>(N159/$B$159)*100</f>
        <v>2.9411764705882351</v>
      </c>
    </row>
    <row r="160" spans="1:16" ht="15.75">
      <c r="A160" s="61" t="s">
        <v>7</v>
      </c>
      <c r="B160" s="29">
        <f>'CONSOLIDADO-ACUEDUCTOSRURALES1'!D112</f>
        <v>17</v>
      </c>
      <c r="C160" s="49">
        <f t="shared" si="16"/>
        <v>15.178571428571427</v>
      </c>
      <c r="D160" s="29">
        <f>COUNTIFS(NORDESTE!$A:$A,"Santo Domingo",NORDESTE!$S:$S,"SIN RIESGO")</f>
        <v>2</v>
      </c>
      <c r="E160" s="49">
        <f>(D160/$B$160)*100</f>
        <v>11.76470588235294</v>
      </c>
      <c r="F160" s="29">
        <f>COUNTIFS(NORDESTE!$A:$A,"Santo Domingo",NORDESTE!$S:$S,"BAJO")</f>
        <v>2</v>
      </c>
      <c r="G160" s="49">
        <f>(F160/$B$160)*100</f>
        <v>11.76470588235294</v>
      </c>
      <c r="H160" s="29">
        <f>COUNTIFS(NORDESTE!$A:$A,"Santo Domingo",NORDESTE!$S:$S,"MEDIO")</f>
        <v>1</v>
      </c>
      <c r="I160" s="49">
        <f>(H160/$B$160)*100</f>
        <v>5.8823529411764701</v>
      </c>
      <c r="J160" s="29">
        <f>COUNTIFS(NORDESTE!$A:$A,"Santo Domingo",NORDESTE!$S:$S,"ALTO")</f>
        <v>5</v>
      </c>
      <c r="K160" s="49">
        <f>(J160/$B$160)*100</f>
        <v>29.411764705882355</v>
      </c>
      <c r="L160" s="29">
        <f>COUNTIFS(NORDESTE!$A:$A,"Santo Domingo",NORDESTE!$S:$S,"INVIABLE SANITARIAMENTE")</f>
        <v>7</v>
      </c>
      <c r="M160" s="49">
        <f>(L160/$B$160)*100</f>
        <v>41.17647058823529</v>
      </c>
      <c r="N160" s="326">
        <f t="shared" si="17"/>
        <v>0</v>
      </c>
      <c r="O160" s="49">
        <f>(N160/$B$160)*100</f>
        <v>0</v>
      </c>
    </row>
    <row r="161" spans="1:16" ht="15.75">
      <c r="A161" s="61" t="s">
        <v>202</v>
      </c>
      <c r="B161" s="29">
        <f>'CONSOLIDADO-ACUEDUCTOSRURALES1'!D113</f>
        <v>12</v>
      </c>
      <c r="C161" s="49">
        <f t="shared" si="16"/>
        <v>10.714285714285714</v>
      </c>
      <c r="D161" s="29">
        <f>COUNTIFS(NORDESTE!$A:$A,"Segovia",NORDESTE!$S:$S,"SIN RIESGO")</f>
        <v>2</v>
      </c>
      <c r="E161" s="49">
        <f>(D161/$B$161)*100</f>
        <v>16.666666666666664</v>
      </c>
      <c r="F161" s="29">
        <f>COUNTIFS(NORDESTE!$A:$A,"Segovia",NORDESTE!$S:$S,"BAJO")</f>
        <v>0</v>
      </c>
      <c r="G161" s="49">
        <f>(F161/$B$161)*100</f>
        <v>0</v>
      </c>
      <c r="H161" s="29">
        <f>COUNTIFS(NORDESTE!$A:$A,"Segovia",NORDESTE!$S:$S,"MEDIO")</f>
        <v>0</v>
      </c>
      <c r="I161" s="49">
        <f>(H161/$B$161)*100</f>
        <v>0</v>
      </c>
      <c r="J161" s="29">
        <f>COUNTIFS(NORDESTE!$A:$A,"Segovia",NORDESTE!$S:$S,"ALTO")</f>
        <v>1</v>
      </c>
      <c r="K161" s="49">
        <f>(J161/$B$161)*100</f>
        <v>8.3333333333333321</v>
      </c>
      <c r="L161" s="29">
        <f>COUNTIFS(NORDESTE!$A:$A,"Segovia",NORDESTE!$S:$S,"INVIABLE SANITARIAMENTE")</f>
        <v>8</v>
      </c>
      <c r="M161" s="49">
        <f>(L161/$B$161)*100</f>
        <v>66.666666666666657</v>
      </c>
      <c r="N161" s="326">
        <f t="shared" si="17"/>
        <v>1</v>
      </c>
      <c r="O161" s="49">
        <f>(N161/$B$161)*100</f>
        <v>8.3333333333333321</v>
      </c>
    </row>
    <row r="162" spans="1:16" ht="15.75">
      <c r="A162" s="61" t="s">
        <v>203</v>
      </c>
      <c r="B162" s="29">
        <f>'CONSOLIDADO-ACUEDUCTOSRURALES1'!D114</f>
        <v>4</v>
      </c>
      <c r="C162" s="49">
        <f t="shared" si="16"/>
        <v>3.5714285714285712</v>
      </c>
      <c r="D162" s="29">
        <f>COUNTIFS(NORDESTE!$A:$A,"Vegachí",NORDESTE!$S:$S,"SIN RIESGO")</f>
        <v>1</v>
      </c>
      <c r="E162" s="49">
        <f>(D162/$B$162)*100</f>
        <v>25</v>
      </c>
      <c r="F162" s="29">
        <f>COUNTIFS(NORDESTE!$A:$A,"Vegachí",NORDESTE!$S:$S,"BAJO")</f>
        <v>0</v>
      </c>
      <c r="G162" s="49">
        <f>(F162/$B$162)*100</f>
        <v>0</v>
      </c>
      <c r="H162" s="29">
        <f>COUNTIFS(NORDESTE!$A:$A,"Vegachí",NORDESTE!$S:$S,"MEDIO")</f>
        <v>0</v>
      </c>
      <c r="I162" s="49">
        <f>(H162/$B$162)*100</f>
        <v>0</v>
      </c>
      <c r="J162" s="29">
        <f>COUNTIFS(NORDESTE!$A:$A,"Vegachí",NORDESTE!$S:$S,"ALTO")</f>
        <v>3</v>
      </c>
      <c r="K162" s="49">
        <f>(J162/$B$162)*100</f>
        <v>75</v>
      </c>
      <c r="L162" s="29">
        <f>COUNTIFS(NORDESTE!$A:$A,"Vegachí",NORDESTE!$S:$S,"INVIABLE SANITARIAMENTE")</f>
        <v>0</v>
      </c>
      <c r="M162" s="49">
        <f>(L162/$B$162)*100</f>
        <v>0</v>
      </c>
      <c r="N162" s="326">
        <f t="shared" si="17"/>
        <v>0</v>
      </c>
      <c r="O162" s="49">
        <f>(N162/$B$162)*100</f>
        <v>0</v>
      </c>
    </row>
    <row r="163" spans="1:16" ht="15.75">
      <c r="A163" s="61" t="s">
        <v>204</v>
      </c>
      <c r="B163" s="29">
        <f>'CONSOLIDADO-ACUEDUCTOSRURALES1'!D115</f>
        <v>10</v>
      </c>
      <c r="C163" s="49">
        <f t="shared" si="16"/>
        <v>8.9285714285714288</v>
      </c>
      <c r="D163" s="29">
        <f>COUNTIFS(NORDESTE!$A:$A,"Yalí",NORDESTE!$S:$S,"SIN RIESGO")</f>
        <v>0</v>
      </c>
      <c r="E163" s="49">
        <f>(D163/$B$163)*100</f>
        <v>0</v>
      </c>
      <c r="F163" s="29">
        <f>COUNTIFS(NORDESTE!$A:$A,"Yalí",NORDESTE!$S:$S,"BAJO")</f>
        <v>0</v>
      </c>
      <c r="G163" s="49">
        <f>(F163/$B$163)*100</f>
        <v>0</v>
      </c>
      <c r="H163" s="29">
        <f>COUNTIFS(NORDESTE!$A:$A,"Yalí",NORDESTE!$S:$S,"MEDIO")</f>
        <v>0</v>
      </c>
      <c r="I163" s="49">
        <f>(H163/$B$163)*100</f>
        <v>0</v>
      </c>
      <c r="J163" s="29">
        <f>COUNTIFS(NORDESTE!$A:$A,"Yalí",NORDESTE!$S:$S,"ALTO")</f>
        <v>0</v>
      </c>
      <c r="K163" s="49">
        <f>(J163/$B$163)*100</f>
        <v>0</v>
      </c>
      <c r="L163" s="29">
        <f>COUNTIFS(NORDESTE!$A:$A,"Yalí",NORDESTE!$S:$S,"INVIABLE SANITARIAMENTE")</f>
        <v>8</v>
      </c>
      <c r="M163" s="49">
        <f>(L163/$B$163)*100</f>
        <v>80</v>
      </c>
      <c r="N163" s="326">
        <f t="shared" si="17"/>
        <v>2</v>
      </c>
      <c r="O163" s="49">
        <f>(N163/$B$163)*100</f>
        <v>20</v>
      </c>
    </row>
    <row r="164" spans="1:16" ht="15.75">
      <c r="A164" s="61" t="s">
        <v>205</v>
      </c>
      <c r="B164" s="29">
        <f>'CONSOLIDADO-ACUEDUCTOSRURALES1'!D116</f>
        <v>15</v>
      </c>
      <c r="C164" s="49">
        <f t="shared" si="16"/>
        <v>13.392857142857142</v>
      </c>
      <c r="D164" s="29">
        <f>COUNTIFS(NORDESTE!$A:$A,"Yolombó",NORDESTE!$S:$S,"SIN RIESGO")</f>
        <v>2</v>
      </c>
      <c r="E164" s="49">
        <f>(D164/$B$164)*100</f>
        <v>13.333333333333334</v>
      </c>
      <c r="F164" s="29">
        <f>COUNTIFS(NORDESTE!$A:$A,"Yolombó",NORDESTE!$S:$S,"BAJO")</f>
        <v>1</v>
      </c>
      <c r="G164" s="49">
        <f>(F164/$B$164)*100</f>
        <v>6.666666666666667</v>
      </c>
      <c r="H164" s="29">
        <f>COUNTIFS(NORDESTE!$A:$A,"Yolombó",NORDESTE!$S:$S,"MEDIO")</f>
        <v>1</v>
      </c>
      <c r="I164" s="49">
        <f>(H164/$B$164)*100</f>
        <v>6.666666666666667</v>
      </c>
      <c r="J164" s="29">
        <f>COUNTIFS(NORDESTE!$A:$A,"Yolombó",NORDESTE!$S:$S,"ALTO")</f>
        <v>3</v>
      </c>
      <c r="K164" s="49">
        <f>(J164/$B$164)*100</f>
        <v>20</v>
      </c>
      <c r="L164" s="29">
        <f>COUNTIFS(NORDESTE!$A:$A,"Yolombó",NORDESTE!$S:$S,"INVIABLE SANITARIAMENTE")</f>
        <v>8</v>
      </c>
      <c r="M164" s="49">
        <f>(L164/$B$164)*100</f>
        <v>53.333333333333336</v>
      </c>
      <c r="N164" s="326">
        <f t="shared" si="17"/>
        <v>0</v>
      </c>
      <c r="O164" s="49">
        <f>(N164/$B$164)*100</f>
        <v>0</v>
      </c>
    </row>
    <row r="165" spans="1:16" ht="27.75" customHeight="1">
      <c r="A165" s="75" t="s">
        <v>225</v>
      </c>
      <c r="B165" s="76">
        <f>SUM(B155:B164)</f>
        <v>112</v>
      </c>
      <c r="C165" s="77">
        <f>SUM(C155:C164)</f>
        <v>99.999999999999986</v>
      </c>
      <c r="D165" s="76">
        <f>SUM(D155:D164)</f>
        <v>7</v>
      </c>
      <c r="E165" s="77">
        <f>(D165/$B$165)*100</f>
        <v>6.25</v>
      </c>
      <c r="F165" s="76">
        <f>SUM(F155:F164)</f>
        <v>4</v>
      </c>
      <c r="G165" s="77">
        <f>(F165/$B$165)*100</f>
        <v>3.5714285714285712</v>
      </c>
      <c r="H165" s="76">
        <f>SUM(H155:H164)</f>
        <v>3</v>
      </c>
      <c r="I165" s="77">
        <f>(H165/$B$165)*100</f>
        <v>2.6785714285714284</v>
      </c>
      <c r="J165" s="76">
        <f>SUM(J155:J164)</f>
        <v>15</v>
      </c>
      <c r="K165" s="77">
        <f>(J165/$B$165)*100</f>
        <v>13.392857142857142</v>
      </c>
      <c r="L165" s="76">
        <f>SUM(L155:L164)</f>
        <v>73</v>
      </c>
      <c r="M165" s="77">
        <f>(L165/$B$165)*100</f>
        <v>65.178571428571431</v>
      </c>
      <c r="N165" s="76">
        <f>SUM(N155:N164)</f>
        <v>10</v>
      </c>
      <c r="O165" s="77">
        <f>(N165/$B$165)*100</f>
        <v>8.9285714285714288</v>
      </c>
      <c r="P165" s="23"/>
    </row>
    <row r="166" spans="1:16" ht="15.75">
      <c r="A166" s="66"/>
      <c r="B166" s="67"/>
      <c r="C166" s="66"/>
      <c r="D166" s="67"/>
      <c r="E166" s="66"/>
      <c r="F166" s="67"/>
      <c r="G166" s="66"/>
      <c r="H166" s="67"/>
      <c r="I166" s="66"/>
      <c r="J166" s="67"/>
      <c r="K166" s="66"/>
      <c r="L166" s="67"/>
      <c r="M166" s="66"/>
      <c r="N166" s="67"/>
      <c r="O166" s="66"/>
    </row>
    <row r="167" spans="1:16">
      <c r="A167" s="33"/>
      <c r="B167" s="65"/>
      <c r="C167" s="33"/>
      <c r="D167" s="65"/>
      <c r="E167" s="33"/>
      <c r="F167" s="65"/>
      <c r="G167" s="33"/>
      <c r="H167" s="65"/>
      <c r="I167" s="33"/>
      <c r="J167" s="65"/>
      <c r="K167" s="33"/>
      <c r="L167" s="65"/>
      <c r="M167" s="33"/>
      <c r="N167" s="65"/>
      <c r="O167" s="33"/>
    </row>
    <row r="168" spans="1:16">
      <c r="A168" s="33"/>
      <c r="B168" s="65"/>
      <c r="C168" s="33"/>
      <c r="D168" s="65"/>
      <c r="E168" s="33"/>
      <c r="F168" s="65"/>
      <c r="G168" s="33"/>
      <c r="H168" s="65"/>
      <c r="I168" s="33"/>
      <c r="J168" s="65"/>
      <c r="K168" s="33"/>
      <c r="L168" s="65"/>
      <c r="M168" s="33"/>
      <c r="N168" s="65"/>
      <c r="O168" s="33"/>
    </row>
    <row r="169" spans="1:16" ht="23.25" customHeight="1">
      <c r="A169" s="590" t="s">
        <v>4567</v>
      </c>
      <c r="B169" s="590"/>
      <c r="C169" s="590"/>
      <c r="D169" s="590"/>
      <c r="E169" s="590"/>
      <c r="F169" s="590"/>
      <c r="G169" s="590"/>
      <c r="H169" s="590"/>
      <c r="I169" s="590"/>
      <c r="J169" s="590"/>
      <c r="K169" s="590"/>
      <c r="L169" s="590"/>
      <c r="M169" s="590"/>
      <c r="N169" s="590"/>
      <c r="O169" s="590"/>
    </row>
    <row r="170" spans="1:16" ht="136.5" customHeight="1">
      <c r="A170" s="389" t="s">
        <v>11</v>
      </c>
      <c r="B170" s="71" t="s">
        <v>256</v>
      </c>
      <c r="C170" s="389" t="s">
        <v>105</v>
      </c>
      <c r="D170" s="392" t="s">
        <v>250</v>
      </c>
      <c r="E170" s="389" t="s">
        <v>105</v>
      </c>
      <c r="F170" s="393" t="s">
        <v>251</v>
      </c>
      <c r="G170" s="389" t="s">
        <v>105</v>
      </c>
      <c r="H170" s="394" t="s">
        <v>252</v>
      </c>
      <c r="I170" s="389" t="s">
        <v>105</v>
      </c>
      <c r="J170" s="395" t="s">
        <v>253</v>
      </c>
      <c r="K170" s="389" t="s">
        <v>105</v>
      </c>
      <c r="L170" s="396" t="s">
        <v>254</v>
      </c>
      <c r="M170" s="389" t="s">
        <v>105</v>
      </c>
      <c r="N170" s="71" t="s">
        <v>255</v>
      </c>
      <c r="O170" s="389" t="s">
        <v>105</v>
      </c>
    </row>
    <row r="171" spans="1:16" ht="15.75">
      <c r="A171" s="61" t="s">
        <v>207</v>
      </c>
      <c r="B171" s="29">
        <f>'CONSOLIDADO-ACUEDUCTOSRURALES1'!D118</f>
        <v>50</v>
      </c>
      <c r="C171" s="49">
        <f>(B171/$B$194)*100</f>
        <v>8.9766606822262123</v>
      </c>
      <c r="D171" s="29">
        <f>COUNTIFS(ORIENTE!$A:$A,"Abejorral",ORIENTE!S:S,"SIN RIESGO")</f>
        <v>0</v>
      </c>
      <c r="E171" s="49">
        <f>(D171/$B$171)*100</f>
        <v>0</v>
      </c>
      <c r="F171" s="29">
        <f>COUNTIFS(ORIENTE!$A:$A,"Abejorral",ORIENTE!S:S,"BAJO")</f>
        <v>0</v>
      </c>
      <c r="G171" s="49">
        <f>(F171/$B$171)*100</f>
        <v>0</v>
      </c>
      <c r="H171" s="334">
        <f>COUNTIFS(ORIENTE!$A:$A,"Abejorral",ORIENTE!S:S,"MEDIO")</f>
        <v>0</v>
      </c>
      <c r="I171" s="49">
        <f>(H171/$B$171)*100</f>
        <v>0</v>
      </c>
      <c r="J171" s="334">
        <f>COUNTIFS(ORIENTE!$A:$A,"Abejorral",ORIENTE!S:S,"Alto")</f>
        <v>5</v>
      </c>
      <c r="K171" s="49">
        <f>(J171/$B$171)*100</f>
        <v>10</v>
      </c>
      <c r="L171" s="334">
        <f>COUNTIFS(ORIENTE!$A:$A,"Abejorral",ORIENTE!$S:$S,"INVIABLE SANITARIAMENTE")</f>
        <v>32</v>
      </c>
      <c r="M171" s="49">
        <f>(L171/$B$171)*100</f>
        <v>64</v>
      </c>
      <c r="N171" s="29">
        <f>B171-(D171+F171+H171+J171+L171)</f>
        <v>13</v>
      </c>
      <c r="O171" s="49">
        <f>(N171/$B$171)*100</f>
        <v>26</v>
      </c>
    </row>
    <row r="172" spans="1:16" ht="15.75">
      <c r="A172" s="61" t="s">
        <v>208</v>
      </c>
      <c r="B172" s="29">
        <f>'CONSOLIDADO-ACUEDUCTOSRURALES1'!D119</f>
        <v>10</v>
      </c>
      <c r="C172" s="49">
        <f t="shared" ref="C172:C193" si="18">(B172/$B$194)*100</f>
        <v>1.7953321364452424</v>
      </c>
      <c r="D172" s="29">
        <f>COUNTIFS(ORIENTE!$A:$A,"Alejandría",ORIENTE!S:S,"SIN RIESGO")</f>
        <v>1</v>
      </c>
      <c r="E172" s="49">
        <f>(D172/$B$172)*100</f>
        <v>10</v>
      </c>
      <c r="F172" s="29">
        <f>COUNTIFS(ORIENTE!$A:$A,"Alejandría",ORIENTE!S:S,"BAJO")</f>
        <v>0</v>
      </c>
      <c r="G172" s="49">
        <f>(F172/$B$172)*100</f>
        <v>0</v>
      </c>
      <c r="H172" s="29">
        <f>COUNTIFS(ORIENTE!$A:$A,"Alejandría",ORIENTE!S:S,"MEDIO")</f>
        <v>0</v>
      </c>
      <c r="I172" s="49">
        <f>(H172/$B$172)*100</f>
        <v>0</v>
      </c>
      <c r="J172" s="29">
        <f>COUNTIFS(ORIENTE!$A:$A,"Alejandría",ORIENTE!S:S,"ALTO")</f>
        <v>7</v>
      </c>
      <c r="K172" s="49">
        <f>(J172/$B$172)*100</f>
        <v>70</v>
      </c>
      <c r="L172" s="334">
        <f>COUNTIFS(ORIENTE!$A:$A,"Alejandria",ORIENTE!S:S,"INVIABLE SANITARIAMENTE")</f>
        <v>0</v>
      </c>
      <c r="M172" s="49">
        <f>(L172/$B$172)*100</f>
        <v>0</v>
      </c>
      <c r="N172" s="326">
        <f t="shared" ref="N172:N193" si="19">B172-(D172+F172+H172+J172+L172)</f>
        <v>2</v>
      </c>
      <c r="O172" s="49">
        <f>(N172/$B$172)*100</f>
        <v>20</v>
      </c>
    </row>
    <row r="173" spans="1:16" ht="15.75">
      <c r="A173" s="61" t="s">
        <v>209</v>
      </c>
      <c r="B173" s="29">
        <f>'CONSOLIDADO-ACUEDUCTOSRURALES1'!D120</f>
        <v>19</v>
      </c>
      <c r="C173" s="49">
        <f t="shared" si="18"/>
        <v>3.4111310592459607</v>
      </c>
      <c r="D173" s="29">
        <f>COUNTIFS(ORIENTE!$A:$A,"Argelia",ORIENTE!S:S,"SIN RIESGO")</f>
        <v>0</v>
      </c>
      <c r="E173" s="49">
        <f>(D173/$B$173)*100</f>
        <v>0</v>
      </c>
      <c r="F173" s="29">
        <f>COUNTIFS(ORIENTE!$A:$A,"Argelia",ORIENTE!S:S,"BAJO")</f>
        <v>0</v>
      </c>
      <c r="G173" s="49">
        <f>(F173/$B$173)*100</f>
        <v>0</v>
      </c>
      <c r="H173" s="29">
        <f>COUNTIFS(ORIENTE!$A:$A,"Argelia",ORIENTE!S:S,"MEDIO")</f>
        <v>0</v>
      </c>
      <c r="I173" s="49">
        <f>(H173/$B$173)*100</f>
        <v>0</v>
      </c>
      <c r="J173" s="29">
        <f>COUNTIFS(ORIENTE!$A:$A,"Argelia",ORIENTE!S:S,"ALTO")</f>
        <v>0</v>
      </c>
      <c r="K173" s="49">
        <f>(J173/$B$173)*100</f>
        <v>0</v>
      </c>
      <c r="L173" s="29">
        <f>COUNTIFS(ORIENTE!$A:$A,"Argelia",ORIENTE!S:S,"INVIABLE SANITARIAMENTE")</f>
        <v>18</v>
      </c>
      <c r="M173" s="49">
        <f>(L173/$B$173)*100</f>
        <v>94.73684210526315</v>
      </c>
      <c r="N173" s="326">
        <f t="shared" si="19"/>
        <v>1</v>
      </c>
      <c r="O173" s="49">
        <f>(N173/$B$173)*100</f>
        <v>5.2631578947368416</v>
      </c>
    </row>
    <row r="174" spans="1:16" ht="15.75">
      <c r="A174" s="61" t="s">
        <v>210</v>
      </c>
      <c r="B174" s="29">
        <f>'CONSOLIDADO-ACUEDUCTOSRURALES1'!D121</f>
        <v>23</v>
      </c>
      <c r="C174" s="49">
        <f t="shared" si="18"/>
        <v>4.1292639138240581</v>
      </c>
      <c r="D174" s="29">
        <f>COUNTIFS(ORIENTE!$A:$A,"Cocorná",ORIENTE!S:S,"SIN RIESGO")</f>
        <v>3</v>
      </c>
      <c r="E174" s="49">
        <f>(D174/$B$174)*100</f>
        <v>13.043478260869565</v>
      </c>
      <c r="F174" s="29">
        <f>COUNTIFS(ORIENTE!$A:$A,"Cocorná",ORIENTE!S:S,"BAJO")</f>
        <v>0</v>
      </c>
      <c r="G174" s="49">
        <f>(F174/$B$174)*100</f>
        <v>0</v>
      </c>
      <c r="H174" s="29">
        <f>COUNTIFS(ORIENTE!$A:$A,"Cocorná",ORIENTE!S:S,"MEDIO")</f>
        <v>1</v>
      </c>
      <c r="I174" s="49">
        <f>(H174/$B$174)*100</f>
        <v>4.3478260869565215</v>
      </c>
      <c r="J174" s="29">
        <f>COUNTIFS(ORIENTE!$A:$A,"Cocorná",ORIENTE!S:S,"ALTO")</f>
        <v>5</v>
      </c>
      <c r="K174" s="49">
        <f>(J174/$B$174)*100</f>
        <v>21.739130434782609</v>
      </c>
      <c r="L174" s="29">
        <f>COUNTIFS(ORIENTE!$A:$A,"Cocorná",ORIENTE!S:S,"INVIABLE SANITARIAMENTE")</f>
        <v>14</v>
      </c>
      <c r="M174" s="49">
        <f>(L174/$B$174)*100</f>
        <v>60.869565217391312</v>
      </c>
      <c r="N174" s="326">
        <f t="shared" si="19"/>
        <v>0</v>
      </c>
      <c r="O174" s="49">
        <f>(N174/$B$174)*100</f>
        <v>0</v>
      </c>
    </row>
    <row r="175" spans="1:16" ht="15.75">
      <c r="A175" s="61" t="s">
        <v>211</v>
      </c>
      <c r="B175" s="29">
        <f>'CONSOLIDADO-ACUEDUCTOSRURALES1'!D122</f>
        <v>4</v>
      </c>
      <c r="C175" s="49">
        <f t="shared" si="18"/>
        <v>0.71813285457809695</v>
      </c>
      <c r="D175" s="29">
        <f>COUNTIFS(ORIENTE!$A:$A,"Concepción",ORIENTE!S:S,"SIN RIESGO")</f>
        <v>0</v>
      </c>
      <c r="E175" s="49">
        <f>(D175/$B$175)*100</f>
        <v>0</v>
      </c>
      <c r="F175" s="29">
        <f>COUNTIFS(ORIENTE!$A:$A,"Concepción",ORIENTE!S:S,"BAJO")</f>
        <v>0</v>
      </c>
      <c r="G175" s="49">
        <f>(F175/$B$175)*100</f>
        <v>0</v>
      </c>
      <c r="H175" s="29">
        <f>COUNTIFS(ORIENTE!$A:$A,"Concepción",ORIENTE!S:S,"MEDIO")</f>
        <v>0</v>
      </c>
      <c r="I175" s="49">
        <f>(H175/$B$175)*100</f>
        <v>0</v>
      </c>
      <c r="J175" s="29">
        <f>COUNTIFS(ORIENTE!$A:$A,"Concepción",ORIENTE!S:S,"ALTO")</f>
        <v>0</v>
      </c>
      <c r="K175" s="49">
        <f>(J175/$B$175)*100</f>
        <v>0</v>
      </c>
      <c r="L175" s="29">
        <f>COUNTIFS(ORIENTE!$A:$A,"Concepción",ORIENTE!S:S,"INVIABLE SANITARIAMENTE")</f>
        <v>4</v>
      </c>
      <c r="M175" s="49">
        <f>(L175/$B$175)*100</f>
        <v>100</v>
      </c>
      <c r="N175" s="326">
        <f t="shared" si="19"/>
        <v>0</v>
      </c>
      <c r="O175" s="49">
        <f>(N175/$B$175)*100</f>
        <v>0</v>
      </c>
    </row>
    <row r="176" spans="1:16" ht="15.75">
      <c r="A176" s="61" t="s">
        <v>212</v>
      </c>
      <c r="B176" s="29">
        <f>'CONSOLIDADO-ACUEDUCTOSRURALES1'!D123</f>
        <v>36</v>
      </c>
      <c r="C176" s="49">
        <f t="shared" si="18"/>
        <v>6.4631956912028716</v>
      </c>
      <c r="D176" s="29">
        <f>COUNTIFS(ORIENTE!$A:$A,"Carmen de Viboral",ORIENTE!S:S,"SIN RIESGO")</f>
        <v>34</v>
      </c>
      <c r="E176" s="49">
        <f>(D176/$B$176)*100</f>
        <v>94.444444444444443</v>
      </c>
      <c r="F176" s="29">
        <f>COUNTIFS(ORIENTE!$A:$A,"Carmen de Viboral",ORIENTE!S:S,"BAJO")</f>
        <v>2</v>
      </c>
      <c r="G176" s="49">
        <f>(F176/$B$176)*100</f>
        <v>5.5555555555555554</v>
      </c>
      <c r="H176" s="29">
        <f>COUNTIFS(ORIENTE!$A:$A,"Carmen de Viboral",ORIENTE!S:S,"MEDIO")</f>
        <v>0</v>
      </c>
      <c r="I176" s="49">
        <f>(H176/$B$176)*100</f>
        <v>0</v>
      </c>
      <c r="J176" s="29">
        <f>COUNTIFS(ORIENTE!$A:$A,"Carmen de Viboral",ORIENTE!S:S,"ALTO")</f>
        <v>0</v>
      </c>
      <c r="K176" s="49">
        <f>(J176/$B$176)*100</f>
        <v>0</v>
      </c>
      <c r="L176" s="29">
        <f>COUNTIFS(ORIENTE!$A:$A,"Carmen de Viboral",ORIENTE!S:S,"INVIABLE SANITARIAMENTE")</f>
        <v>0</v>
      </c>
      <c r="M176" s="49">
        <f>(L176/$B$176)*100</f>
        <v>0</v>
      </c>
      <c r="N176" s="326">
        <f t="shared" si="19"/>
        <v>0</v>
      </c>
      <c r="O176" s="49">
        <f>(N176/$B$176)*100</f>
        <v>0</v>
      </c>
    </row>
    <row r="177" spans="1:15" ht="15.75">
      <c r="A177" s="61" t="s">
        <v>213</v>
      </c>
      <c r="B177" s="29">
        <f>'CONSOLIDADO-ACUEDUCTOSRURALES1'!D124</f>
        <v>28</v>
      </c>
      <c r="C177" s="49">
        <f t="shared" si="18"/>
        <v>5.0269299820466786</v>
      </c>
      <c r="D177" s="29">
        <f>COUNTIFS(ORIENTE!$A:$A,"El Peñol",ORIENTE!S:S,"SIN RIESGO")</f>
        <v>17</v>
      </c>
      <c r="E177" s="49">
        <f>(D177/$B$177)*100</f>
        <v>60.714285714285708</v>
      </c>
      <c r="F177" s="29">
        <f>COUNTIFS(ORIENTE!$A:$A,"El Peñol",ORIENTE!S:S,"BAJO")</f>
        <v>5</v>
      </c>
      <c r="G177" s="49">
        <f>(F177/$B$177)*100</f>
        <v>17.857142857142858</v>
      </c>
      <c r="H177" s="29">
        <f>COUNTIFS(ORIENTE!$A:$A,"El Peñol",ORIENTE!S:S,"MEDIO")</f>
        <v>4</v>
      </c>
      <c r="I177" s="49">
        <f>(H177/$B$177)*100</f>
        <v>14.285714285714285</v>
      </c>
      <c r="J177" s="29">
        <f>COUNTIFS(ORIENTE!$A:$A,"El Peñol",ORIENTE!S:S,"ALTO")</f>
        <v>0</v>
      </c>
      <c r="K177" s="49">
        <f>(J177/$B$177)*100</f>
        <v>0</v>
      </c>
      <c r="L177" s="29">
        <f>COUNTIFS(ORIENTE!$A:$A,"El Peñol",ORIENTE!S:S,"INVIABLE SANITARIAMENTE")</f>
        <v>1</v>
      </c>
      <c r="M177" s="49">
        <f>(L177/$B$177)*100</f>
        <v>3.5714285714285712</v>
      </c>
      <c r="N177" s="326">
        <f t="shared" si="19"/>
        <v>1</v>
      </c>
      <c r="O177" s="49">
        <f>(N177/$B$177)*100</f>
        <v>3.5714285714285712</v>
      </c>
    </row>
    <row r="178" spans="1:15" ht="15.75">
      <c r="A178" s="61" t="s">
        <v>214</v>
      </c>
      <c r="B178" s="29">
        <f>'CONSOLIDADO-ACUEDUCTOSRURALES1'!D125</f>
        <v>22</v>
      </c>
      <c r="C178" s="49">
        <f t="shared" si="18"/>
        <v>3.9497307001795332</v>
      </c>
      <c r="D178" s="29">
        <f>COUNTIFS(ORIENTE!$A:$A,"El Retiro",ORIENTE!S:S,"SIN RIESGO")</f>
        <v>3</v>
      </c>
      <c r="E178" s="49">
        <f>(D178/$B$178)*100</f>
        <v>13.636363636363635</v>
      </c>
      <c r="F178" s="29">
        <f>COUNTIFS(ORIENTE!$A:$A,"El Retiro",ORIENTE!S:S,"BAJO")</f>
        <v>4</v>
      </c>
      <c r="G178" s="49">
        <f>(F178/$B$178)*100</f>
        <v>18.181818181818183</v>
      </c>
      <c r="H178" s="29">
        <f>COUNTIFS(ORIENTE!$A:$A,"El Retiro",ORIENTE!S:S,"MEDIO")</f>
        <v>2</v>
      </c>
      <c r="I178" s="49">
        <f>(H178/$B$178)*100</f>
        <v>9.0909090909090917</v>
      </c>
      <c r="J178" s="29">
        <f>COUNTIFS(ORIENTE!$A:$A,"El Retiro",ORIENTE!S:S,"ALTO")</f>
        <v>2</v>
      </c>
      <c r="K178" s="49">
        <f>(J178/$B$178)*100</f>
        <v>9.0909090909090917</v>
      </c>
      <c r="L178" s="29">
        <f>COUNTIFS(ORIENTE!$A:$A,"El Retiro",ORIENTE!S:S,"INVIABLE SANITARIAMENTE")</f>
        <v>7</v>
      </c>
      <c r="M178" s="49">
        <f>(L178/$B$178)*100</f>
        <v>31.818181818181817</v>
      </c>
      <c r="N178" s="326">
        <f t="shared" si="19"/>
        <v>4</v>
      </c>
      <c r="O178" s="49">
        <f>(N178/$B$178)*100</f>
        <v>18.181818181818183</v>
      </c>
    </row>
    <row r="179" spans="1:15" ht="15.75">
      <c r="A179" s="61" t="s">
        <v>215</v>
      </c>
      <c r="B179" s="29">
        <f>'CONSOLIDADO-ACUEDUCTOSRURALES1'!D126</f>
        <v>37</v>
      </c>
      <c r="C179" s="49">
        <f t="shared" si="18"/>
        <v>6.6427289048473961</v>
      </c>
      <c r="D179" s="29">
        <f>COUNTIFS(ORIENTE!$A:$A,"El Santuario",ORIENTE!S:S,"SIN RIESGO")</f>
        <v>8</v>
      </c>
      <c r="E179" s="49">
        <f>(D179/$B$179)*100</f>
        <v>21.621621621621621</v>
      </c>
      <c r="F179" s="29">
        <f>COUNTIFS(ORIENTE!$A:$A,"El Santuario",ORIENTE!S:S,"BAJO")</f>
        <v>3</v>
      </c>
      <c r="G179" s="49">
        <f>(F179/$B$179)*100</f>
        <v>8.1081081081081088</v>
      </c>
      <c r="H179" s="29">
        <f>COUNTIFS(ORIENTE!$A:$A,"El Santuario",ORIENTE!S:S,"MEDIO")</f>
        <v>4</v>
      </c>
      <c r="I179" s="49">
        <f>(H179/$B$179)*100</f>
        <v>10.810810810810811</v>
      </c>
      <c r="J179" s="29">
        <f>COUNTIFS(ORIENTE!$A:$A,"El Santuario",ORIENTE!S:S,"ALTO")</f>
        <v>3</v>
      </c>
      <c r="K179" s="49">
        <f>(J179/$B$179)*100</f>
        <v>8.1081081081081088</v>
      </c>
      <c r="L179" s="29">
        <f>COUNTIFS(ORIENTE!$A:$A,"El Santuario",ORIENTE!S:S,"INVIABLE SANITARIAMENTE")</f>
        <v>6</v>
      </c>
      <c r="M179" s="49">
        <f>(L179/$B$179)*100</f>
        <v>16.216216216216218</v>
      </c>
      <c r="N179" s="326">
        <f t="shared" si="19"/>
        <v>13</v>
      </c>
      <c r="O179" s="49">
        <f>(N179/$B$179)*100</f>
        <v>35.135135135135137</v>
      </c>
    </row>
    <row r="180" spans="1:15" ht="15.75">
      <c r="A180" s="61" t="s">
        <v>216</v>
      </c>
      <c r="B180" s="29">
        <f>'CONSOLIDADO-ACUEDUCTOSRURALES1'!D127</f>
        <v>23</v>
      </c>
      <c r="C180" s="49">
        <f t="shared" si="18"/>
        <v>4.1292639138240581</v>
      </c>
      <c r="D180" s="29">
        <f>COUNTIFS(ORIENTE!$A:$A,"Granada",ORIENTE!S:S,"SIN RIESGO")</f>
        <v>0</v>
      </c>
      <c r="E180" s="49">
        <f>(D180/$B$180)*100</f>
        <v>0</v>
      </c>
      <c r="F180" s="29">
        <f>COUNTIFS(ORIENTE!$A:$A,"Granada",ORIENTE!S:S,"BAJO")</f>
        <v>0</v>
      </c>
      <c r="G180" s="49">
        <f>(F180/$B$180)*100</f>
        <v>0</v>
      </c>
      <c r="H180" s="29">
        <f>COUNTIFS(ORIENTE!$A:$A,"Granada",ORIENTE!S:S,"MEDIO")</f>
        <v>0</v>
      </c>
      <c r="I180" s="49">
        <f>(H180/$B$180)*100</f>
        <v>0</v>
      </c>
      <c r="J180" s="29">
        <f>COUNTIFS(ORIENTE!$A:$A,"Granada",ORIENTE!S:S,"ALTO")</f>
        <v>0</v>
      </c>
      <c r="K180" s="49">
        <f>(J180/$B$180)*100</f>
        <v>0</v>
      </c>
      <c r="L180" s="29">
        <f>COUNTIFS(ORIENTE!$A:$A,"Granada",ORIENTE!S:S,"INVIABLE SANITARIAMENTE")</f>
        <v>8</v>
      </c>
      <c r="M180" s="49">
        <f>(L180/$B$180)*100</f>
        <v>34.782608695652172</v>
      </c>
      <c r="N180" s="326">
        <f t="shared" si="19"/>
        <v>15</v>
      </c>
      <c r="O180" s="49">
        <f>(N180/$B$180)*100</f>
        <v>65.217391304347828</v>
      </c>
    </row>
    <row r="181" spans="1:15" ht="15.75">
      <c r="A181" s="61" t="s">
        <v>217</v>
      </c>
      <c r="B181" s="29">
        <f>'CONSOLIDADO-ACUEDUCTOSRURALES1'!D128</f>
        <v>79</v>
      </c>
      <c r="C181" s="49">
        <f t="shared" si="18"/>
        <v>14.183123877917414</v>
      </c>
      <c r="D181" s="29">
        <f>COUNTIFS(ORIENTE!$A:$A,"Guarne",ORIENTE!S:S,"SIN RIESGO")</f>
        <v>32</v>
      </c>
      <c r="E181" s="49">
        <f>(D181/$B$181)*100</f>
        <v>40.506329113924053</v>
      </c>
      <c r="F181" s="29">
        <f>COUNTIFS(ORIENTE!$A:$A,"Guarne",ORIENTE!S:S,"BAJO")</f>
        <v>13</v>
      </c>
      <c r="G181" s="49">
        <f>(F181/$B$181)*100</f>
        <v>16.455696202531644</v>
      </c>
      <c r="H181" s="29">
        <f>COUNTIFS(ORIENTE!$A:$A,"Guarne",ORIENTE!S:S,"MEDIO")</f>
        <v>8</v>
      </c>
      <c r="I181" s="49">
        <f>(H181/$B$181)*100</f>
        <v>10.126582278481013</v>
      </c>
      <c r="J181" s="29">
        <f>COUNTIFS(ORIENTE!$A:$A,"Guarne",ORIENTE!S:S,"ALTO")</f>
        <v>0</v>
      </c>
      <c r="K181" s="49">
        <f>(J181/$B$181)*100</f>
        <v>0</v>
      </c>
      <c r="L181" s="29">
        <f>COUNTIFS(ORIENTE!$A:$A,"Guarne",ORIENTE!S:S,"INVIABLE SANITARIAMENTE")</f>
        <v>0</v>
      </c>
      <c r="M181" s="49">
        <f>(L181/$B$181)*100</f>
        <v>0</v>
      </c>
      <c r="N181" s="326">
        <f t="shared" si="19"/>
        <v>26</v>
      </c>
      <c r="O181" s="49">
        <f>(N181/$B$181)*100</f>
        <v>32.911392405063289</v>
      </c>
    </row>
    <row r="182" spans="1:15" ht="15.75">
      <c r="A182" s="61" t="s">
        <v>218</v>
      </c>
      <c r="B182" s="29">
        <f>'CONSOLIDADO-ACUEDUCTOSRURALES1'!D129</f>
        <v>6</v>
      </c>
      <c r="C182" s="49">
        <f t="shared" si="18"/>
        <v>1.0771992818671454</v>
      </c>
      <c r="D182" s="29">
        <f>COUNTIFS(ORIENTE!$A:$A,"Guatapé",ORIENTE!S:S,"SIN RIESGO")</f>
        <v>2</v>
      </c>
      <c r="E182" s="49">
        <f>(D182/$B$182)*100</f>
        <v>33.333333333333329</v>
      </c>
      <c r="F182" s="29">
        <f>COUNTIFS(ORIENTE!$A:$A,"Guatapé",ORIENTE!S:S,"BAJO")</f>
        <v>0</v>
      </c>
      <c r="G182" s="49">
        <f>(F182/$B$182)*100</f>
        <v>0</v>
      </c>
      <c r="H182" s="29">
        <f>COUNTIFS(ORIENTE!$A:$A,"Guatapé",ORIENTE!S:S,"MEDIO")</f>
        <v>0</v>
      </c>
      <c r="I182" s="49">
        <f>(H182/$B$182)*100</f>
        <v>0</v>
      </c>
      <c r="J182" s="29">
        <f>COUNTIFS(ORIENTE!$A:$A,"Guatapé",ORIENTE!S:S,"ALTO")</f>
        <v>0</v>
      </c>
      <c r="K182" s="49">
        <f>(J182/$B$182)*100</f>
        <v>0</v>
      </c>
      <c r="L182" s="29">
        <f>COUNTIFS(ORIENTE!$A:$A,"Guatapé",ORIENTE!S:S,"INVIABLE SANITARIAMENTE")</f>
        <v>2</v>
      </c>
      <c r="M182" s="49">
        <f>(L182/$B$182)*100</f>
        <v>33.333333333333329</v>
      </c>
      <c r="N182" s="326">
        <f t="shared" si="19"/>
        <v>2</v>
      </c>
      <c r="O182" s="49">
        <f>(N182/$B$182)*100</f>
        <v>33.333333333333329</v>
      </c>
    </row>
    <row r="183" spans="1:15" ht="15.75">
      <c r="A183" s="61" t="s">
        <v>45</v>
      </c>
      <c r="B183" s="29">
        <f>'CONSOLIDADO-ACUEDUCTOSRURALES1'!D130</f>
        <v>18</v>
      </c>
      <c r="C183" s="49">
        <f t="shared" si="18"/>
        <v>3.2315978456014358</v>
      </c>
      <c r="D183" s="29">
        <f>COUNTIFS(ORIENTE!$A:$A,"La Ceja",ORIENTE!S:S,"SIN RIESGO")</f>
        <v>1</v>
      </c>
      <c r="E183" s="49">
        <f>(D183/$B$183)*100</f>
        <v>5.5555555555555554</v>
      </c>
      <c r="F183" s="29">
        <f>COUNTIFS(ORIENTE!$A:$A,"La Ceja",ORIENTE!S:S,"BAJO")</f>
        <v>4</v>
      </c>
      <c r="G183" s="49">
        <f>(F183/$B$183)*100</f>
        <v>22.222222222222221</v>
      </c>
      <c r="H183" s="29">
        <f>COUNTIFS(ORIENTE!$A:$A,"La Ceja",ORIENTE!S:S,"MEDIO")</f>
        <v>1</v>
      </c>
      <c r="I183" s="49">
        <f>(H183/$B$183)*100</f>
        <v>5.5555555555555554</v>
      </c>
      <c r="J183" s="29">
        <f>COUNTIFS(ORIENTE!$A:$A,"La Ceja",ORIENTE!S:S,"ALTO")</f>
        <v>5</v>
      </c>
      <c r="K183" s="49">
        <f>(J183/$B$183)*100</f>
        <v>27.777777777777779</v>
      </c>
      <c r="L183" s="29">
        <f>COUNTIFS(ORIENTE!$A:$A,"La Ceja",ORIENTE!S:S,"INVIABLE SANITARIAMENTE")</f>
        <v>4</v>
      </c>
      <c r="M183" s="49">
        <f>(L183/$B$183)*100</f>
        <v>22.222222222222221</v>
      </c>
      <c r="N183" s="326">
        <f t="shared" si="19"/>
        <v>3</v>
      </c>
      <c r="O183" s="49">
        <f>(N183/$B$183)*100</f>
        <v>16.666666666666664</v>
      </c>
    </row>
    <row r="184" spans="1:15" ht="15.75">
      <c r="A184" s="61" t="s">
        <v>219</v>
      </c>
      <c r="B184" s="29">
        <f>'CONSOLIDADO-ACUEDUCTOSRURALES1'!D131</f>
        <v>18</v>
      </c>
      <c r="C184" s="49">
        <f t="shared" si="18"/>
        <v>3.2315978456014358</v>
      </c>
      <c r="D184" s="29">
        <f>COUNTIFS(ORIENTE!$A:$A,"La Unión",ORIENTE!S:S,"SIN RIESGO")</f>
        <v>5</v>
      </c>
      <c r="E184" s="49">
        <f>(D184/$B$184)*100</f>
        <v>27.777777777777779</v>
      </c>
      <c r="F184" s="29">
        <f>COUNTIFS(ORIENTE!$A:$A,"La Unión",ORIENTE!S:S,"BAJO")</f>
        <v>1</v>
      </c>
      <c r="G184" s="49">
        <f>(F184/$B$184)*100</f>
        <v>5.5555555555555554</v>
      </c>
      <c r="H184" s="29">
        <f>COUNTIFS(ORIENTE!$A:$A,"La Unión",ORIENTE!S:S,"MEDIO")</f>
        <v>2</v>
      </c>
      <c r="I184" s="49">
        <f>(H184/$B$184)*100</f>
        <v>11.111111111111111</v>
      </c>
      <c r="J184" s="29">
        <f>COUNTIFS(ORIENTE!$A:$A,"La Unión",ORIENTE!S:S,"ALTO")</f>
        <v>0</v>
      </c>
      <c r="K184" s="49">
        <f>(J184/$B$184)*100</f>
        <v>0</v>
      </c>
      <c r="L184" s="29">
        <f>COUNTIFS(ORIENTE!$A:$A,"La Unión",ORIENTE!S:S,"INVIABLE SANITARIAMENTE")</f>
        <v>9</v>
      </c>
      <c r="M184" s="49">
        <f>(L184/$B$184)*100</f>
        <v>50</v>
      </c>
      <c r="N184" s="326">
        <f t="shared" si="19"/>
        <v>1</v>
      </c>
      <c r="O184" s="49">
        <f>(N184/$B$184)*100</f>
        <v>5.5555555555555554</v>
      </c>
    </row>
    <row r="185" spans="1:15" ht="15.75">
      <c r="A185" s="61" t="s">
        <v>220</v>
      </c>
      <c r="B185" s="29">
        <f>'CONSOLIDADO-ACUEDUCTOSRURALES1'!D132</f>
        <v>38</v>
      </c>
      <c r="C185" s="49">
        <f t="shared" si="18"/>
        <v>6.8222621184919214</v>
      </c>
      <c r="D185" s="29">
        <f>COUNTIFS(ORIENTE!$A:$A,"Marinilla",ORIENTE!S:S,"SIN RIESGO")</f>
        <v>30</v>
      </c>
      <c r="E185" s="49">
        <f>(D185/$B$185)*100</f>
        <v>78.94736842105263</v>
      </c>
      <c r="F185" s="29">
        <f>COUNTIFS(ORIENTE!$A:$A,"Marinilla",ORIENTE!S:S,"BAJO")</f>
        <v>2</v>
      </c>
      <c r="G185" s="49">
        <f>(F185/$B$185)*100</f>
        <v>5.2631578947368416</v>
      </c>
      <c r="H185" s="29">
        <f>COUNTIFS(ORIENTE!$A:$A,"Marinilla",ORIENTE!S:S,"MEDIO")</f>
        <v>5</v>
      </c>
      <c r="I185" s="49">
        <f>(H185/$B$185)*100</f>
        <v>13.157894736842104</v>
      </c>
      <c r="J185" s="29">
        <f>COUNTIFS(ORIENTE!$A:$A,"Marinilla",ORIENTE!S:S,"ALTO")</f>
        <v>0</v>
      </c>
      <c r="K185" s="49">
        <f>(J185/$B$185)*100</f>
        <v>0</v>
      </c>
      <c r="L185" s="29">
        <f>COUNTIFS(ORIENTE!$A:$A,"Marinilla",ORIENTE!S:S,"INVIABLE SANITARIAMENTE")</f>
        <v>0</v>
      </c>
      <c r="M185" s="49">
        <f>(L185/$B$185)*100</f>
        <v>0</v>
      </c>
      <c r="N185" s="326">
        <f t="shared" si="19"/>
        <v>1</v>
      </c>
      <c r="O185" s="49">
        <f>(N185/$B$185)*100</f>
        <v>2.6315789473684208</v>
      </c>
    </row>
    <row r="186" spans="1:15" ht="15.75">
      <c r="A186" s="61" t="s">
        <v>221</v>
      </c>
      <c r="B186" s="29">
        <f>'CONSOLIDADO-ACUEDUCTOSRURALES1'!D133</f>
        <v>11</v>
      </c>
      <c r="C186" s="49">
        <f t="shared" si="18"/>
        <v>1.9748653500897666</v>
      </c>
      <c r="D186" s="29">
        <f>COUNTIFS(ORIENTE!$A:$A,"Nariño",ORIENTE!S:S,"SIN RIESGO")</f>
        <v>1</v>
      </c>
      <c r="E186" s="49">
        <f>(D186/$B$186)*100</f>
        <v>9.0909090909090917</v>
      </c>
      <c r="F186" s="29">
        <f>COUNTIFS(ORIENTE!$A:$A,"Nariño",ORIENTE!S:S,"BAJO")</f>
        <v>0</v>
      </c>
      <c r="G186" s="49">
        <f>(F186/$B$186)*100</f>
        <v>0</v>
      </c>
      <c r="H186" s="29">
        <f>COUNTIFS(ORIENTE!$A:$A,"Nariño",ORIENTE!S:S,"MEDIO")</f>
        <v>0</v>
      </c>
      <c r="I186" s="49">
        <f>(H186/$B$186)*100</f>
        <v>0</v>
      </c>
      <c r="J186" s="29">
        <f>COUNTIFS(ORIENTE!$A:$A,"Nariño",ORIENTE!S:S,"ALTO")</f>
        <v>10</v>
      </c>
      <c r="K186" s="49">
        <f>(J186/$B$186)*100</f>
        <v>90.909090909090907</v>
      </c>
      <c r="L186" s="29">
        <f>COUNTIFS(ORIENTE!$A:$A,"Nariño",ORIENTE!S:S,"INVIABLE SANITARIAMENTE")</f>
        <v>0</v>
      </c>
      <c r="M186" s="49">
        <f>(L186/$B$186)*100</f>
        <v>0</v>
      </c>
      <c r="N186" s="326">
        <f t="shared" si="19"/>
        <v>0</v>
      </c>
      <c r="O186" s="49">
        <f>(N186/$B$186)*100</f>
        <v>0</v>
      </c>
    </row>
    <row r="187" spans="1:15" ht="15.75">
      <c r="A187" s="61" t="s">
        <v>82</v>
      </c>
      <c r="B187" s="29">
        <f>'CONSOLIDADO-ACUEDUCTOSRURALES1'!D134</f>
        <v>24</v>
      </c>
      <c r="C187" s="49">
        <f t="shared" si="18"/>
        <v>4.3087971274685817</v>
      </c>
      <c r="D187" s="29">
        <f>COUNTIFS(ORIENTE!$A:$A,"Rionegro",ORIENTE!S:S,"SIN RIESGO")</f>
        <v>23</v>
      </c>
      <c r="E187" s="49">
        <f>(D187/$B$187)*100</f>
        <v>95.833333333333343</v>
      </c>
      <c r="F187" s="29">
        <f>COUNTIFS(ORIENTE!$A:$A,"Rionegro",ORIENTE!S:S,"BAJO")</f>
        <v>1</v>
      </c>
      <c r="G187" s="49">
        <f>(F187/$B$187)*100</f>
        <v>4.1666666666666661</v>
      </c>
      <c r="H187" s="29">
        <f>COUNTIFS(ORIENTE!$A:$A,"Rionegro",ORIENTE!S:S,"MEDIO")</f>
        <v>0</v>
      </c>
      <c r="I187" s="49">
        <f>(H187/$B$187)*100</f>
        <v>0</v>
      </c>
      <c r="J187" s="29">
        <f>COUNTIFS(ORIENTE!$A:$A,"Rionegro",ORIENTE!S:S,"ALTO")</f>
        <v>0</v>
      </c>
      <c r="K187" s="49">
        <f>(J187/$B$187)*100</f>
        <v>0</v>
      </c>
      <c r="L187" s="29">
        <f>COUNTIFS(ORIENTE!$A:$A,"Rionegro",ORIENTE!S:S,"INVIABLE SANITARIAMENTE")</f>
        <v>0</v>
      </c>
      <c r="M187" s="49">
        <f>(L187/$B$187)*100</f>
        <v>0</v>
      </c>
      <c r="N187" s="326">
        <f t="shared" si="19"/>
        <v>0</v>
      </c>
      <c r="O187" s="49">
        <f>(N187/$B$187)*100</f>
        <v>0</v>
      </c>
    </row>
    <row r="188" spans="1:15" ht="15.75">
      <c r="A188" s="61" t="s">
        <v>54</v>
      </c>
      <c r="B188" s="29">
        <f>'CONSOLIDADO-ACUEDUCTOSRURALES1'!D135</f>
        <v>15</v>
      </c>
      <c r="C188" s="49">
        <f t="shared" si="18"/>
        <v>2.6929982046678633</v>
      </c>
      <c r="D188" s="29">
        <f>COUNTIFS(ORIENTE!$A:$A,"San Carlos",ORIENTE!S:S,"SIN RIESGO")</f>
        <v>0</v>
      </c>
      <c r="E188" s="49">
        <f>(D188/$B$188)*100</f>
        <v>0</v>
      </c>
      <c r="F188" s="29">
        <f>COUNTIFS(ORIENTE!$A:$A,"San Carlos",ORIENTE!S:S,"BAJO")</f>
        <v>2</v>
      </c>
      <c r="G188" s="49">
        <f>(F188/$B$188)*100</f>
        <v>13.333333333333334</v>
      </c>
      <c r="H188" s="29">
        <f>COUNTIFS(ORIENTE!$A:$A,"San Carlos",ORIENTE!S:S,"MEDIO")</f>
        <v>1</v>
      </c>
      <c r="I188" s="49">
        <f>(H188/$B$188)*100</f>
        <v>6.666666666666667</v>
      </c>
      <c r="J188" s="29">
        <f>COUNTIFS(ORIENTE!$A:$A,"San Carlos",ORIENTE!S:S,"ALTO")</f>
        <v>5</v>
      </c>
      <c r="K188" s="49">
        <f>(J188/$B$188)*100</f>
        <v>33.333333333333329</v>
      </c>
      <c r="L188" s="29">
        <f>COUNTIFS(ORIENTE!$A:$A,"San Carlos",ORIENTE!S:S,"INVIABLE SANITARIAMENTE")</f>
        <v>7</v>
      </c>
      <c r="M188" s="49">
        <f>(L188/$B$188)*100</f>
        <v>46.666666666666664</v>
      </c>
      <c r="N188" s="326">
        <f t="shared" si="19"/>
        <v>0</v>
      </c>
      <c r="O188" s="49">
        <f>(N188/$B$188)*100</f>
        <v>0</v>
      </c>
    </row>
    <row r="189" spans="1:15" ht="15.75">
      <c r="A189" s="61" t="s">
        <v>222</v>
      </c>
      <c r="B189" s="29">
        <f>'CONSOLIDADO-ACUEDUCTOSRURALES1'!D136</f>
        <v>7</v>
      </c>
      <c r="C189" s="49">
        <f t="shared" si="18"/>
        <v>1.2567324955116697</v>
      </c>
      <c r="D189" s="29">
        <f>COUNTIFS(ORIENTE!$A:$A,"San Francisco",ORIENTE!S:S,"SIN RIESGO")</f>
        <v>0</v>
      </c>
      <c r="E189" s="49">
        <f>(D189/$B$189)*100</f>
        <v>0</v>
      </c>
      <c r="F189" s="29">
        <f>COUNTIFS(ORIENTE!$A:$A,"San Francisco",ORIENTE!S:S,"BAJO")</f>
        <v>0</v>
      </c>
      <c r="G189" s="49">
        <f>(F189/$B$189)*100</f>
        <v>0</v>
      </c>
      <c r="H189" s="29">
        <f>COUNTIFS(ORIENTE!$A:$A,"San Francisco",ORIENTE!S:S,"MEDIO")</f>
        <v>0</v>
      </c>
      <c r="I189" s="49">
        <f>(H189/$B$189)*100</f>
        <v>0</v>
      </c>
      <c r="J189" s="29">
        <f>COUNTIFS(ORIENTE!$A:$A,"San Francisco",ORIENTE!S:S,"ALTO")</f>
        <v>0</v>
      </c>
      <c r="K189" s="49">
        <f>(J189/$B$189)*100</f>
        <v>0</v>
      </c>
      <c r="L189" s="29">
        <f>COUNTIFS(ORIENTE!$A:$A,"San Francisco",ORIENTE!S:S,"INVIABLE SANITARIAMENTE")</f>
        <v>7</v>
      </c>
      <c r="M189" s="49">
        <f>(L189/$B$189)*100</f>
        <v>100</v>
      </c>
      <c r="N189" s="326">
        <f t="shared" si="19"/>
        <v>0</v>
      </c>
      <c r="O189" s="49">
        <f>(N189/$B$189)*100</f>
        <v>0</v>
      </c>
    </row>
    <row r="190" spans="1:15" ht="15.75">
      <c r="A190" s="61" t="s">
        <v>75</v>
      </c>
      <c r="B190" s="29">
        <f>'CONSOLIDADO-ACUEDUCTOSRURALES1'!D137</f>
        <v>9</v>
      </c>
      <c r="C190" s="49">
        <f t="shared" si="18"/>
        <v>1.6157989228007179</v>
      </c>
      <c r="D190" s="29">
        <f>COUNTIFS(ORIENTE!$A:$A,"San Luis",ORIENTE!S:S,"SIN RIESGO")</f>
        <v>0</v>
      </c>
      <c r="E190" s="49">
        <f>(D190/$B$190)*100</f>
        <v>0</v>
      </c>
      <c r="F190" s="29">
        <f>COUNTIFS(ORIENTE!$A:$A,"San Luis",ORIENTE!S:S,"BAJO")</f>
        <v>0</v>
      </c>
      <c r="G190" s="49">
        <f>(F190/$B$190)*100</f>
        <v>0</v>
      </c>
      <c r="H190" s="29">
        <f>COUNTIFS(ORIENTE!$A:$A,"San Luis",ORIENTE!S:S,"MEDIO")</f>
        <v>0</v>
      </c>
      <c r="I190" s="49">
        <f>(H190/$B$190)*100</f>
        <v>0</v>
      </c>
      <c r="J190" s="29">
        <f>COUNTIFS(ORIENTE!$A:$A,"San Luis",ORIENTE!S:S,"ALTO")</f>
        <v>4</v>
      </c>
      <c r="K190" s="49">
        <f>(J190/$B$190)*100</f>
        <v>44.444444444444443</v>
      </c>
      <c r="L190" s="29">
        <f>COUNTIFS(ORIENTE!$A:$A,"San Luis",ORIENTE!S:S,"INVIABLE SANITARIAMENTE")</f>
        <v>5</v>
      </c>
      <c r="M190" s="49">
        <f>(L190/$B$190)*100</f>
        <v>55.555555555555557</v>
      </c>
      <c r="N190" s="326">
        <f t="shared" si="19"/>
        <v>0</v>
      </c>
      <c r="O190" s="49">
        <f>(N190/$B$190)*100</f>
        <v>0</v>
      </c>
    </row>
    <row r="191" spans="1:15" ht="15.75">
      <c r="A191" s="61" t="s">
        <v>97</v>
      </c>
      <c r="B191" s="29">
        <f>'CONSOLIDADO-ACUEDUCTOSRURALES1'!D138</f>
        <v>17</v>
      </c>
      <c r="C191" s="49">
        <f t="shared" si="18"/>
        <v>3.0520646319569118</v>
      </c>
      <c r="D191" s="29">
        <f>COUNTIFS(ORIENTE!$A:$A,"San Rafael",ORIENTE!S:S,"SIN RIESGO")</f>
        <v>0</v>
      </c>
      <c r="E191" s="49">
        <f>(D191/$B$191)*100</f>
        <v>0</v>
      </c>
      <c r="F191" s="29">
        <f>COUNTIFS(ORIENTE!$A:$A,"San Rafael",ORIENTE!S:S,"BAJO")</f>
        <v>0</v>
      </c>
      <c r="G191" s="49">
        <f>(F191/$B$191)*100</f>
        <v>0</v>
      </c>
      <c r="H191" s="29">
        <f>COUNTIFS(ORIENTE!$A:$A,"San Rafael",ORIENTE!S:S,"MEDIO")</f>
        <v>0</v>
      </c>
      <c r="I191" s="49">
        <f>(H191/$B$191)*100</f>
        <v>0</v>
      </c>
      <c r="J191" s="29">
        <f>COUNTIFS(ORIENTE!$A:$A,"San Rafael",ORIENTE!S:S,"ALTO")</f>
        <v>1</v>
      </c>
      <c r="K191" s="49">
        <f>(J191/$B$191)*100</f>
        <v>5.8823529411764701</v>
      </c>
      <c r="L191" s="29">
        <f>COUNTIFS(ORIENTE!$A:$A,"San Rafael",ORIENTE!S:S,"INVIABLE SANITARIAMENTE")</f>
        <v>16</v>
      </c>
      <c r="M191" s="49">
        <f>(L191/$B$191)*100</f>
        <v>94.117647058823522</v>
      </c>
      <c r="N191" s="326">
        <f t="shared" si="19"/>
        <v>0</v>
      </c>
      <c r="O191" s="49">
        <f>(N191/$B$191)*100</f>
        <v>0</v>
      </c>
    </row>
    <row r="192" spans="1:15" ht="15.75">
      <c r="A192" s="61" t="s">
        <v>223</v>
      </c>
      <c r="B192" s="29">
        <f>'CONSOLIDADO-ACUEDUCTOSRURALES1'!D139</f>
        <v>46</v>
      </c>
      <c r="C192" s="49">
        <f t="shared" si="18"/>
        <v>8.2585278276481162</v>
      </c>
      <c r="D192" s="29">
        <f>COUNTIFS(ORIENTE!$A:$A,"San Vicente",ORIENTE!S:S,"SIN RIESGO")</f>
        <v>33</v>
      </c>
      <c r="E192" s="49">
        <f>(D192/$B$192)*100</f>
        <v>71.739130434782609</v>
      </c>
      <c r="F192" s="29">
        <f>COUNTIFS(ORIENTE!$A:$A,"San Vicente",ORIENTE!S:S,"BAJO")</f>
        <v>0</v>
      </c>
      <c r="G192" s="49">
        <f>(F192/$B$192)*100</f>
        <v>0</v>
      </c>
      <c r="H192" s="29">
        <f>COUNTIFS(ORIENTE!$A:$A,"San Vicente",ORIENTE!S:S,"MEDIO")</f>
        <v>0</v>
      </c>
      <c r="I192" s="49">
        <f>(H192/$B$192)*100</f>
        <v>0</v>
      </c>
      <c r="J192" s="29">
        <f>COUNTIFS(ORIENTE!$A:$A,"San Vicente",ORIENTE!S:S,"ALTO")</f>
        <v>0</v>
      </c>
      <c r="K192" s="49">
        <f>(J192/$B$192)*100</f>
        <v>0</v>
      </c>
      <c r="L192" s="29">
        <f>COUNTIFS(ORIENTE!$A:$A,"San Vicente",ORIENTE!S:S,"INVIABLE SANITARIAMENTE")</f>
        <v>0</v>
      </c>
      <c r="M192" s="49">
        <f>(L192/$B$192)*100</f>
        <v>0</v>
      </c>
      <c r="N192" s="326">
        <f t="shared" si="19"/>
        <v>13</v>
      </c>
      <c r="O192" s="49">
        <f>(N192/$B$192)*100</f>
        <v>28.260869565217391</v>
      </c>
    </row>
    <row r="193" spans="1:15" ht="15.75">
      <c r="A193" s="61" t="s">
        <v>224</v>
      </c>
      <c r="B193" s="29">
        <f>'CONSOLIDADO-ACUEDUCTOSRURALES1'!D140</f>
        <v>17</v>
      </c>
      <c r="C193" s="49">
        <f t="shared" si="18"/>
        <v>3.0520646319569118</v>
      </c>
      <c r="D193" s="29">
        <f>COUNTIFS(ORIENTE!$A:$A,"Sonsón",ORIENTE!S:S,"SIN RIESGO")</f>
        <v>1</v>
      </c>
      <c r="E193" s="49">
        <f>(D193/$B$193)*100</f>
        <v>5.8823529411764701</v>
      </c>
      <c r="F193" s="29">
        <f>COUNTIFS(ORIENTE!$A:$A,"Sonsón",ORIENTE!S:S,"BAJO")</f>
        <v>1</v>
      </c>
      <c r="G193" s="49">
        <f>(F193/$B$193)*100</f>
        <v>5.8823529411764701</v>
      </c>
      <c r="H193" s="29">
        <f>COUNTIFS(ORIENTE!$A:$A,"Sonsón",ORIENTE!S:S,"MEDIO")</f>
        <v>1</v>
      </c>
      <c r="I193" s="49">
        <f>(H193/$B$193)*100</f>
        <v>5.8823529411764701</v>
      </c>
      <c r="J193" s="29">
        <f>COUNTIFS(ORIENTE!$A:$A,"Sonsón",ORIENTE!S:S,"ALTO")</f>
        <v>4</v>
      </c>
      <c r="K193" s="49">
        <f>(J193/$B$193)*100</f>
        <v>23.52941176470588</v>
      </c>
      <c r="L193" s="29">
        <f>COUNTIFS(ORIENTE!$A:$A,"Sonsón",ORIENTE!S:S,"INVIABLE SANITARIAMENTE")</f>
        <v>9</v>
      </c>
      <c r="M193" s="49">
        <f>(L193/$B$193)*100</f>
        <v>52.941176470588239</v>
      </c>
      <c r="N193" s="326">
        <f t="shared" si="19"/>
        <v>1</v>
      </c>
      <c r="O193" s="49">
        <f>(N193/$B$193)*100</f>
        <v>5.8823529411764701</v>
      </c>
    </row>
    <row r="194" spans="1:15" ht="28.5" customHeight="1">
      <c r="A194" s="75" t="s">
        <v>225</v>
      </c>
      <c r="B194" s="76">
        <f>SUM(B171:B193)</f>
        <v>557</v>
      </c>
      <c r="C194" s="77">
        <f>SUM(C171:C193)</f>
        <v>100</v>
      </c>
      <c r="D194" s="76">
        <f>SUM(D171:D193)</f>
        <v>194</v>
      </c>
      <c r="E194" s="77">
        <f>(D194/$B$194)*100</f>
        <v>34.829443447037697</v>
      </c>
      <c r="F194" s="76">
        <f>SUM(F171:F193)</f>
        <v>38</v>
      </c>
      <c r="G194" s="77">
        <f>(F194/$B$194)*100</f>
        <v>6.8222621184919214</v>
      </c>
      <c r="H194" s="76">
        <f>SUM(H171:H193)</f>
        <v>29</v>
      </c>
      <c r="I194" s="77">
        <f>(H194/$B$194)*100</f>
        <v>5.2064631956912031</v>
      </c>
      <c r="J194" s="76">
        <f>SUM(J171:J193)</f>
        <v>51</v>
      </c>
      <c r="K194" s="77">
        <f>(J194/$B$194)*100</f>
        <v>9.1561938958707358</v>
      </c>
      <c r="L194" s="76">
        <f>SUM(L171:L193)</f>
        <v>149</v>
      </c>
      <c r="M194" s="77">
        <f>(L194/$B$194)*100</f>
        <v>26.750448833034113</v>
      </c>
      <c r="N194" s="76">
        <f>SUM(N171:N193)</f>
        <v>96</v>
      </c>
      <c r="O194" s="77">
        <f>(N194/$B$194)*100</f>
        <v>17.235188509874327</v>
      </c>
    </row>
    <row r="197" spans="1:15" ht="33.75" customHeight="1">
      <c r="A197" s="587" t="s">
        <v>4568</v>
      </c>
      <c r="B197" s="587"/>
      <c r="C197" s="587"/>
      <c r="D197" s="587"/>
      <c r="E197" s="587"/>
      <c r="F197" s="587"/>
      <c r="G197" s="587"/>
      <c r="H197" s="587"/>
      <c r="I197" s="587"/>
      <c r="J197" s="587"/>
      <c r="K197" s="587"/>
      <c r="L197" s="587"/>
      <c r="M197" s="587"/>
      <c r="N197" s="587"/>
      <c r="O197" s="587"/>
    </row>
    <row r="198" spans="1:15" ht="78" customHeight="1">
      <c r="A198" s="386" t="s">
        <v>257</v>
      </c>
      <c r="B198" s="71" t="s">
        <v>256</v>
      </c>
      <c r="C198" s="386" t="s">
        <v>105</v>
      </c>
      <c r="D198" s="392" t="s">
        <v>250</v>
      </c>
      <c r="E198" s="386" t="s">
        <v>105</v>
      </c>
      <c r="F198" s="393" t="s">
        <v>251</v>
      </c>
      <c r="G198" s="386" t="s">
        <v>105</v>
      </c>
      <c r="H198" s="394" t="s">
        <v>252</v>
      </c>
      <c r="I198" s="386" t="s">
        <v>105</v>
      </c>
      <c r="J198" s="395" t="s">
        <v>253</v>
      </c>
      <c r="K198" s="386" t="s">
        <v>105</v>
      </c>
      <c r="L198" s="396" t="s">
        <v>254</v>
      </c>
      <c r="M198" s="386" t="s">
        <v>105</v>
      </c>
      <c r="N198" s="71" t="s">
        <v>4320</v>
      </c>
      <c r="O198" s="386" t="s">
        <v>105</v>
      </c>
    </row>
    <row r="199" spans="1:15" ht="15.75">
      <c r="A199" s="78" t="s">
        <v>249</v>
      </c>
      <c r="B199" s="387">
        <f>'CONSOLIDADO-ACUEDUCTOSRURALES1'!D18</f>
        <v>201</v>
      </c>
      <c r="C199" s="57">
        <f t="shared" ref="C199:C207" si="20">(B199/$B$17)*100</f>
        <v>8.3229813664596275</v>
      </c>
      <c r="D199" s="387">
        <f>'VALLE DE ABURRA'!B215</f>
        <v>690</v>
      </c>
      <c r="E199" s="57">
        <f>(D199/$D$208)*100</f>
        <v>25.395656974604343</v>
      </c>
      <c r="F199" s="388">
        <f>'VALLE DE ABURRA'!B216</f>
        <v>48</v>
      </c>
      <c r="G199" s="57">
        <f>(F199/$F$208)*100</f>
        <v>56.470588235294116</v>
      </c>
      <c r="H199" s="388">
        <f>'VALLE DE ABURRA'!B217</f>
        <v>140</v>
      </c>
      <c r="I199" s="57">
        <f>(H199/$H$208)*100</f>
        <v>32.33256351039261</v>
      </c>
      <c r="J199" s="388">
        <f>'VALLE DE ABURRA'!B218</f>
        <v>128</v>
      </c>
      <c r="K199" s="57">
        <f>(J199/$J$208)*100</f>
        <v>17.297297297297298</v>
      </c>
      <c r="L199" s="388">
        <f>'VALLE DE ABURRA'!B219</f>
        <v>54</v>
      </c>
      <c r="M199" s="57">
        <f>(L199/$L$208)*100</f>
        <v>3.8820992092020128</v>
      </c>
      <c r="N199" s="387">
        <f>D199+F199+H199+J199+L199</f>
        <v>1060</v>
      </c>
      <c r="O199" s="57">
        <f>(N199/$N$208)*100</f>
        <v>19.754006708907941</v>
      </c>
    </row>
    <row r="200" spans="1:15" ht="15.75">
      <c r="A200" s="46" t="s">
        <v>226</v>
      </c>
      <c r="B200" s="387">
        <f>'CONSOLIDADO-ACUEDUCTOSRURALES1'!D30</f>
        <v>125</v>
      </c>
      <c r="C200" s="57">
        <f t="shared" si="20"/>
        <v>5.1759834368530022</v>
      </c>
      <c r="D200" s="387">
        <f>URABA!B129</f>
        <v>66</v>
      </c>
      <c r="E200" s="57">
        <f t="shared" ref="E200:E207" si="21">(D200/$D$208)*100</f>
        <v>2.42914979757085</v>
      </c>
      <c r="F200" s="388">
        <f>URABA!B130</f>
        <v>2</v>
      </c>
      <c r="G200" s="57">
        <f t="shared" ref="G200:G207" si="22">(F200/$F$208)*100</f>
        <v>2.3529411764705883</v>
      </c>
      <c r="H200" s="388">
        <f>URABA!B131</f>
        <v>33</v>
      </c>
      <c r="I200" s="57">
        <f t="shared" ref="I200:I207" si="23">(H200/$H$208)*100</f>
        <v>7.6212471131639719</v>
      </c>
      <c r="J200" s="388">
        <f>URABA!B132</f>
        <v>27</v>
      </c>
      <c r="K200" s="57">
        <f t="shared" ref="K200:K207" si="24">(J200/$J$208)*100</f>
        <v>3.6486486486486487</v>
      </c>
      <c r="L200" s="388">
        <f>URABA!B133</f>
        <v>75</v>
      </c>
      <c r="M200" s="57">
        <f t="shared" ref="M200:M207" si="25">(L200/$L$208)*100</f>
        <v>5.3918044572250183</v>
      </c>
      <c r="N200" s="388">
        <f t="shared" ref="N200:N207" si="26">D200+F200+H200+J200+L200</f>
        <v>203</v>
      </c>
      <c r="O200" s="57">
        <f t="shared" ref="O200:O207" si="27">(N200/$N$208)*100</f>
        <v>3.7830786433097279</v>
      </c>
    </row>
    <row r="201" spans="1:15" ht="15.75">
      <c r="A201" s="46" t="s">
        <v>227</v>
      </c>
      <c r="B201" s="387">
        <f>'CONSOLIDADO-ACUEDUCTOSRURALES1'!D48</f>
        <v>259</v>
      </c>
      <c r="C201" s="57">
        <f t="shared" si="20"/>
        <v>10.72463768115942</v>
      </c>
      <c r="D201" s="388">
        <f>NORTE!B272</f>
        <v>126</v>
      </c>
      <c r="E201" s="57">
        <f t="shared" si="21"/>
        <v>4.6374677953625323</v>
      </c>
      <c r="F201" s="388">
        <f>NORTE!B273</f>
        <v>0</v>
      </c>
      <c r="G201" s="57">
        <f t="shared" si="22"/>
        <v>0</v>
      </c>
      <c r="H201" s="388">
        <f>NORTE!B274</f>
        <v>14</v>
      </c>
      <c r="I201" s="57">
        <f t="shared" si="23"/>
        <v>3.2332563510392611</v>
      </c>
      <c r="J201" s="388">
        <f>NORTE!B275</f>
        <v>121</v>
      </c>
      <c r="K201" s="57">
        <f t="shared" si="24"/>
        <v>16.351351351351351</v>
      </c>
      <c r="L201" s="388">
        <f>NORTE!B276</f>
        <v>106</v>
      </c>
      <c r="M201" s="57">
        <f t="shared" si="25"/>
        <v>7.6204169662113586</v>
      </c>
      <c r="N201" s="388">
        <f t="shared" si="26"/>
        <v>367</v>
      </c>
      <c r="O201" s="57">
        <f t="shared" si="27"/>
        <v>6.8393589265747305</v>
      </c>
    </row>
    <row r="202" spans="1:15" ht="15.75">
      <c r="A202" s="367" t="s">
        <v>228</v>
      </c>
      <c r="B202" s="368">
        <f>'CONSOLIDADO-ACUEDUCTOSRURALES1'!D68</f>
        <v>518</v>
      </c>
      <c r="C202" s="369">
        <f t="shared" si="20"/>
        <v>21.44927536231884</v>
      </c>
      <c r="D202" s="368">
        <f>OCCIDENTE!B531</f>
        <v>107</v>
      </c>
      <c r="E202" s="57">
        <f t="shared" si="21"/>
        <v>3.9381670960618327</v>
      </c>
      <c r="F202" s="368">
        <f>OCCIDENTE!B532</f>
        <v>1</v>
      </c>
      <c r="G202" s="57">
        <f t="shared" si="22"/>
        <v>1.1764705882352942</v>
      </c>
      <c r="H202" s="368">
        <f>OCCIDENTE!B533</f>
        <v>11</v>
      </c>
      <c r="I202" s="57">
        <f t="shared" si="23"/>
        <v>2.5404157043879905</v>
      </c>
      <c r="J202" s="368">
        <f>OCCIDENTE!B534</f>
        <v>89</v>
      </c>
      <c r="K202" s="57">
        <f t="shared" si="24"/>
        <v>12.027027027027028</v>
      </c>
      <c r="L202" s="368">
        <f>OCCIDENTE!B535</f>
        <v>387</v>
      </c>
      <c r="M202" s="57">
        <f t="shared" si="25"/>
        <v>27.821710999281091</v>
      </c>
      <c r="N202" s="388">
        <f>D202+F202+H202+J202+L202</f>
        <v>595</v>
      </c>
      <c r="O202" s="57">
        <f t="shared" si="27"/>
        <v>11.088333954528514</v>
      </c>
    </row>
    <row r="203" spans="1:15" ht="15.75">
      <c r="A203" s="367" t="s">
        <v>229</v>
      </c>
      <c r="B203" s="368">
        <f>'CONSOLIDADO-ACUEDUCTOSRURALES1'!D92</f>
        <v>511</v>
      </c>
      <c r="C203" s="369">
        <f t="shared" si="20"/>
        <v>21.159420289855071</v>
      </c>
      <c r="D203" s="368">
        <f>SUROESTE!B525</f>
        <v>299</v>
      </c>
      <c r="E203" s="57">
        <f t="shared" si="21"/>
        <v>11.004784688995215</v>
      </c>
      <c r="F203" s="368">
        <f>SUROESTE!B526</f>
        <v>1</v>
      </c>
      <c r="G203" s="57">
        <f t="shared" si="22"/>
        <v>1.1764705882352942</v>
      </c>
      <c r="H203" s="368">
        <f>SUROESTE!B527</f>
        <v>67</v>
      </c>
      <c r="I203" s="57">
        <f t="shared" si="23"/>
        <v>15.473441108545035</v>
      </c>
      <c r="J203" s="368">
        <f>SUROESTE!B528</f>
        <v>182</v>
      </c>
      <c r="K203" s="57">
        <f t="shared" si="24"/>
        <v>24.594594594594597</v>
      </c>
      <c r="L203" s="368">
        <f>SUROESTE!B529</f>
        <v>297</v>
      </c>
      <c r="M203" s="57">
        <f t="shared" si="25"/>
        <v>21.351545650611069</v>
      </c>
      <c r="N203" s="388">
        <f t="shared" si="26"/>
        <v>846</v>
      </c>
      <c r="O203" s="57">
        <f t="shared" si="27"/>
        <v>15.765933656354827</v>
      </c>
    </row>
    <row r="204" spans="1:15" ht="15.75">
      <c r="A204" s="367" t="s">
        <v>230</v>
      </c>
      <c r="B204" s="368">
        <f>'CONSOLIDADO-ACUEDUCTOSRURALES1'!D99</f>
        <v>61</v>
      </c>
      <c r="C204" s="369">
        <f t="shared" si="20"/>
        <v>2.5258799171842652</v>
      </c>
      <c r="D204" s="368">
        <f>'BAJO CAUCA'!B74</f>
        <v>5</v>
      </c>
      <c r="E204" s="57">
        <f t="shared" si="21"/>
        <v>0.18402649981597352</v>
      </c>
      <c r="F204" s="368">
        <f>'BAJO CAUCA'!B75</f>
        <v>2</v>
      </c>
      <c r="G204" s="57">
        <f t="shared" si="22"/>
        <v>2.3529411764705883</v>
      </c>
      <c r="H204" s="368">
        <f>'BAJO CAUCA'!B76</f>
        <v>5</v>
      </c>
      <c r="I204" s="57">
        <f t="shared" si="23"/>
        <v>1.1547344110854503</v>
      </c>
      <c r="J204" s="368">
        <f>'BAJO CAUCA'!B77</f>
        <v>9</v>
      </c>
      <c r="K204" s="57">
        <f t="shared" si="24"/>
        <v>1.2162162162162162</v>
      </c>
      <c r="L204" s="368">
        <f>'BAJO CAUCA'!B78</f>
        <v>60</v>
      </c>
      <c r="M204" s="57">
        <f t="shared" si="25"/>
        <v>4.3134435657800143</v>
      </c>
      <c r="N204" s="388">
        <f t="shared" si="26"/>
        <v>81</v>
      </c>
      <c r="O204" s="57">
        <f t="shared" si="27"/>
        <v>1.5095042862467387</v>
      </c>
    </row>
    <row r="205" spans="1:15" ht="15.75">
      <c r="A205" s="367" t="s">
        <v>231</v>
      </c>
      <c r="B205" s="368">
        <f>'CONSOLIDADO-ACUEDUCTOSRURALES1'!D106</f>
        <v>71</v>
      </c>
      <c r="C205" s="369">
        <f t="shared" si="20"/>
        <v>2.9399585921325055</v>
      </c>
      <c r="D205" s="368">
        <f>'MAGDALENA MEDIO'!B84</f>
        <v>61</v>
      </c>
      <c r="E205" s="57">
        <f t="shared" si="21"/>
        <v>2.2451232977548767</v>
      </c>
      <c r="F205" s="368">
        <f>'MAGDALENA MEDIO'!B85</f>
        <v>10</v>
      </c>
      <c r="G205" s="57">
        <f t="shared" si="22"/>
        <v>11.76470588235294</v>
      </c>
      <c r="H205" s="368">
        <f>'MAGDALENA MEDIO'!B86</f>
        <v>4</v>
      </c>
      <c r="I205" s="57">
        <f t="shared" si="23"/>
        <v>0.92378752886836024</v>
      </c>
      <c r="J205" s="368">
        <f>'MAGDALENA MEDIO'!B87</f>
        <v>27</v>
      </c>
      <c r="K205" s="57">
        <f t="shared" si="24"/>
        <v>3.6486486486486487</v>
      </c>
      <c r="L205" s="368">
        <f>'MAGDALENA MEDIO'!B88</f>
        <v>21</v>
      </c>
      <c r="M205" s="57">
        <f t="shared" si="25"/>
        <v>1.5097052480230051</v>
      </c>
      <c r="N205" s="388">
        <f t="shared" si="26"/>
        <v>123</v>
      </c>
      <c r="O205" s="57">
        <f t="shared" si="27"/>
        <v>2.2922102124487513</v>
      </c>
    </row>
    <row r="206" spans="1:15" ht="15.75">
      <c r="A206" s="367" t="s">
        <v>232</v>
      </c>
      <c r="B206" s="368">
        <f>'CONSOLIDADO-ACUEDUCTOSRURALES1'!D117</f>
        <v>112</v>
      </c>
      <c r="C206" s="369">
        <f t="shared" si="20"/>
        <v>4.63768115942029</v>
      </c>
      <c r="D206" s="368">
        <f>NORDESTE!B127</f>
        <v>38</v>
      </c>
      <c r="E206" s="57">
        <f t="shared" si="21"/>
        <v>1.3986013986013985</v>
      </c>
      <c r="F206" s="368">
        <f>NORDESTE!B128</f>
        <v>2</v>
      </c>
      <c r="G206" s="57">
        <f t="shared" si="22"/>
        <v>2.3529411764705883</v>
      </c>
      <c r="H206" s="368">
        <f>NORDESTE!B129</f>
        <v>13</v>
      </c>
      <c r="I206" s="57">
        <f t="shared" si="23"/>
        <v>3.0023094688221708</v>
      </c>
      <c r="J206" s="368">
        <f>NORDESTE!B130</f>
        <v>32</v>
      </c>
      <c r="K206" s="57">
        <f t="shared" si="24"/>
        <v>4.3243243243243246</v>
      </c>
      <c r="L206" s="368">
        <f>NORDESTE!B131</f>
        <v>108</v>
      </c>
      <c r="M206" s="57">
        <f t="shared" si="25"/>
        <v>7.7641984184040256</v>
      </c>
      <c r="N206" s="388">
        <f t="shared" si="26"/>
        <v>193</v>
      </c>
      <c r="O206" s="57">
        <f t="shared" si="27"/>
        <v>3.5967200894521061</v>
      </c>
    </row>
    <row r="207" spans="1:15" ht="15.75">
      <c r="A207" s="367" t="s">
        <v>233</v>
      </c>
      <c r="B207" s="368">
        <f>'CONSOLIDADO-ACUEDUCTOSRURALES1'!D141</f>
        <v>557</v>
      </c>
      <c r="C207" s="369">
        <f t="shared" si="20"/>
        <v>23.064182194616979</v>
      </c>
      <c r="D207" s="368">
        <f>ORIENTE!B571</f>
        <v>1325</v>
      </c>
      <c r="E207" s="57">
        <f t="shared" si="21"/>
        <v>48.767022451232975</v>
      </c>
      <c r="F207" s="368">
        <f>ORIENTE!B572</f>
        <v>19</v>
      </c>
      <c r="G207" s="57">
        <f t="shared" si="22"/>
        <v>22.352941176470591</v>
      </c>
      <c r="H207" s="368">
        <f>ORIENTE!B573</f>
        <v>146</v>
      </c>
      <c r="I207" s="57">
        <f t="shared" si="23"/>
        <v>33.71824480369515</v>
      </c>
      <c r="J207" s="368">
        <f>ORIENTE!B574</f>
        <v>125</v>
      </c>
      <c r="K207" s="57">
        <f t="shared" si="24"/>
        <v>16.891891891891891</v>
      </c>
      <c r="L207" s="368">
        <f>ORIENTE!B575</f>
        <v>283</v>
      </c>
      <c r="M207" s="57">
        <f t="shared" si="25"/>
        <v>20.345075485262402</v>
      </c>
      <c r="N207" s="390">
        <f t="shared" si="26"/>
        <v>1898</v>
      </c>
      <c r="O207" s="57">
        <f t="shared" si="27"/>
        <v>35.370853522176674</v>
      </c>
    </row>
    <row r="208" spans="1:15" ht="21" customHeight="1">
      <c r="A208" s="73" t="s">
        <v>225</v>
      </c>
      <c r="B208" s="391">
        <f>SUM(B199:B207)</f>
        <v>2415</v>
      </c>
      <c r="C208" s="72">
        <f>SUM(C199:C207)</f>
        <v>100</v>
      </c>
      <c r="D208" s="389">
        <f>SUM(D199:D207)</f>
        <v>2717</v>
      </c>
      <c r="E208" s="72">
        <f>(D208/$N$208)*100</f>
        <v>50.63361908311591</v>
      </c>
      <c r="F208" s="389">
        <f>SUM(F199:F207)</f>
        <v>85</v>
      </c>
      <c r="G208" s="72">
        <f>(F208/$N$208)*100</f>
        <v>1.5840477077897874</v>
      </c>
      <c r="H208" s="389">
        <f>SUM(H199:H207)</f>
        <v>433</v>
      </c>
      <c r="I208" s="72">
        <f>(H208/$N$208)*100</f>
        <v>8.0693253820350357</v>
      </c>
      <c r="J208" s="389">
        <f>SUM(J199:J207)</f>
        <v>740</v>
      </c>
      <c r="K208" s="72">
        <f>(J208/$N$208)*100</f>
        <v>13.790532985464033</v>
      </c>
      <c r="L208" s="389">
        <f>SUM(L199:L207)</f>
        <v>1391</v>
      </c>
      <c r="M208" s="72">
        <f>(L208/$N$208)*100</f>
        <v>25.922474841595228</v>
      </c>
      <c r="N208" s="391">
        <f>SUM(N199:N207)</f>
        <v>5366</v>
      </c>
      <c r="O208" s="72">
        <f>SUM(O199:O207)</f>
        <v>100.00000000000001</v>
      </c>
    </row>
  </sheetData>
  <sortState ref="A79:O97">
    <sortCondition ref="A79:A97"/>
  </sortState>
  <customSheetViews>
    <customSheetView guid="{45C8AF51-29EC-46A5-AB7F-1F0634E55D82}" scale="60">
      <pane xSplit="1" ySplit="7" topLeftCell="B134" activePane="bottomRight" state="frozen"/>
      <selection pane="bottomRight" activeCell="H135" sqref="H135"/>
      <pageMargins left="0.70866141732283472" right="0.70866141732283472" top="0.74803149606299213" bottom="0.74803149606299213" header="0.31496062992125984" footer="0.31496062992125984"/>
      <pageSetup paperSize="14" scale="50" orientation="landscape" r:id="rId1"/>
    </customSheetView>
    <customSheetView guid="{FCC3B493-4306-43B2-9C73-76324485DD47}" scale="60" topLeftCell="A142">
      <selection activeCell="M88" sqref="M88"/>
      <pageMargins left="0.70866141732283472" right="0.70866141732283472" top="0.74803149606299213" bottom="0.74803149606299213" header="0.31496062992125984" footer="0.31496062992125984"/>
      <pageSetup paperSize="14" scale="50" orientation="landscape" r:id="rId2"/>
    </customSheetView>
    <customSheetView guid="{AEDE1BDB-8710-4CDA-8488-31F49D423ACE}" scale="70" topLeftCell="A40">
      <selection activeCell="D73" sqref="D73"/>
      <pageMargins left="0.70866141732283472" right="0.70866141732283472" top="0.74803149606299213" bottom="0.74803149606299213" header="0.31496062992125984" footer="0.31496062992125984"/>
      <pageSetup paperSize="14" scale="50" orientation="landscape" r:id="rId3"/>
    </customSheetView>
    <customSheetView guid="{75DD7674-E7DE-4BB1-A36D-76AA33452CB3}" scale="60" topLeftCell="C1">
      <selection activeCell="H17" activeCellId="2" sqref="D17 F17 H17"/>
      <pageMargins left="0.70866141732283472" right="0.70866141732283472" top="0.74803149606299213" bottom="0.74803149606299213" header="0.31496062992125984" footer="0.31496062992125984"/>
      <pageSetup paperSize="14" scale="50" orientation="landscape" r:id="rId4"/>
    </customSheetView>
  </customSheetViews>
  <mergeCells count="15">
    <mergeCell ref="A197:O197"/>
    <mergeCell ref="C1:O1"/>
    <mergeCell ref="A141:O141"/>
    <mergeCell ref="A153:O153"/>
    <mergeCell ref="A169:O169"/>
    <mergeCell ref="A22:O22"/>
    <mergeCell ref="A37:O37"/>
    <mergeCell ref="A54:O54"/>
    <mergeCell ref="A77:O77"/>
    <mergeCell ref="A6:O6"/>
    <mergeCell ref="A101:O101"/>
    <mergeCell ref="A130:O130"/>
    <mergeCell ref="C3:O3"/>
    <mergeCell ref="C2:O2"/>
    <mergeCell ref="C4:O4"/>
  </mergeCells>
  <pageMargins left="0.70866141732283472" right="0.70866141732283472" top="0.74803149606299213" bottom="0.74803149606299213" header="0.31496062992125984" footer="0.31496062992125984"/>
  <pageSetup paperSize="14" scale="50" orientation="landscape" r:id="rId5"/>
  <ignoredErrors>
    <ignoredError sqref="M208 K208 I208 E208" formula="1"/>
  </ignoredErrors>
  <drawing r:id="rId6"/>
  <legacy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election activeCell="F52" sqref="F52"/>
    </sheetView>
  </sheetViews>
  <sheetFormatPr baseColWidth="10" defaultRowHeight="12.75"/>
  <sheetData/>
  <customSheetViews>
    <customSheetView guid="{45C8AF51-29EC-46A5-AB7F-1F0634E55D82}" state="hidden">
      <selection activeCell="F52" sqref="F52"/>
      <pageMargins left="0.7" right="0.7" top="0.75" bottom="0.75" header="0.3" footer="0.3"/>
    </customSheetView>
    <customSheetView guid="{FCC3B493-4306-43B2-9C73-76324485DD47}" state="hidden">
      <selection activeCell="F52" sqref="F52"/>
      <pageMargins left="0.7" right="0.7" top="0.75" bottom="0.75" header="0.3" footer="0.3"/>
    </customSheetView>
    <customSheetView guid="{AEDE1BDB-8710-4CDA-8488-31F49D423ACE}" state="hidden">
      <pageMargins left="0.7" right="0.7" top="0.75" bottom="0.75" header="0.3" footer="0.3"/>
    </customSheetView>
    <customSheetView guid="{75DD7674-E7DE-4BB1-A36D-76AA33452CB3}">
      <selection activeCell="F52" sqref="F5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customSheetViews>
    <customSheetView guid="{45C8AF51-29EC-46A5-AB7F-1F0634E55D82}" state="hidden">
      <pageMargins left="0.7" right="0.7" top="0.75" bottom="0.75" header="0.3" footer="0.3"/>
    </customSheetView>
    <customSheetView guid="{FCC3B493-4306-43B2-9C73-76324485DD47}" state="hidden">
      <pageMargins left="0.7" right="0.7" top="0.75" bottom="0.75" header="0.3" footer="0.3"/>
    </customSheetView>
    <customSheetView guid="{AEDE1BDB-8710-4CDA-8488-31F49D423ACE}" state="hidden">
      <pageMargins left="0.7" right="0.7" top="0.75" bottom="0.75" header="0.3" footer="0.3"/>
    </customSheetView>
    <customSheetView guid="{75DD7674-E7DE-4BB1-A36D-76AA33452CB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0"/>
  </sheetPr>
  <dimension ref="A1:W495"/>
  <sheetViews>
    <sheetView zoomScale="60" zoomScaleNormal="70" workbookViewId="0">
      <selection activeCell="S10" sqref="S10"/>
    </sheetView>
  </sheetViews>
  <sheetFormatPr baseColWidth="10" defaultColWidth="0" defaultRowHeight="12.75" zeroHeight="1"/>
  <cols>
    <col min="1" max="1" width="37.28515625" style="34" customWidth="1"/>
    <col min="2" max="2" width="54.7109375" style="14" customWidth="1"/>
    <col min="3" max="3" width="49.7109375" style="14" customWidth="1"/>
    <col min="4" max="4" width="26.5703125" style="13" customWidth="1"/>
    <col min="5" max="18" width="10.7109375" style="13" customWidth="1"/>
    <col min="19" max="19" width="42.42578125" style="13" bestFit="1" customWidth="1"/>
    <col min="20" max="20" width="9.85546875" style="13" hidden="1" customWidth="1"/>
    <col min="21" max="16384" width="11.42578125" style="13" hidden="1"/>
  </cols>
  <sheetData>
    <row r="1" spans="1:23" s="7" customFormat="1" ht="18" customHeight="1">
      <c r="A1" s="54"/>
      <c r="B1" s="551" t="s">
        <v>258</v>
      </c>
      <c r="C1" s="551"/>
      <c r="D1" s="551"/>
      <c r="E1" s="100"/>
      <c r="F1" s="100"/>
      <c r="G1" s="100"/>
      <c r="H1" s="100"/>
      <c r="I1" s="100"/>
      <c r="J1" s="100"/>
      <c r="K1" s="100"/>
      <c r="L1" s="100"/>
      <c r="M1" s="100"/>
      <c r="N1" s="100"/>
      <c r="O1" s="100"/>
      <c r="P1" s="100"/>
      <c r="Q1" s="100"/>
      <c r="R1" s="101"/>
      <c r="S1" s="39" t="s">
        <v>546</v>
      </c>
      <c r="T1" s="3"/>
      <c r="U1" s="5"/>
      <c r="V1" s="6"/>
      <c r="W1" s="6"/>
    </row>
    <row r="2" spans="1:23" s="9" customFormat="1" ht="18" customHeight="1">
      <c r="A2" s="54"/>
      <c r="B2" s="552" t="s">
        <v>259</v>
      </c>
      <c r="C2" s="552"/>
      <c r="D2" s="552"/>
      <c r="E2" s="99"/>
      <c r="F2" s="99"/>
      <c r="G2" s="99"/>
      <c r="H2" s="99"/>
      <c r="I2" s="99"/>
      <c r="J2" s="99"/>
      <c r="K2" s="99"/>
      <c r="L2" s="99"/>
      <c r="M2" s="99"/>
      <c r="N2" s="99"/>
      <c r="O2" s="99"/>
      <c r="P2" s="99"/>
      <c r="Q2" s="99"/>
      <c r="R2" s="102"/>
      <c r="S2" s="40" t="s">
        <v>260</v>
      </c>
      <c r="T2" s="3"/>
      <c r="U2" s="8"/>
      <c r="V2" s="6"/>
      <c r="W2" s="6"/>
    </row>
    <row r="3" spans="1:23" s="7" customFormat="1" ht="18" customHeight="1">
      <c r="A3" s="54"/>
      <c r="B3" s="423" t="s">
        <v>4368</v>
      </c>
      <c r="C3" s="421"/>
      <c r="D3" s="422"/>
      <c r="E3" s="69"/>
      <c r="F3" s="69"/>
      <c r="G3" s="69"/>
      <c r="H3" s="69"/>
      <c r="I3" s="69"/>
      <c r="J3" s="69"/>
      <c r="K3" s="69"/>
      <c r="L3" s="69"/>
      <c r="M3" s="69"/>
      <c r="N3" s="69"/>
      <c r="O3" s="69"/>
      <c r="P3" s="69"/>
      <c r="Q3" s="69"/>
      <c r="R3" s="103"/>
      <c r="S3" s="40" t="s">
        <v>547</v>
      </c>
      <c r="T3" s="3"/>
      <c r="U3" s="5"/>
      <c r="V3" s="6"/>
      <c r="W3" s="6"/>
    </row>
    <row r="4" spans="1:23" s="7" customFormat="1" ht="18" customHeight="1">
      <c r="A4" s="54"/>
      <c r="B4" s="551" t="s">
        <v>4569</v>
      </c>
      <c r="C4" s="551"/>
      <c r="D4" s="551"/>
      <c r="E4" s="37"/>
      <c r="F4" s="37"/>
      <c r="G4" s="37"/>
      <c r="H4" s="37"/>
      <c r="I4" s="37"/>
      <c r="J4" s="37"/>
      <c r="K4" s="37"/>
      <c r="L4" s="37"/>
      <c r="M4" s="37"/>
      <c r="N4" s="37"/>
      <c r="O4" s="37"/>
      <c r="P4" s="37"/>
      <c r="Q4" s="37"/>
      <c r="R4" s="38"/>
      <c r="S4" s="40" t="s">
        <v>261</v>
      </c>
      <c r="T4" s="3"/>
      <c r="U4" s="5"/>
      <c r="V4" s="6"/>
      <c r="W4" s="6"/>
    </row>
    <row r="5" spans="1:23" s="32" customFormat="1" ht="15" customHeight="1">
      <c r="A5" s="263"/>
      <c r="B5" s="563"/>
      <c r="C5" s="564"/>
      <c r="D5" s="557" t="s">
        <v>266</v>
      </c>
      <c r="E5" s="544" t="s">
        <v>255</v>
      </c>
      <c r="F5" s="544"/>
      <c r="G5" s="544"/>
      <c r="H5" s="539" t="s">
        <v>263</v>
      </c>
      <c r="I5" s="539"/>
      <c r="J5" s="539"/>
      <c r="K5" s="546" t="s">
        <v>264</v>
      </c>
      <c r="L5" s="546"/>
      <c r="M5" s="546"/>
      <c r="N5" s="543" t="s">
        <v>474</v>
      </c>
      <c r="O5" s="543"/>
      <c r="P5" s="543"/>
      <c r="Q5" s="562" t="s">
        <v>265</v>
      </c>
      <c r="R5" s="562"/>
      <c r="S5" s="538" t="s">
        <v>267</v>
      </c>
    </row>
    <row r="6" spans="1:23" s="32" customFormat="1" ht="16.5" customHeight="1">
      <c r="A6" s="263"/>
      <c r="B6" s="563"/>
      <c r="C6" s="564"/>
      <c r="D6" s="557"/>
      <c r="E6" s="544"/>
      <c r="F6" s="544"/>
      <c r="G6" s="544"/>
      <c r="H6" s="539"/>
      <c r="I6" s="539"/>
      <c r="J6" s="539"/>
      <c r="K6" s="546"/>
      <c r="L6" s="546"/>
      <c r="M6" s="546"/>
      <c r="N6" s="543"/>
      <c r="O6" s="543"/>
      <c r="P6" s="543"/>
      <c r="Q6" s="562"/>
      <c r="R6" s="562"/>
      <c r="S6" s="538"/>
    </row>
    <row r="7" spans="1:23" s="32" customFormat="1" ht="27" customHeight="1">
      <c r="A7" s="437" t="s">
        <v>3708</v>
      </c>
      <c r="B7" s="234"/>
      <c r="C7" s="268"/>
      <c r="D7" s="127"/>
      <c r="E7" s="127"/>
      <c r="F7" s="127"/>
      <c r="G7" s="127"/>
      <c r="H7" s="127"/>
      <c r="I7" s="127"/>
      <c r="J7" s="127"/>
      <c r="K7" s="127"/>
      <c r="L7" s="127"/>
      <c r="M7" s="127"/>
      <c r="N7" s="127"/>
      <c r="O7" s="127"/>
      <c r="P7" s="127"/>
      <c r="Q7" s="127"/>
      <c r="R7" s="127"/>
      <c r="S7" s="267"/>
    </row>
    <row r="8" spans="1:23" s="10" customFormat="1" ht="18" customHeight="1">
      <c r="A8" s="556" t="s">
        <v>37</v>
      </c>
      <c r="B8" s="554" t="s">
        <v>38</v>
      </c>
      <c r="C8" s="554" t="s">
        <v>262</v>
      </c>
      <c r="D8" s="569" t="s">
        <v>454</v>
      </c>
      <c r="E8" s="540" t="s">
        <v>33</v>
      </c>
      <c r="F8" s="540"/>
      <c r="G8" s="540"/>
      <c r="H8" s="540"/>
      <c r="I8" s="540"/>
      <c r="J8" s="540"/>
      <c r="K8" s="540"/>
      <c r="L8" s="540"/>
      <c r="M8" s="540"/>
      <c r="N8" s="540"/>
      <c r="O8" s="540"/>
      <c r="P8" s="540"/>
      <c r="Q8" s="567" t="s">
        <v>34</v>
      </c>
      <c r="R8" s="567" t="s">
        <v>36</v>
      </c>
      <c r="S8" s="554" t="s">
        <v>35</v>
      </c>
      <c r="T8" s="11"/>
    </row>
    <row r="9" spans="1:23" s="10" customFormat="1" ht="24" customHeight="1">
      <c r="A9" s="556"/>
      <c r="B9" s="554"/>
      <c r="C9" s="554"/>
      <c r="D9" s="570"/>
      <c r="E9" s="233" t="s">
        <v>21</v>
      </c>
      <c r="F9" s="233" t="s">
        <v>22</v>
      </c>
      <c r="G9" s="233" t="s">
        <v>23</v>
      </c>
      <c r="H9" s="233" t="s">
        <v>24</v>
      </c>
      <c r="I9" s="233" t="s">
        <v>25</v>
      </c>
      <c r="J9" s="233" t="s">
        <v>26</v>
      </c>
      <c r="K9" s="233" t="s">
        <v>27</v>
      </c>
      <c r="L9" s="233" t="s">
        <v>28</v>
      </c>
      <c r="M9" s="233" t="s">
        <v>29</v>
      </c>
      <c r="N9" s="233" t="s">
        <v>30</v>
      </c>
      <c r="O9" s="233" t="s">
        <v>31</v>
      </c>
      <c r="P9" s="233" t="s">
        <v>32</v>
      </c>
      <c r="Q9" s="567"/>
      <c r="R9" s="568"/>
      <c r="S9" s="561"/>
      <c r="T9" s="11"/>
    </row>
    <row r="10" spans="1:23" ht="32.1" customHeight="1">
      <c r="A10" s="419" t="s">
        <v>4085</v>
      </c>
      <c r="B10" s="238" t="s">
        <v>519</v>
      </c>
      <c r="C10" s="482" t="s">
        <v>3567</v>
      </c>
      <c r="D10" s="119">
        <v>1780</v>
      </c>
      <c r="E10" s="79"/>
      <c r="F10" s="79"/>
      <c r="G10" s="79"/>
      <c r="H10" s="79"/>
      <c r="I10" s="79"/>
      <c r="J10" s="79">
        <v>0</v>
      </c>
      <c r="K10" s="79">
        <v>0</v>
      </c>
      <c r="L10" s="79">
        <v>0</v>
      </c>
      <c r="M10" s="79">
        <v>0</v>
      </c>
      <c r="N10" s="79">
        <v>0</v>
      </c>
      <c r="O10" s="79">
        <v>0</v>
      </c>
      <c r="P10" s="79">
        <v>0</v>
      </c>
      <c r="Q10" s="139">
        <f t="shared" ref="Q10:Q42" si="0">AVERAGE(E10:P10)</f>
        <v>0</v>
      </c>
      <c r="R10" s="144" t="str">
        <f t="shared" ref="R10:R42" si="1">IF(Q10&lt;5,"SI","NO")</f>
        <v>SI</v>
      </c>
      <c r="S10" s="145" t="str">
        <f t="shared" ref="S10:S76" si="2">IF(Q10&lt;5,"Sin Riesgo",IF(Q10 &lt;=14,"Bajo",IF(Q10&lt;=35,"Medio",IF(Q10&lt;=80,"Alto","Inviable Sanitariamente"))))</f>
        <v>Sin Riesgo</v>
      </c>
      <c r="T10" s="15"/>
    </row>
    <row r="11" spans="1:23" ht="32.1" customHeight="1">
      <c r="A11" s="419" t="s">
        <v>4085</v>
      </c>
      <c r="B11" s="238" t="s">
        <v>376</v>
      </c>
      <c r="C11" s="482" t="s">
        <v>3568</v>
      </c>
      <c r="D11" s="119">
        <v>174</v>
      </c>
      <c r="E11" s="79"/>
      <c r="F11" s="79"/>
      <c r="G11" s="79"/>
      <c r="H11" s="79"/>
      <c r="I11" s="79"/>
      <c r="J11" s="79"/>
      <c r="K11" s="79"/>
      <c r="L11" s="79"/>
      <c r="M11" s="79"/>
      <c r="N11" s="79"/>
      <c r="O11" s="79">
        <v>7.7</v>
      </c>
      <c r="P11" s="79"/>
      <c r="Q11" s="139">
        <f t="shared" si="0"/>
        <v>7.7</v>
      </c>
      <c r="R11" s="144" t="str">
        <f t="shared" si="1"/>
        <v>NO</v>
      </c>
      <c r="S11" s="145" t="str">
        <f t="shared" si="2"/>
        <v>Bajo</v>
      </c>
      <c r="T11" s="15"/>
    </row>
    <row r="12" spans="1:23" ht="32.1" customHeight="1">
      <c r="A12" s="419" t="s">
        <v>4085</v>
      </c>
      <c r="B12" s="238" t="s">
        <v>375</v>
      </c>
      <c r="C12" s="482" t="s">
        <v>3569</v>
      </c>
      <c r="D12" s="119">
        <v>240</v>
      </c>
      <c r="E12" s="79"/>
      <c r="F12" s="79"/>
      <c r="G12" s="79"/>
      <c r="H12" s="79"/>
      <c r="I12" s="79"/>
      <c r="J12" s="79"/>
      <c r="K12" s="79"/>
      <c r="L12" s="79"/>
      <c r="M12" s="79"/>
      <c r="N12" s="79"/>
      <c r="O12" s="79">
        <v>53.1</v>
      </c>
      <c r="P12" s="79"/>
      <c r="Q12" s="139">
        <f t="shared" si="0"/>
        <v>53.1</v>
      </c>
      <c r="R12" s="144" t="str">
        <f t="shared" si="1"/>
        <v>NO</v>
      </c>
      <c r="S12" s="145" t="str">
        <f t="shared" si="2"/>
        <v>Alto</v>
      </c>
      <c r="T12" s="15"/>
    </row>
    <row r="13" spans="1:23" ht="32.1" customHeight="1">
      <c r="A13" s="419" t="s">
        <v>4085</v>
      </c>
      <c r="B13" s="238" t="s">
        <v>49</v>
      </c>
      <c r="C13" s="482" t="s">
        <v>3570</v>
      </c>
      <c r="D13" s="119">
        <v>465</v>
      </c>
      <c r="E13" s="79"/>
      <c r="F13" s="79"/>
      <c r="G13" s="79"/>
      <c r="H13" s="79"/>
      <c r="I13" s="79"/>
      <c r="J13" s="79"/>
      <c r="K13" s="79"/>
      <c r="L13" s="79"/>
      <c r="M13" s="79"/>
      <c r="N13" s="79"/>
      <c r="O13" s="79">
        <v>41.9</v>
      </c>
      <c r="P13" s="79"/>
      <c r="Q13" s="139">
        <f t="shared" si="0"/>
        <v>41.9</v>
      </c>
      <c r="R13" s="144" t="str">
        <f t="shared" si="1"/>
        <v>NO</v>
      </c>
      <c r="S13" s="145" t="str">
        <f t="shared" si="2"/>
        <v>Alto</v>
      </c>
      <c r="T13" s="15"/>
    </row>
    <row r="14" spans="1:23" ht="32.1" customHeight="1">
      <c r="A14" s="419" t="s">
        <v>4085</v>
      </c>
      <c r="B14" s="238" t="s">
        <v>520</v>
      </c>
      <c r="C14" s="482" t="s">
        <v>3571</v>
      </c>
      <c r="D14" s="119">
        <v>9.048</v>
      </c>
      <c r="E14" s="79"/>
      <c r="F14" s="79"/>
      <c r="G14" s="79"/>
      <c r="H14" s="79"/>
      <c r="I14" s="79"/>
      <c r="J14" s="79"/>
      <c r="K14" s="79"/>
      <c r="L14" s="79"/>
      <c r="M14" s="79"/>
      <c r="N14" s="79"/>
      <c r="O14" s="79">
        <v>19.350000000000001</v>
      </c>
      <c r="P14" s="79"/>
      <c r="Q14" s="139">
        <f t="shared" si="0"/>
        <v>19.350000000000001</v>
      </c>
      <c r="R14" s="144" t="str">
        <f t="shared" si="1"/>
        <v>NO</v>
      </c>
      <c r="S14" s="145" t="str">
        <f t="shared" si="2"/>
        <v>Medio</v>
      </c>
      <c r="T14" s="15"/>
    </row>
    <row r="15" spans="1:23" ht="32.1" customHeight="1">
      <c r="A15" s="419" t="s">
        <v>4085</v>
      </c>
      <c r="B15" s="238" t="s">
        <v>3572</v>
      </c>
      <c r="C15" s="482" t="s">
        <v>3573</v>
      </c>
      <c r="D15" s="119">
        <v>163</v>
      </c>
      <c r="E15" s="79"/>
      <c r="F15" s="79"/>
      <c r="G15" s="79"/>
      <c r="H15" s="79"/>
      <c r="I15" s="79"/>
      <c r="J15" s="79"/>
      <c r="K15" s="79"/>
      <c r="L15" s="79"/>
      <c r="M15" s="79"/>
      <c r="N15" s="79"/>
      <c r="O15" s="79">
        <v>0</v>
      </c>
      <c r="P15" s="79"/>
      <c r="Q15" s="139">
        <f t="shared" si="0"/>
        <v>0</v>
      </c>
      <c r="R15" s="144" t="str">
        <f t="shared" si="1"/>
        <v>SI</v>
      </c>
      <c r="S15" s="145" t="str">
        <f t="shared" si="2"/>
        <v>Sin Riesgo</v>
      </c>
      <c r="T15" s="15"/>
    </row>
    <row r="16" spans="1:23" ht="32.1" customHeight="1">
      <c r="A16" s="419" t="s">
        <v>4085</v>
      </c>
      <c r="B16" s="238" t="s">
        <v>374</v>
      </c>
      <c r="C16" s="482" t="s">
        <v>3574</v>
      </c>
      <c r="D16" s="119">
        <v>362</v>
      </c>
      <c r="E16" s="79"/>
      <c r="F16" s="79"/>
      <c r="G16" s="79"/>
      <c r="H16" s="79"/>
      <c r="I16" s="79"/>
      <c r="J16" s="79"/>
      <c r="K16" s="79"/>
      <c r="L16" s="79"/>
      <c r="M16" s="79"/>
      <c r="N16" s="79"/>
      <c r="O16" s="79">
        <v>41.96</v>
      </c>
      <c r="P16" s="79"/>
      <c r="Q16" s="139">
        <f t="shared" si="0"/>
        <v>41.96</v>
      </c>
      <c r="R16" s="144" t="str">
        <f t="shared" si="1"/>
        <v>NO</v>
      </c>
      <c r="S16" s="145" t="str">
        <f t="shared" si="2"/>
        <v>Alto</v>
      </c>
      <c r="T16" s="15"/>
    </row>
    <row r="17" spans="1:20" ht="32.1" customHeight="1">
      <c r="A17" s="419" t="s">
        <v>4085</v>
      </c>
      <c r="B17" s="235" t="s">
        <v>373</v>
      </c>
      <c r="C17" s="416" t="s">
        <v>3575</v>
      </c>
      <c r="D17" s="467" t="s">
        <v>4434</v>
      </c>
      <c r="E17" s="79"/>
      <c r="F17" s="79"/>
      <c r="G17" s="79"/>
      <c r="H17" s="79"/>
      <c r="I17" s="79"/>
      <c r="J17" s="79"/>
      <c r="K17" s="79"/>
      <c r="L17" s="79"/>
      <c r="M17" s="79"/>
      <c r="N17" s="79"/>
      <c r="O17" s="79"/>
      <c r="P17" s="79"/>
      <c r="Q17" s="139" t="e">
        <f t="shared" si="0"/>
        <v>#DIV/0!</v>
      </c>
      <c r="R17" s="144" t="e">
        <f t="shared" si="1"/>
        <v>#DIV/0!</v>
      </c>
      <c r="S17" s="145" t="e">
        <f t="shared" si="2"/>
        <v>#DIV/0!</v>
      </c>
      <c r="T17" s="15"/>
    </row>
    <row r="18" spans="1:20" ht="32.1" customHeight="1">
      <c r="A18" s="419" t="s">
        <v>4085</v>
      </c>
      <c r="B18" s="238" t="s">
        <v>544</v>
      </c>
      <c r="C18" s="482" t="s">
        <v>3576</v>
      </c>
      <c r="D18" s="119">
        <v>374</v>
      </c>
      <c r="E18" s="79"/>
      <c r="F18" s="79"/>
      <c r="G18" s="79"/>
      <c r="H18" s="79"/>
      <c r="I18" s="79"/>
      <c r="J18" s="79"/>
      <c r="K18" s="79"/>
      <c r="L18" s="79"/>
      <c r="M18" s="79"/>
      <c r="N18" s="79"/>
      <c r="O18" s="79">
        <v>7.7</v>
      </c>
      <c r="P18" s="79"/>
      <c r="Q18" s="139">
        <f t="shared" si="0"/>
        <v>7.7</v>
      </c>
      <c r="R18" s="144" t="str">
        <f t="shared" si="1"/>
        <v>NO</v>
      </c>
      <c r="S18" s="145" t="str">
        <f t="shared" si="2"/>
        <v>Bajo</v>
      </c>
      <c r="T18" s="15"/>
    </row>
    <row r="19" spans="1:20" ht="32.1" customHeight="1">
      <c r="A19" s="419" t="s">
        <v>117</v>
      </c>
      <c r="B19" s="238" t="s">
        <v>58</v>
      </c>
      <c r="C19" s="482" t="s">
        <v>3577</v>
      </c>
      <c r="D19" s="119">
        <v>320</v>
      </c>
      <c r="E19" s="79"/>
      <c r="F19" s="79">
        <v>100</v>
      </c>
      <c r="G19" s="79"/>
      <c r="H19" s="79"/>
      <c r="I19" s="79"/>
      <c r="J19" s="79"/>
      <c r="K19" s="79"/>
      <c r="L19" s="79"/>
      <c r="M19" s="79"/>
      <c r="N19" s="79"/>
      <c r="O19" s="79"/>
      <c r="P19" s="79"/>
      <c r="Q19" s="139">
        <f t="shared" si="0"/>
        <v>100</v>
      </c>
      <c r="R19" s="144" t="str">
        <f t="shared" si="1"/>
        <v>NO</v>
      </c>
      <c r="S19" s="145" t="str">
        <f t="shared" si="2"/>
        <v>Inviable Sanitariamente</v>
      </c>
      <c r="T19" s="15"/>
    </row>
    <row r="20" spans="1:20" ht="32.1" customHeight="1">
      <c r="A20" s="419" t="s">
        <v>117</v>
      </c>
      <c r="B20" s="238" t="s">
        <v>241</v>
      </c>
      <c r="C20" s="482" t="s">
        <v>3578</v>
      </c>
      <c r="D20" s="156">
        <v>190</v>
      </c>
      <c r="E20" s="79"/>
      <c r="F20" s="79"/>
      <c r="G20" s="79"/>
      <c r="H20" s="79">
        <v>100</v>
      </c>
      <c r="I20" s="79"/>
      <c r="J20" s="79"/>
      <c r="K20" s="79"/>
      <c r="L20" s="79"/>
      <c r="M20" s="79"/>
      <c r="N20" s="79"/>
      <c r="O20" s="79"/>
      <c r="P20" s="79"/>
      <c r="Q20" s="139">
        <f t="shared" si="0"/>
        <v>100</v>
      </c>
      <c r="R20" s="144" t="str">
        <f t="shared" si="1"/>
        <v>NO</v>
      </c>
      <c r="S20" s="145" t="str">
        <f t="shared" si="2"/>
        <v>Inviable Sanitariamente</v>
      </c>
      <c r="T20" s="15"/>
    </row>
    <row r="21" spans="1:20" ht="32.1" customHeight="1">
      <c r="A21" s="419" t="s">
        <v>117</v>
      </c>
      <c r="B21" s="238" t="s">
        <v>3601</v>
      </c>
      <c r="C21" s="482" t="s">
        <v>3579</v>
      </c>
      <c r="D21" s="119">
        <v>40</v>
      </c>
      <c r="E21" s="79"/>
      <c r="F21" s="79"/>
      <c r="G21" s="79">
        <v>100</v>
      </c>
      <c r="H21" s="79"/>
      <c r="I21" s="79"/>
      <c r="J21" s="79"/>
      <c r="K21" s="79"/>
      <c r="L21" s="79"/>
      <c r="M21" s="79"/>
      <c r="N21" s="79"/>
      <c r="O21" s="79"/>
      <c r="P21" s="79"/>
      <c r="Q21" s="139">
        <f t="shared" si="0"/>
        <v>100</v>
      </c>
      <c r="R21" s="144" t="str">
        <f t="shared" si="1"/>
        <v>NO</v>
      </c>
      <c r="S21" s="145" t="str">
        <f t="shared" si="2"/>
        <v>Inviable Sanitariamente</v>
      </c>
      <c r="T21" s="15"/>
    </row>
    <row r="22" spans="1:20" ht="32.1" customHeight="1">
      <c r="A22" s="419" t="s">
        <v>117</v>
      </c>
      <c r="B22" s="328" t="s">
        <v>3602</v>
      </c>
      <c r="C22" s="471" t="s">
        <v>3580</v>
      </c>
      <c r="D22" s="119"/>
      <c r="E22" s="79"/>
      <c r="F22" s="79"/>
      <c r="G22" s="79"/>
      <c r="H22" s="79"/>
      <c r="I22" s="79"/>
      <c r="J22" s="79"/>
      <c r="K22" s="79"/>
      <c r="L22" s="79"/>
      <c r="M22" s="79"/>
      <c r="N22" s="79"/>
      <c r="O22" s="79"/>
      <c r="P22" s="79"/>
      <c r="Q22" s="139" t="e">
        <f t="shared" si="0"/>
        <v>#DIV/0!</v>
      </c>
      <c r="R22" s="144" t="e">
        <f t="shared" si="1"/>
        <v>#DIV/0!</v>
      </c>
      <c r="S22" s="145" t="e">
        <f t="shared" si="2"/>
        <v>#DIV/0!</v>
      </c>
      <c r="T22" s="15"/>
    </row>
    <row r="23" spans="1:20" ht="32.1" customHeight="1">
      <c r="A23" s="419" t="s">
        <v>117</v>
      </c>
      <c r="B23" s="238" t="s">
        <v>3603</v>
      </c>
      <c r="C23" s="482" t="s">
        <v>3581</v>
      </c>
      <c r="D23" s="119">
        <v>58</v>
      </c>
      <c r="E23" s="79">
        <v>100</v>
      </c>
      <c r="F23" s="79"/>
      <c r="G23" s="79"/>
      <c r="H23" s="79"/>
      <c r="I23" s="79"/>
      <c r="J23" s="79"/>
      <c r="K23" s="79"/>
      <c r="L23" s="79"/>
      <c r="M23" s="79"/>
      <c r="N23" s="79"/>
      <c r="O23" s="79"/>
      <c r="P23" s="79"/>
      <c r="Q23" s="139">
        <f t="shared" si="0"/>
        <v>100</v>
      </c>
      <c r="R23" s="144" t="str">
        <f t="shared" si="1"/>
        <v>NO</v>
      </c>
      <c r="S23" s="145" t="str">
        <f t="shared" si="2"/>
        <v>Inviable Sanitariamente</v>
      </c>
      <c r="T23" s="15"/>
    </row>
    <row r="24" spans="1:20" ht="32.1" customHeight="1">
      <c r="A24" s="419" t="s">
        <v>117</v>
      </c>
      <c r="B24" s="238" t="s">
        <v>246</v>
      </c>
      <c r="C24" s="482" t="s">
        <v>3582</v>
      </c>
      <c r="D24" s="119">
        <v>45</v>
      </c>
      <c r="E24" s="79"/>
      <c r="F24" s="79"/>
      <c r="G24" s="79">
        <v>100</v>
      </c>
      <c r="H24" s="79"/>
      <c r="I24" s="79"/>
      <c r="J24" s="79"/>
      <c r="K24" s="79"/>
      <c r="L24" s="79"/>
      <c r="M24" s="79"/>
      <c r="N24" s="79"/>
      <c r="O24" s="79"/>
      <c r="P24" s="79"/>
      <c r="Q24" s="139">
        <f t="shared" si="0"/>
        <v>100</v>
      </c>
      <c r="R24" s="144" t="str">
        <f t="shared" si="1"/>
        <v>NO</v>
      </c>
      <c r="S24" s="145" t="str">
        <f t="shared" si="2"/>
        <v>Inviable Sanitariamente</v>
      </c>
      <c r="T24" s="15"/>
    </row>
    <row r="25" spans="1:20" ht="32.1" customHeight="1">
      <c r="A25" s="419" t="s">
        <v>117</v>
      </c>
      <c r="B25" s="238" t="s">
        <v>377</v>
      </c>
      <c r="C25" s="482" t="s">
        <v>3583</v>
      </c>
      <c r="D25" s="119">
        <v>170</v>
      </c>
      <c r="E25" s="79"/>
      <c r="F25" s="79"/>
      <c r="G25" s="79">
        <v>100</v>
      </c>
      <c r="H25" s="79"/>
      <c r="I25" s="79"/>
      <c r="J25" s="79"/>
      <c r="K25" s="79"/>
      <c r="L25" s="79"/>
      <c r="M25" s="79"/>
      <c r="N25" s="79"/>
      <c r="O25" s="79"/>
      <c r="P25" s="79"/>
      <c r="Q25" s="139">
        <f t="shared" si="0"/>
        <v>100</v>
      </c>
      <c r="R25" s="144" t="str">
        <f t="shared" si="1"/>
        <v>NO</v>
      </c>
      <c r="S25" s="145" t="str">
        <f t="shared" si="2"/>
        <v>Inviable Sanitariamente</v>
      </c>
      <c r="T25" s="15"/>
    </row>
    <row r="26" spans="1:20" ht="32.1" customHeight="1">
      <c r="A26" s="419" t="s">
        <v>117</v>
      </c>
      <c r="B26" s="238" t="s">
        <v>383</v>
      </c>
      <c r="C26" s="482" t="s">
        <v>3584</v>
      </c>
      <c r="D26" s="114">
        <v>35</v>
      </c>
      <c r="E26" s="79"/>
      <c r="F26" s="79"/>
      <c r="G26" s="79"/>
      <c r="H26" s="79">
        <v>100</v>
      </c>
      <c r="I26" s="79"/>
      <c r="J26" s="79"/>
      <c r="K26" s="79"/>
      <c r="L26" s="79"/>
      <c r="M26" s="79"/>
      <c r="N26" s="79"/>
      <c r="O26" s="79"/>
      <c r="P26" s="79"/>
      <c r="Q26" s="139">
        <f t="shared" si="0"/>
        <v>100</v>
      </c>
      <c r="R26" s="144" t="str">
        <f t="shared" si="1"/>
        <v>NO</v>
      </c>
      <c r="S26" s="145" t="str">
        <f t="shared" si="2"/>
        <v>Inviable Sanitariamente</v>
      </c>
      <c r="T26" s="15"/>
    </row>
    <row r="27" spans="1:20" ht="32.1" customHeight="1">
      <c r="A27" s="419" t="s">
        <v>117</v>
      </c>
      <c r="B27" s="238" t="s">
        <v>378</v>
      </c>
      <c r="C27" s="482" t="s">
        <v>3585</v>
      </c>
      <c r="D27" s="119">
        <v>350</v>
      </c>
      <c r="E27" s="79"/>
      <c r="F27" s="79"/>
      <c r="G27" s="79"/>
      <c r="H27" s="79">
        <v>100</v>
      </c>
      <c r="I27" s="79"/>
      <c r="J27" s="79"/>
      <c r="K27" s="79"/>
      <c r="L27" s="79"/>
      <c r="M27" s="79"/>
      <c r="N27" s="79"/>
      <c r="O27" s="79"/>
      <c r="P27" s="79"/>
      <c r="Q27" s="139">
        <f t="shared" si="0"/>
        <v>100</v>
      </c>
      <c r="R27" s="144" t="str">
        <f t="shared" si="1"/>
        <v>NO</v>
      </c>
      <c r="S27" s="145" t="str">
        <f t="shared" si="2"/>
        <v>Inviable Sanitariamente</v>
      </c>
      <c r="T27" s="15"/>
    </row>
    <row r="28" spans="1:20" ht="32.1" customHeight="1">
      <c r="A28" s="419" t="s">
        <v>117</v>
      </c>
      <c r="B28" s="238" t="s">
        <v>3604</v>
      </c>
      <c r="C28" s="482" t="s">
        <v>3586</v>
      </c>
      <c r="D28" s="119"/>
      <c r="E28" s="79"/>
      <c r="F28" s="79"/>
      <c r="G28" s="79"/>
      <c r="H28" s="79"/>
      <c r="I28" s="79"/>
      <c r="J28" s="79"/>
      <c r="K28" s="79"/>
      <c r="L28" s="79"/>
      <c r="M28" s="79"/>
      <c r="N28" s="79"/>
      <c r="O28" s="79"/>
      <c r="P28" s="79"/>
      <c r="Q28" s="139" t="e">
        <f t="shared" si="0"/>
        <v>#DIV/0!</v>
      </c>
      <c r="R28" s="144" t="e">
        <f t="shared" si="1"/>
        <v>#DIV/0!</v>
      </c>
      <c r="S28" s="145" t="e">
        <f t="shared" si="2"/>
        <v>#DIV/0!</v>
      </c>
      <c r="T28" s="15"/>
    </row>
    <row r="29" spans="1:20" ht="32.1" customHeight="1">
      <c r="A29" s="419" t="s">
        <v>117</v>
      </c>
      <c r="B29" s="238" t="s">
        <v>247</v>
      </c>
      <c r="C29" s="482" t="s">
        <v>3587</v>
      </c>
      <c r="D29" s="114">
        <v>86</v>
      </c>
      <c r="E29" s="79"/>
      <c r="F29" s="79"/>
      <c r="G29" s="79">
        <v>100</v>
      </c>
      <c r="H29" s="79"/>
      <c r="I29" s="79"/>
      <c r="J29" s="79"/>
      <c r="K29" s="79"/>
      <c r="L29" s="79"/>
      <c r="M29" s="79"/>
      <c r="N29" s="79"/>
      <c r="O29" s="79"/>
      <c r="P29" s="79"/>
      <c r="Q29" s="139">
        <f t="shared" si="0"/>
        <v>100</v>
      </c>
      <c r="R29" s="144" t="str">
        <f t="shared" si="1"/>
        <v>NO</v>
      </c>
      <c r="S29" s="145" t="str">
        <f t="shared" si="2"/>
        <v>Inviable Sanitariamente</v>
      </c>
      <c r="T29" s="15"/>
    </row>
    <row r="30" spans="1:20" ht="32.1" customHeight="1">
      <c r="A30" s="419" t="s">
        <v>117</v>
      </c>
      <c r="B30" s="238" t="s">
        <v>380</v>
      </c>
      <c r="C30" s="482" t="s">
        <v>3588</v>
      </c>
      <c r="D30" s="119">
        <v>220</v>
      </c>
      <c r="E30" s="79"/>
      <c r="F30" s="79">
        <v>100</v>
      </c>
      <c r="G30" s="79"/>
      <c r="H30" s="79"/>
      <c r="I30" s="79"/>
      <c r="J30" s="79"/>
      <c r="K30" s="79"/>
      <c r="L30" s="79"/>
      <c r="M30" s="79"/>
      <c r="N30" s="79"/>
      <c r="O30" s="79"/>
      <c r="P30" s="79"/>
      <c r="Q30" s="139">
        <f t="shared" si="0"/>
        <v>100</v>
      </c>
      <c r="R30" s="144" t="str">
        <f t="shared" si="1"/>
        <v>NO</v>
      </c>
      <c r="S30" s="145" t="str">
        <f t="shared" si="2"/>
        <v>Inviable Sanitariamente</v>
      </c>
      <c r="T30" s="15"/>
    </row>
    <row r="31" spans="1:20" ht="32.1" customHeight="1">
      <c r="A31" s="419" t="s">
        <v>117</v>
      </c>
      <c r="B31" s="238" t="s">
        <v>3605</v>
      </c>
      <c r="C31" s="482" t="s">
        <v>3589</v>
      </c>
      <c r="D31" s="119">
        <v>50</v>
      </c>
      <c r="E31" s="79"/>
      <c r="F31" s="79">
        <v>100</v>
      </c>
      <c r="G31" s="79"/>
      <c r="H31" s="79"/>
      <c r="I31" s="79"/>
      <c r="J31" s="79"/>
      <c r="K31" s="79"/>
      <c r="L31" s="79"/>
      <c r="M31" s="79"/>
      <c r="N31" s="79"/>
      <c r="O31" s="79"/>
      <c r="P31" s="79"/>
      <c r="Q31" s="139">
        <f t="shared" si="0"/>
        <v>100</v>
      </c>
      <c r="R31" s="144" t="str">
        <f t="shared" si="1"/>
        <v>NO</v>
      </c>
      <c r="S31" s="145" t="str">
        <f t="shared" si="2"/>
        <v>Inviable Sanitariamente</v>
      </c>
      <c r="T31" s="15"/>
    </row>
    <row r="32" spans="1:20" ht="32.1" customHeight="1">
      <c r="A32" s="419" t="s">
        <v>117</v>
      </c>
      <c r="B32" s="238" t="s">
        <v>245</v>
      </c>
      <c r="C32" s="482" t="s">
        <v>3590</v>
      </c>
      <c r="D32" s="114">
        <v>67</v>
      </c>
      <c r="E32" s="79"/>
      <c r="F32" s="79"/>
      <c r="G32" s="79">
        <v>100</v>
      </c>
      <c r="H32" s="79"/>
      <c r="I32" s="79"/>
      <c r="J32" s="79"/>
      <c r="K32" s="79"/>
      <c r="L32" s="79"/>
      <c r="M32" s="79"/>
      <c r="N32" s="79"/>
      <c r="O32" s="79"/>
      <c r="P32" s="79"/>
      <c r="Q32" s="139">
        <f t="shared" si="0"/>
        <v>100</v>
      </c>
      <c r="R32" s="144" t="str">
        <f t="shared" si="1"/>
        <v>NO</v>
      </c>
      <c r="S32" s="145" t="str">
        <f t="shared" si="2"/>
        <v>Inviable Sanitariamente</v>
      </c>
      <c r="T32" s="15"/>
    </row>
    <row r="33" spans="1:20" ht="32.1" customHeight="1">
      <c r="A33" s="419" t="s">
        <v>117</v>
      </c>
      <c r="B33" s="238" t="s">
        <v>381</v>
      </c>
      <c r="C33" s="482" t="s">
        <v>3591</v>
      </c>
      <c r="D33" s="119">
        <v>55</v>
      </c>
      <c r="E33" s="79">
        <v>100</v>
      </c>
      <c r="F33" s="79"/>
      <c r="G33" s="79"/>
      <c r="H33" s="79"/>
      <c r="I33" s="79"/>
      <c r="J33" s="79"/>
      <c r="K33" s="79"/>
      <c r="L33" s="79"/>
      <c r="M33" s="79"/>
      <c r="N33" s="79"/>
      <c r="O33" s="79"/>
      <c r="P33" s="79"/>
      <c r="Q33" s="139">
        <f t="shared" si="0"/>
        <v>100</v>
      </c>
      <c r="R33" s="144" t="str">
        <f t="shared" si="1"/>
        <v>NO</v>
      </c>
      <c r="S33" s="145" t="str">
        <f t="shared" si="2"/>
        <v>Inviable Sanitariamente</v>
      </c>
      <c r="T33" s="15"/>
    </row>
    <row r="34" spans="1:20" ht="32.1" customHeight="1">
      <c r="A34" s="419" t="s">
        <v>117</v>
      </c>
      <c r="B34" s="238" t="s">
        <v>3606</v>
      </c>
      <c r="C34" s="482" t="s">
        <v>3592</v>
      </c>
      <c r="D34" s="119">
        <v>90</v>
      </c>
      <c r="E34" s="79"/>
      <c r="F34" s="79">
        <v>100</v>
      </c>
      <c r="G34" s="79"/>
      <c r="H34" s="79"/>
      <c r="I34" s="79"/>
      <c r="J34" s="79"/>
      <c r="K34" s="79"/>
      <c r="L34" s="79"/>
      <c r="M34" s="79"/>
      <c r="N34" s="79"/>
      <c r="O34" s="79"/>
      <c r="P34" s="79"/>
      <c r="Q34" s="139">
        <f t="shared" si="0"/>
        <v>100</v>
      </c>
      <c r="R34" s="144" t="str">
        <f t="shared" si="1"/>
        <v>NO</v>
      </c>
      <c r="S34" s="145" t="str">
        <f t="shared" si="2"/>
        <v>Inviable Sanitariamente</v>
      </c>
      <c r="T34" s="15"/>
    </row>
    <row r="35" spans="1:20" ht="32.1" customHeight="1">
      <c r="A35" s="419" t="s">
        <v>117</v>
      </c>
      <c r="B35" s="238" t="s">
        <v>379</v>
      </c>
      <c r="C35" s="482" t="s">
        <v>3593</v>
      </c>
      <c r="D35" s="119"/>
      <c r="E35" s="79"/>
      <c r="F35" s="79"/>
      <c r="G35" s="79"/>
      <c r="H35" s="79"/>
      <c r="I35" s="79"/>
      <c r="J35" s="79"/>
      <c r="K35" s="79"/>
      <c r="L35" s="79"/>
      <c r="M35" s="79"/>
      <c r="N35" s="79"/>
      <c r="O35" s="79"/>
      <c r="P35" s="79"/>
      <c r="Q35" s="139" t="e">
        <f t="shared" si="0"/>
        <v>#DIV/0!</v>
      </c>
      <c r="R35" s="144" t="e">
        <f t="shared" si="1"/>
        <v>#DIV/0!</v>
      </c>
      <c r="S35" s="145" t="e">
        <f t="shared" si="2"/>
        <v>#DIV/0!</v>
      </c>
      <c r="T35" s="15"/>
    </row>
    <row r="36" spans="1:20" ht="32.1" customHeight="1">
      <c r="A36" s="419" t="s">
        <v>117</v>
      </c>
      <c r="B36" s="238" t="s">
        <v>248</v>
      </c>
      <c r="C36" s="482" t="s">
        <v>3594</v>
      </c>
      <c r="D36" s="119">
        <v>350</v>
      </c>
      <c r="E36" s="79"/>
      <c r="F36" s="79">
        <v>100</v>
      </c>
      <c r="G36" s="79"/>
      <c r="H36" s="79"/>
      <c r="I36" s="79"/>
      <c r="J36" s="79"/>
      <c r="K36" s="79"/>
      <c r="L36" s="79"/>
      <c r="M36" s="79"/>
      <c r="N36" s="79"/>
      <c r="O36" s="79"/>
      <c r="P36" s="79"/>
      <c r="Q36" s="139">
        <f t="shared" si="0"/>
        <v>100</v>
      </c>
      <c r="R36" s="144" t="str">
        <f t="shared" si="1"/>
        <v>NO</v>
      </c>
      <c r="S36" s="145" t="str">
        <f t="shared" si="2"/>
        <v>Inviable Sanitariamente</v>
      </c>
      <c r="T36" s="15"/>
    </row>
    <row r="37" spans="1:20" ht="32.1" customHeight="1">
      <c r="A37" s="419" t="s">
        <v>117</v>
      </c>
      <c r="B37" s="238" t="s">
        <v>3607</v>
      </c>
      <c r="C37" s="482" t="s">
        <v>3595</v>
      </c>
      <c r="D37" s="119">
        <v>90</v>
      </c>
      <c r="E37" s="79"/>
      <c r="F37" s="79">
        <v>100</v>
      </c>
      <c r="G37" s="79"/>
      <c r="H37" s="79"/>
      <c r="I37" s="79"/>
      <c r="J37" s="79"/>
      <c r="K37" s="79"/>
      <c r="L37" s="79"/>
      <c r="M37" s="79"/>
      <c r="N37" s="79"/>
      <c r="O37" s="79"/>
      <c r="P37" s="79"/>
      <c r="Q37" s="139">
        <f t="shared" si="0"/>
        <v>100</v>
      </c>
      <c r="R37" s="144" t="str">
        <f t="shared" si="1"/>
        <v>NO</v>
      </c>
      <c r="S37" s="145" t="str">
        <f t="shared" si="2"/>
        <v>Inviable Sanitariamente</v>
      </c>
      <c r="T37" s="15"/>
    </row>
    <row r="38" spans="1:20" ht="32.1" customHeight="1">
      <c r="A38" s="419" t="s">
        <v>117</v>
      </c>
      <c r="B38" s="238" t="s">
        <v>3608</v>
      </c>
      <c r="C38" s="482" t="s">
        <v>3596</v>
      </c>
      <c r="D38" s="119">
        <v>62</v>
      </c>
      <c r="E38" s="79"/>
      <c r="F38" s="79">
        <v>100</v>
      </c>
      <c r="G38" s="79"/>
      <c r="H38" s="79"/>
      <c r="I38" s="79"/>
      <c r="J38" s="79"/>
      <c r="K38" s="79"/>
      <c r="L38" s="79"/>
      <c r="M38" s="79"/>
      <c r="N38" s="79"/>
      <c r="O38" s="79"/>
      <c r="P38" s="79"/>
      <c r="Q38" s="139">
        <f t="shared" si="0"/>
        <v>100</v>
      </c>
      <c r="R38" s="144" t="str">
        <f t="shared" si="1"/>
        <v>NO</v>
      </c>
      <c r="S38" s="145" t="str">
        <f t="shared" si="2"/>
        <v>Inviable Sanitariamente</v>
      </c>
      <c r="T38" s="15"/>
    </row>
    <row r="39" spans="1:20" ht="32.1" customHeight="1">
      <c r="A39" s="419" t="s">
        <v>117</v>
      </c>
      <c r="B39" s="238" t="s">
        <v>3609</v>
      </c>
      <c r="C39" s="482" t="s">
        <v>3597</v>
      </c>
      <c r="D39" s="119"/>
      <c r="E39" s="79"/>
      <c r="F39" s="79"/>
      <c r="G39" s="79"/>
      <c r="H39" s="79"/>
      <c r="I39" s="79"/>
      <c r="J39" s="79"/>
      <c r="K39" s="79"/>
      <c r="L39" s="79"/>
      <c r="M39" s="79"/>
      <c r="N39" s="79"/>
      <c r="O39" s="79"/>
      <c r="P39" s="79"/>
      <c r="Q39" s="139" t="e">
        <f t="shared" si="0"/>
        <v>#DIV/0!</v>
      </c>
      <c r="R39" s="144" t="e">
        <f t="shared" si="1"/>
        <v>#DIV/0!</v>
      </c>
      <c r="S39" s="145" t="e">
        <f t="shared" si="2"/>
        <v>#DIV/0!</v>
      </c>
      <c r="T39" s="15"/>
    </row>
    <row r="40" spans="1:20" ht="32.1" customHeight="1">
      <c r="A40" s="419" t="s">
        <v>117</v>
      </c>
      <c r="B40" s="238" t="s">
        <v>382</v>
      </c>
      <c r="C40" s="482" t="s">
        <v>3598</v>
      </c>
      <c r="D40" s="119">
        <v>120</v>
      </c>
      <c r="E40" s="79"/>
      <c r="F40" s="79"/>
      <c r="G40" s="79">
        <v>100</v>
      </c>
      <c r="H40" s="79"/>
      <c r="I40" s="79"/>
      <c r="J40" s="79"/>
      <c r="K40" s="79"/>
      <c r="L40" s="79"/>
      <c r="M40" s="79"/>
      <c r="N40" s="79"/>
      <c r="O40" s="79"/>
      <c r="P40" s="79"/>
      <c r="Q40" s="139">
        <f t="shared" si="0"/>
        <v>100</v>
      </c>
      <c r="R40" s="144" t="str">
        <f t="shared" si="1"/>
        <v>NO</v>
      </c>
      <c r="S40" s="145" t="str">
        <f t="shared" si="2"/>
        <v>Inviable Sanitariamente</v>
      </c>
      <c r="T40" s="15"/>
    </row>
    <row r="41" spans="1:20" ht="32.1" customHeight="1">
      <c r="A41" s="419" t="s">
        <v>117</v>
      </c>
      <c r="B41" s="238" t="s">
        <v>3610</v>
      </c>
      <c r="C41" s="482" t="s">
        <v>3599</v>
      </c>
      <c r="D41" s="119">
        <v>36</v>
      </c>
      <c r="E41" s="79"/>
      <c r="F41" s="79"/>
      <c r="G41" s="79">
        <v>100</v>
      </c>
      <c r="H41" s="79"/>
      <c r="I41" s="79"/>
      <c r="J41" s="79"/>
      <c r="K41" s="79"/>
      <c r="L41" s="79"/>
      <c r="M41" s="79"/>
      <c r="N41" s="79"/>
      <c r="O41" s="79"/>
      <c r="P41" s="79"/>
      <c r="Q41" s="139">
        <f t="shared" si="0"/>
        <v>100</v>
      </c>
      <c r="R41" s="144" t="str">
        <f t="shared" si="1"/>
        <v>NO</v>
      </c>
      <c r="S41" s="145" t="str">
        <f t="shared" si="2"/>
        <v>Inviable Sanitariamente</v>
      </c>
      <c r="T41" s="15"/>
    </row>
    <row r="42" spans="1:20" ht="32.1" customHeight="1">
      <c r="A42" s="419" t="s">
        <v>117</v>
      </c>
      <c r="B42" s="238" t="s">
        <v>3611</v>
      </c>
      <c r="C42" s="482" t="s">
        <v>3600</v>
      </c>
      <c r="D42" s="119">
        <v>75</v>
      </c>
      <c r="E42" s="79"/>
      <c r="F42" s="79">
        <v>100</v>
      </c>
      <c r="G42" s="79"/>
      <c r="H42" s="79"/>
      <c r="I42" s="79"/>
      <c r="J42" s="79"/>
      <c r="K42" s="79"/>
      <c r="L42" s="79"/>
      <c r="M42" s="79"/>
      <c r="N42" s="79"/>
      <c r="O42" s="79"/>
      <c r="P42" s="79"/>
      <c r="Q42" s="139">
        <f t="shared" si="0"/>
        <v>100</v>
      </c>
      <c r="R42" s="144" t="str">
        <f t="shared" si="1"/>
        <v>NO</v>
      </c>
      <c r="S42" s="145" t="str">
        <f t="shared" ref="S42" si="3">IF(Q42&lt;5,"Sin Riesgo",IF(Q42 &lt;=14,"Bajo",IF(Q42&lt;=35,"Medio",IF(Q42&lt;=80,"Alto","Inviable Sanitariamente"))))</f>
        <v>Inviable Sanitariamente</v>
      </c>
      <c r="T42" s="15"/>
    </row>
    <row r="43" spans="1:20" ht="32.1" customHeight="1">
      <c r="A43" s="419" t="s">
        <v>117</v>
      </c>
      <c r="B43" s="238" t="s">
        <v>4522</v>
      </c>
      <c r="C43" s="482" t="s">
        <v>4523</v>
      </c>
      <c r="D43" s="119">
        <v>23</v>
      </c>
      <c r="E43" s="79"/>
      <c r="F43" s="79">
        <v>100</v>
      </c>
      <c r="G43" s="79"/>
      <c r="H43" s="79"/>
      <c r="I43" s="79"/>
      <c r="J43" s="79"/>
      <c r="K43" s="79"/>
      <c r="L43" s="79"/>
      <c r="M43" s="79"/>
      <c r="N43" s="79"/>
      <c r="O43" s="79"/>
      <c r="P43" s="79"/>
      <c r="Q43" s="139">
        <f t="shared" ref="Q43:Q76" si="4">AVERAGE(E43:P43)</f>
        <v>100</v>
      </c>
      <c r="R43" s="144" t="str">
        <f t="shared" ref="R43:R76" si="5">IF(Q43&lt;5,"SI","NO")</f>
        <v>NO</v>
      </c>
      <c r="S43" s="145" t="str">
        <f t="shared" si="2"/>
        <v>Inviable Sanitariamente</v>
      </c>
      <c r="T43" s="15"/>
    </row>
    <row r="44" spans="1:20" ht="32.1" customHeight="1">
      <c r="A44" s="419" t="s">
        <v>118</v>
      </c>
      <c r="B44" s="238" t="s">
        <v>3612</v>
      </c>
      <c r="C44" s="482" t="s">
        <v>3613</v>
      </c>
      <c r="D44" s="119">
        <v>43</v>
      </c>
      <c r="E44" s="79"/>
      <c r="F44" s="79"/>
      <c r="G44" s="79"/>
      <c r="H44" s="79"/>
      <c r="I44" s="79">
        <v>26.55</v>
      </c>
      <c r="J44" s="79"/>
      <c r="K44" s="79"/>
      <c r="L44" s="79"/>
      <c r="M44" s="79"/>
      <c r="N44" s="79"/>
      <c r="O44" s="79"/>
      <c r="P44" s="79"/>
      <c r="Q44" s="139">
        <f t="shared" si="4"/>
        <v>26.55</v>
      </c>
      <c r="R44" s="144" t="str">
        <f t="shared" si="5"/>
        <v>NO</v>
      </c>
      <c r="S44" s="145" t="str">
        <f t="shared" si="2"/>
        <v>Medio</v>
      </c>
      <c r="T44" s="15"/>
    </row>
    <row r="45" spans="1:20" ht="32.1" customHeight="1">
      <c r="A45" s="419" t="s">
        <v>118</v>
      </c>
      <c r="B45" s="238" t="s">
        <v>3614</v>
      </c>
      <c r="C45" s="482" t="s">
        <v>3615</v>
      </c>
      <c r="D45" s="119">
        <v>307</v>
      </c>
      <c r="E45" s="79"/>
      <c r="F45" s="79"/>
      <c r="G45" s="79"/>
      <c r="H45" s="79"/>
      <c r="I45" s="79"/>
      <c r="J45" s="79">
        <v>97.35</v>
      </c>
      <c r="K45" s="79"/>
      <c r="L45" s="79"/>
      <c r="M45" s="79"/>
      <c r="N45" s="79"/>
      <c r="O45" s="79"/>
      <c r="P45" s="79"/>
      <c r="Q45" s="139">
        <f t="shared" si="4"/>
        <v>97.35</v>
      </c>
      <c r="R45" s="144" t="str">
        <f t="shared" si="5"/>
        <v>NO</v>
      </c>
      <c r="S45" s="145" t="str">
        <f t="shared" si="2"/>
        <v>Inviable Sanitariamente</v>
      </c>
      <c r="T45" s="15"/>
    </row>
    <row r="46" spans="1:20" ht="32.1" customHeight="1">
      <c r="A46" s="419" t="s">
        <v>118</v>
      </c>
      <c r="B46" s="238" t="s">
        <v>521</v>
      </c>
      <c r="C46" s="482" t="s">
        <v>3616</v>
      </c>
      <c r="D46" s="119">
        <v>96</v>
      </c>
      <c r="E46" s="79"/>
      <c r="F46" s="79"/>
      <c r="G46" s="79"/>
      <c r="H46" s="79"/>
      <c r="I46" s="79">
        <v>97.35</v>
      </c>
      <c r="J46" s="79"/>
      <c r="K46" s="79"/>
      <c r="L46" s="79"/>
      <c r="M46" s="79"/>
      <c r="N46" s="79"/>
      <c r="O46" s="79"/>
      <c r="P46" s="79"/>
      <c r="Q46" s="139">
        <f t="shared" si="4"/>
        <v>97.35</v>
      </c>
      <c r="R46" s="144" t="str">
        <f t="shared" si="5"/>
        <v>NO</v>
      </c>
      <c r="S46" s="145" t="str">
        <f t="shared" si="2"/>
        <v>Inviable Sanitariamente</v>
      </c>
      <c r="T46" s="15"/>
    </row>
    <row r="47" spans="1:20" ht="32.1" customHeight="1">
      <c r="A47" s="419" t="s">
        <v>118</v>
      </c>
      <c r="B47" s="238" t="s">
        <v>384</v>
      </c>
      <c r="C47" s="482" t="s">
        <v>3617</v>
      </c>
      <c r="D47" s="119">
        <v>435</v>
      </c>
      <c r="E47" s="79"/>
      <c r="F47" s="79"/>
      <c r="G47" s="79"/>
      <c r="H47" s="79"/>
      <c r="I47" s="79"/>
      <c r="J47" s="79"/>
      <c r="K47" s="79"/>
      <c r="L47" s="79"/>
      <c r="M47" s="79"/>
      <c r="N47" s="79"/>
      <c r="O47" s="79"/>
      <c r="P47" s="79"/>
      <c r="Q47" s="139" t="e">
        <f t="shared" si="4"/>
        <v>#DIV/0!</v>
      </c>
      <c r="R47" s="144" t="e">
        <f t="shared" si="5"/>
        <v>#DIV/0!</v>
      </c>
      <c r="S47" s="145" t="e">
        <f t="shared" si="2"/>
        <v>#DIV/0!</v>
      </c>
      <c r="T47" s="15"/>
    </row>
    <row r="48" spans="1:20" ht="32.1" customHeight="1">
      <c r="A48" s="419" t="s">
        <v>118</v>
      </c>
      <c r="B48" s="238" t="s">
        <v>3618</v>
      </c>
      <c r="C48" s="482" t="s">
        <v>3619</v>
      </c>
      <c r="D48" s="119">
        <v>120</v>
      </c>
      <c r="E48" s="79"/>
      <c r="F48" s="79"/>
      <c r="G48" s="79"/>
      <c r="H48" s="79"/>
      <c r="I48" s="79"/>
      <c r="J48" s="79"/>
      <c r="K48" s="79"/>
      <c r="L48" s="79"/>
      <c r="M48" s="79"/>
      <c r="N48" s="79"/>
      <c r="O48" s="79"/>
      <c r="P48" s="79"/>
      <c r="Q48" s="139" t="e">
        <f t="shared" si="4"/>
        <v>#DIV/0!</v>
      </c>
      <c r="R48" s="144" t="e">
        <f t="shared" si="5"/>
        <v>#DIV/0!</v>
      </c>
      <c r="S48" s="145" t="e">
        <f t="shared" si="2"/>
        <v>#DIV/0!</v>
      </c>
      <c r="T48" s="15"/>
    </row>
    <row r="49" spans="1:20" ht="32.1" customHeight="1">
      <c r="A49" s="419" t="s">
        <v>118</v>
      </c>
      <c r="B49" s="238" t="s">
        <v>522</v>
      </c>
      <c r="C49" s="482" t="s">
        <v>3620</v>
      </c>
      <c r="D49" s="119">
        <v>70</v>
      </c>
      <c r="E49" s="79"/>
      <c r="F49" s="79"/>
      <c r="G49" s="79"/>
      <c r="H49" s="79"/>
      <c r="I49" s="79">
        <v>53.1</v>
      </c>
      <c r="J49" s="79"/>
      <c r="K49" s="79"/>
      <c r="L49" s="79"/>
      <c r="M49" s="79"/>
      <c r="N49" s="79"/>
      <c r="O49" s="79"/>
      <c r="P49" s="79"/>
      <c r="Q49" s="139">
        <f t="shared" si="4"/>
        <v>53.1</v>
      </c>
      <c r="R49" s="144" t="str">
        <f t="shared" si="5"/>
        <v>NO</v>
      </c>
      <c r="S49" s="145" t="str">
        <f t="shared" si="2"/>
        <v>Alto</v>
      </c>
      <c r="T49" s="15"/>
    </row>
    <row r="50" spans="1:20" ht="32.1" customHeight="1">
      <c r="A50" s="419" t="s">
        <v>118</v>
      </c>
      <c r="B50" s="238" t="s">
        <v>385</v>
      </c>
      <c r="C50" s="482" t="s">
        <v>4524</v>
      </c>
      <c r="D50" s="264"/>
      <c r="E50" s="79"/>
      <c r="F50" s="79"/>
      <c r="G50" s="79"/>
      <c r="H50" s="79"/>
      <c r="I50" s="79"/>
      <c r="J50" s="79"/>
      <c r="K50" s="79"/>
      <c r="L50" s="79"/>
      <c r="M50" s="79"/>
      <c r="N50" s="79"/>
      <c r="O50" s="79"/>
      <c r="P50" s="79"/>
      <c r="Q50" s="139" t="e">
        <f t="shared" si="4"/>
        <v>#DIV/0!</v>
      </c>
      <c r="R50" s="144" t="e">
        <f t="shared" si="5"/>
        <v>#DIV/0!</v>
      </c>
      <c r="S50" s="145" t="e">
        <f t="shared" si="2"/>
        <v>#DIV/0!</v>
      </c>
      <c r="T50" s="15"/>
    </row>
    <row r="51" spans="1:20" ht="32.1" customHeight="1">
      <c r="A51" s="419" t="s">
        <v>118</v>
      </c>
      <c r="B51" s="238" t="s">
        <v>3621</v>
      </c>
      <c r="C51" s="482" t="s">
        <v>3622</v>
      </c>
      <c r="D51" s="114">
        <v>32</v>
      </c>
      <c r="E51" s="79"/>
      <c r="F51" s="79"/>
      <c r="G51" s="79"/>
      <c r="H51" s="79"/>
      <c r="I51" s="79">
        <v>97.35</v>
      </c>
      <c r="J51" s="79"/>
      <c r="K51" s="79"/>
      <c r="L51" s="79"/>
      <c r="M51" s="79"/>
      <c r="N51" s="79"/>
      <c r="O51" s="79"/>
      <c r="P51" s="79"/>
      <c r="Q51" s="139">
        <f t="shared" si="4"/>
        <v>97.35</v>
      </c>
      <c r="R51" s="144" t="str">
        <f t="shared" si="5"/>
        <v>NO</v>
      </c>
      <c r="S51" s="145" t="str">
        <f t="shared" si="2"/>
        <v>Inviable Sanitariamente</v>
      </c>
      <c r="T51" s="15"/>
    </row>
    <row r="52" spans="1:20" ht="32.1" customHeight="1">
      <c r="A52" s="419" t="s">
        <v>118</v>
      </c>
      <c r="B52" s="238" t="s">
        <v>3623</v>
      </c>
      <c r="C52" s="482" t="s">
        <v>3624</v>
      </c>
      <c r="D52" s="119">
        <v>150</v>
      </c>
      <c r="E52" s="79"/>
      <c r="F52" s="79"/>
      <c r="G52" s="79"/>
      <c r="H52" s="79"/>
      <c r="I52" s="79"/>
      <c r="J52" s="79"/>
      <c r="K52" s="79"/>
      <c r="L52" s="79"/>
      <c r="M52" s="79"/>
      <c r="N52" s="79"/>
      <c r="O52" s="79"/>
      <c r="P52" s="79"/>
      <c r="Q52" s="139" t="e">
        <f t="shared" si="4"/>
        <v>#DIV/0!</v>
      </c>
      <c r="R52" s="144" t="e">
        <f t="shared" si="5"/>
        <v>#DIV/0!</v>
      </c>
      <c r="S52" s="145" t="e">
        <f t="shared" si="2"/>
        <v>#DIV/0!</v>
      </c>
      <c r="T52" s="15"/>
    </row>
    <row r="53" spans="1:20" ht="32.1" customHeight="1">
      <c r="A53" s="419" t="s">
        <v>118</v>
      </c>
      <c r="B53" s="238" t="s">
        <v>3625</v>
      </c>
      <c r="C53" s="482" t="s">
        <v>3626</v>
      </c>
      <c r="D53" s="264">
        <v>60</v>
      </c>
      <c r="E53" s="79"/>
      <c r="F53" s="79"/>
      <c r="G53" s="79"/>
      <c r="H53" s="79"/>
      <c r="I53" s="79"/>
      <c r="J53" s="79"/>
      <c r="K53" s="79">
        <v>97.35</v>
      </c>
      <c r="L53" s="79"/>
      <c r="M53" s="79"/>
      <c r="N53" s="79"/>
      <c r="O53" s="79"/>
      <c r="P53" s="79"/>
      <c r="Q53" s="139">
        <f t="shared" si="4"/>
        <v>97.35</v>
      </c>
      <c r="R53" s="144" t="str">
        <f t="shared" si="5"/>
        <v>NO</v>
      </c>
      <c r="S53" s="145" t="str">
        <f t="shared" si="2"/>
        <v>Inviable Sanitariamente</v>
      </c>
      <c r="T53" s="15"/>
    </row>
    <row r="54" spans="1:20" ht="32.1" customHeight="1">
      <c r="A54" s="419" t="s">
        <v>118</v>
      </c>
      <c r="B54" s="238" t="s">
        <v>3627</v>
      </c>
      <c r="C54" s="482" t="s">
        <v>3628</v>
      </c>
      <c r="D54" s="170">
        <v>38</v>
      </c>
      <c r="E54" s="79"/>
      <c r="F54" s="79"/>
      <c r="G54" s="79"/>
      <c r="H54" s="79"/>
      <c r="I54" s="79"/>
      <c r="J54" s="79"/>
      <c r="K54" s="79">
        <v>97.4</v>
      </c>
      <c r="L54" s="79"/>
      <c r="M54" s="79"/>
      <c r="N54" s="79"/>
      <c r="O54" s="79"/>
      <c r="P54" s="79"/>
      <c r="Q54" s="139">
        <f t="shared" si="4"/>
        <v>97.4</v>
      </c>
      <c r="R54" s="144" t="str">
        <f t="shared" si="5"/>
        <v>NO</v>
      </c>
      <c r="S54" s="145" t="str">
        <f t="shared" si="2"/>
        <v>Inviable Sanitariamente</v>
      </c>
      <c r="T54" s="15"/>
    </row>
    <row r="55" spans="1:20" ht="32.1" customHeight="1">
      <c r="A55" s="419" t="s">
        <v>118</v>
      </c>
      <c r="B55" s="238" t="s">
        <v>3629</v>
      </c>
      <c r="C55" s="482" t="s">
        <v>3630</v>
      </c>
      <c r="D55" s="264">
        <v>153</v>
      </c>
      <c r="E55" s="79"/>
      <c r="F55" s="79"/>
      <c r="G55" s="79"/>
      <c r="H55" s="79"/>
      <c r="I55" s="79">
        <v>97.35</v>
      </c>
      <c r="J55" s="79"/>
      <c r="K55" s="79"/>
      <c r="L55" s="79"/>
      <c r="M55" s="79"/>
      <c r="N55" s="79"/>
      <c r="O55" s="79"/>
      <c r="P55" s="79"/>
      <c r="Q55" s="139">
        <f t="shared" si="4"/>
        <v>97.35</v>
      </c>
      <c r="R55" s="144" t="str">
        <f t="shared" si="5"/>
        <v>NO</v>
      </c>
      <c r="S55" s="145" t="str">
        <f t="shared" si="2"/>
        <v>Inviable Sanitariamente</v>
      </c>
      <c r="T55" s="15"/>
    </row>
    <row r="56" spans="1:20" ht="32.1" customHeight="1">
      <c r="A56" s="419" t="s">
        <v>118</v>
      </c>
      <c r="B56" s="238" t="s">
        <v>3631</v>
      </c>
      <c r="C56" s="482" t="s">
        <v>3632</v>
      </c>
      <c r="D56" s="264">
        <v>70</v>
      </c>
      <c r="E56" s="79"/>
      <c r="F56" s="79"/>
      <c r="G56" s="79"/>
      <c r="H56" s="79"/>
      <c r="I56" s="79"/>
      <c r="J56" s="79"/>
      <c r="K56" s="79"/>
      <c r="L56" s="79"/>
      <c r="M56" s="79"/>
      <c r="N56" s="79"/>
      <c r="O56" s="79"/>
      <c r="P56" s="79"/>
      <c r="Q56" s="139" t="e">
        <f t="shared" si="4"/>
        <v>#DIV/0!</v>
      </c>
      <c r="R56" s="144" t="e">
        <f t="shared" si="5"/>
        <v>#DIV/0!</v>
      </c>
      <c r="S56" s="145" t="e">
        <f t="shared" si="2"/>
        <v>#DIV/0!</v>
      </c>
      <c r="T56" s="15"/>
    </row>
    <row r="57" spans="1:20" ht="32.1" customHeight="1">
      <c r="A57" s="419" t="s">
        <v>118</v>
      </c>
      <c r="B57" s="238" t="s">
        <v>386</v>
      </c>
      <c r="C57" s="482" t="s">
        <v>3633</v>
      </c>
      <c r="D57" s="170">
        <v>104</v>
      </c>
      <c r="E57" s="79"/>
      <c r="F57" s="79"/>
      <c r="G57" s="79"/>
      <c r="H57" s="79"/>
      <c r="I57" s="79">
        <v>97.35</v>
      </c>
      <c r="J57" s="79"/>
      <c r="K57" s="79"/>
      <c r="L57" s="79"/>
      <c r="M57" s="79"/>
      <c r="N57" s="79"/>
      <c r="O57" s="79"/>
      <c r="P57" s="79"/>
      <c r="Q57" s="139">
        <f t="shared" si="4"/>
        <v>97.35</v>
      </c>
      <c r="R57" s="144" t="str">
        <f t="shared" si="5"/>
        <v>NO</v>
      </c>
      <c r="S57" s="145" t="str">
        <f t="shared" si="2"/>
        <v>Inviable Sanitariamente</v>
      </c>
      <c r="T57" s="15"/>
    </row>
    <row r="58" spans="1:20" ht="32.1" customHeight="1">
      <c r="A58" s="419" t="s">
        <v>118</v>
      </c>
      <c r="B58" s="238" t="s">
        <v>4525</v>
      </c>
      <c r="C58" s="482" t="s">
        <v>4526</v>
      </c>
      <c r="D58" s="264"/>
      <c r="E58" s="79"/>
      <c r="F58" s="79"/>
      <c r="G58" s="79"/>
      <c r="H58" s="79"/>
      <c r="I58" s="79"/>
      <c r="J58" s="79">
        <v>0</v>
      </c>
      <c r="K58" s="79"/>
      <c r="L58" s="79"/>
      <c r="M58" s="79"/>
      <c r="N58" s="79"/>
      <c r="O58" s="79"/>
      <c r="P58" s="79"/>
      <c r="Q58" s="139">
        <f t="shared" si="4"/>
        <v>0</v>
      </c>
      <c r="R58" s="144" t="str">
        <f t="shared" si="5"/>
        <v>SI</v>
      </c>
      <c r="S58" s="145" t="str">
        <f t="shared" si="2"/>
        <v>Sin Riesgo</v>
      </c>
      <c r="T58" s="15"/>
    </row>
    <row r="59" spans="1:20" ht="32.1" customHeight="1">
      <c r="A59" s="419" t="s">
        <v>118</v>
      </c>
      <c r="B59" s="238" t="s">
        <v>4525</v>
      </c>
      <c r="C59" s="482" t="s">
        <v>4527</v>
      </c>
      <c r="D59" s="264"/>
      <c r="E59" s="79"/>
      <c r="F59" s="79"/>
      <c r="G59" s="79"/>
      <c r="H59" s="79"/>
      <c r="I59" s="79"/>
      <c r="J59" s="79">
        <v>0</v>
      </c>
      <c r="K59" s="79"/>
      <c r="L59" s="79"/>
      <c r="M59" s="79"/>
      <c r="N59" s="79"/>
      <c r="O59" s="79"/>
      <c r="P59" s="79"/>
      <c r="Q59" s="139">
        <f t="shared" ref="Q59" si="6">AVERAGE(E59:P59)</f>
        <v>0</v>
      </c>
      <c r="R59" s="144" t="str">
        <f t="shared" ref="R59" si="7">IF(Q59&lt;5,"SI","NO")</f>
        <v>SI</v>
      </c>
      <c r="S59" s="145" t="str">
        <f t="shared" ref="S59" si="8">IF(Q59&lt;5,"Sin Riesgo",IF(Q59 &lt;=14,"Bajo",IF(Q59&lt;=35,"Medio",IF(Q59&lt;=80,"Alto","Inviable Sanitariamente"))))</f>
        <v>Sin Riesgo</v>
      </c>
      <c r="T59" s="15"/>
    </row>
    <row r="60" spans="1:20" ht="32.1" customHeight="1">
      <c r="A60" s="419" t="s">
        <v>118</v>
      </c>
      <c r="B60" s="238" t="s">
        <v>387</v>
      </c>
      <c r="C60" s="482" t="s">
        <v>3634</v>
      </c>
      <c r="D60" s="264">
        <v>130</v>
      </c>
      <c r="E60" s="79"/>
      <c r="F60" s="79"/>
      <c r="G60" s="79"/>
      <c r="H60" s="79"/>
      <c r="I60" s="79"/>
      <c r="J60" s="79"/>
      <c r="K60" s="79"/>
      <c r="L60" s="79"/>
      <c r="M60" s="79"/>
      <c r="N60" s="79"/>
      <c r="O60" s="79"/>
      <c r="P60" s="79"/>
      <c r="Q60" s="139" t="e">
        <f t="shared" si="4"/>
        <v>#DIV/0!</v>
      </c>
      <c r="R60" s="144" t="e">
        <f t="shared" si="5"/>
        <v>#DIV/0!</v>
      </c>
      <c r="S60" s="145" t="e">
        <f t="shared" si="2"/>
        <v>#DIV/0!</v>
      </c>
      <c r="T60" s="15"/>
    </row>
    <row r="61" spans="1:20" ht="32.1" customHeight="1">
      <c r="A61" s="419" t="s">
        <v>4087</v>
      </c>
      <c r="B61" s="238" t="s">
        <v>537</v>
      </c>
      <c r="C61" s="482" t="s">
        <v>3635</v>
      </c>
      <c r="D61" s="119">
        <v>145</v>
      </c>
      <c r="E61" s="79">
        <v>53.1</v>
      </c>
      <c r="F61" s="79"/>
      <c r="G61" s="79">
        <v>53.1</v>
      </c>
      <c r="H61" s="79"/>
      <c r="I61" s="79">
        <v>26.55</v>
      </c>
      <c r="J61" s="79"/>
      <c r="K61" s="79">
        <v>26.55</v>
      </c>
      <c r="L61" s="79"/>
      <c r="M61" s="79">
        <v>26.55</v>
      </c>
      <c r="N61" s="79"/>
      <c r="O61" s="79">
        <v>26.55</v>
      </c>
      <c r="P61" s="79"/>
      <c r="Q61" s="139">
        <f t="shared" si="4"/>
        <v>35.400000000000006</v>
      </c>
      <c r="R61" s="144" t="str">
        <f t="shared" si="5"/>
        <v>NO</v>
      </c>
      <c r="S61" s="145" t="str">
        <f t="shared" si="2"/>
        <v>Alto</v>
      </c>
      <c r="T61" s="15"/>
    </row>
    <row r="62" spans="1:20" ht="32.1" customHeight="1">
      <c r="A62" s="419" t="s">
        <v>4087</v>
      </c>
      <c r="B62" s="238" t="s">
        <v>3636</v>
      </c>
      <c r="C62" s="482" t="s">
        <v>3637</v>
      </c>
      <c r="D62" s="119">
        <v>160</v>
      </c>
      <c r="E62" s="79">
        <v>26.54</v>
      </c>
      <c r="F62" s="79"/>
      <c r="G62" s="79">
        <v>26.54</v>
      </c>
      <c r="H62" s="79"/>
      <c r="I62" s="79">
        <v>26.54</v>
      </c>
      <c r="J62" s="79"/>
      <c r="K62" s="79">
        <v>26.54</v>
      </c>
      <c r="L62" s="79"/>
      <c r="M62" s="79">
        <v>26.54</v>
      </c>
      <c r="N62" s="79"/>
      <c r="O62" s="79">
        <v>26.54</v>
      </c>
      <c r="P62" s="79"/>
      <c r="Q62" s="139">
        <f t="shared" si="4"/>
        <v>26.539999999999996</v>
      </c>
      <c r="R62" s="144" t="str">
        <f t="shared" si="5"/>
        <v>NO</v>
      </c>
      <c r="S62" s="145" t="str">
        <f t="shared" si="2"/>
        <v>Medio</v>
      </c>
      <c r="T62" s="15"/>
    </row>
    <row r="63" spans="1:20" ht="32.1" customHeight="1">
      <c r="A63" s="419" t="s">
        <v>4087</v>
      </c>
      <c r="B63" s="238" t="s">
        <v>388</v>
      </c>
      <c r="C63" s="482" t="s">
        <v>3638</v>
      </c>
      <c r="D63" s="119">
        <v>35</v>
      </c>
      <c r="E63" s="79">
        <v>26.54</v>
      </c>
      <c r="F63" s="79"/>
      <c r="G63" s="79">
        <v>26.54</v>
      </c>
      <c r="H63" s="79"/>
      <c r="I63" s="79">
        <v>26.54</v>
      </c>
      <c r="J63" s="79"/>
      <c r="K63" s="79">
        <v>26.54</v>
      </c>
      <c r="L63" s="79"/>
      <c r="M63" s="79">
        <v>26.54</v>
      </c>
      <c r="N63" s="79"/>
      <c r="O63" s="79">
        <v>26.54</v>
      </c>
      <c r="P63" s="79"/>
      <c r="Q63" s="139">
        <f t="shared" si="4"/>
        <v>26.539999999999996</v>
      </c>
      <c r="R63" s="144" t="str">
        <f t="shared" si="5"/>
        <v>NO</v>
      </c>
      <c r="S63" s="145" t="str">
        <f t="shared" si="2"/>
        <v>Medio</v>
      </c>
      <c r="T63" s="15"/>
    </row>
    <row r="64" spans="1:20" ht="32.1" customHeight="1">
      <c r="A64" s="419" t="s">
        <v>4087</v>
      </c>
      <c r="B64" s="238" t="s">
        <v>389</v>
      </c>
      <c r="C64" s="482" t="s">
        <v>3639</v>
      </c>
      <c r="D64" s="119">
        <v>19</v>
      </c>
      <c r="E64" s="79">
        <v>26.54</v>
      </c>
      <c r="F64" s="79"/>
      <c r="G64" s="79">
        <v>26.54</v>
      </c>
      <c r="H64" s="79"/>
      <c r="I64" s="79">
        <v>26.54</v>
      </c>
      <c r="J64" s="79"/>
      <c r="K64" s="79">
        <v>26.54</v>
      </c>
      <c r="L64" s="79"/>
      <c r="M64" s="79">
        <v>26.54</v>
      </c>
      <c r="N64" s="79"/>
      <c r="O64" s="79">
        <v>26.54</v>
      </c>
      <c r="P64" s="79"/>
      <c r="Q64" s="139">
        <f t="shared" si="4"/>
        <v>26.539999999999996</v>
      </c>
      <c r="R64" s="144" t="str">
        <f t="shared" si="5"/>
        <v>NO</v>
      </c>
      <c r="S64" s="145" t="str">
        <f t="shared" si="2"/>
        <v>Medio</v>
      </c>
      <c r="T64" s="15"/>
    </row>
    <row r="65" spans="1:20" ht="32.1" customHeight="1">
      <c r="A65" s="419" t="s">
        <v>4086</v>
      </c>
      <c r="B65" s="238" t="s">
        <v>73</v>
      </c>
      <c r="C65" s="482" t="s">
        <v>3640</v>
      </c>
      <c r="D65" s="119"/>
      <c r="E65" s="79"/>
      <c r="F65" s="79"/>
      <c r="G65" s="79"/>
      <c r="H65" s="79"/>
      <c r="I65" s="79"/>
      <c r="J65" s="79"/>
      <c r="K65" s="79"/>
      <c r="L65" s="79"/>
      <c r="M65" s="79"/>
      <c r="N65" s="79"/>
      <c r="O65" s="79"/>
      <c r="P65" s="79"/>
      <c r="Q65" s="139" t="e">
        <f t="shared" si="4"/>
        <v>#DIV/0!</v>
      </c>
      <c r="R65" s="144" t="e">
        <f t="shared" si="5"/>
        <v>#DIV/0!</v>
      </c>
      <c r="S65" s="145" t="e">
        <f t="shared" si="2"/>
        <v>#DIV/0!</v>
      </c>
      <c r="T65" s="15"/>
    </row>
    <row r="66" spans="1:20" ht="32.1" customHeight="1">
      <c r="A66" s="419" t="s">
        <v>4086</v>
      </c>
      <c r="B66" s="238" t="s">
        <v>390</v>
      </c>
      <c r="C66" s="482" t="s">
        <v>3641</v>
      </c>
      <c r="D66" s="119">
        <v>60</v>
      </c>
      <c r="E66" s="79"/>
      <c r="F66" s="79">
        <v>52</v>
      </c>
      <c r="G66" s="79"/>
      <c r="H66" s="79"/>
      <c r="I66" s="79"/>
      <c r="J66" s="79"/>
      <c r="K66" s="79"/>
      <c r="L66" s="79"/>
      <c r="M66" s="79"/>
      <c r="N66" s="79"/>
      <c r="O66" s="79"/>
      <c r="P66" s="79"/>
      <c r="Q66" s="139">
        <f t="shared" si="4"/>
        <v>52</v>
      </c>
      <c r="R66" s="144" t="str">
        <f t="shared" si="5"/>
        <v>NO</v>
      </c>
      <c r="S66" s="145" t="str">
        <f t="shared" si="2"/>
        <v>Alto</v>
      </c>
      <c r="T66" s="15"/>
    </row>
    <row r="67" spans="1:20" ht="32.1" customHeight="1">
      <c r="A67" s="419" t="s">
        <v>4086</v>
      </c>
      <c r="B67" s="238" t="s">
        <v>391</v>
      </c>
      <c r="C67" s="482" t="s">
        <v>3642</v>
      </c>
      <c r="D67" s="119">
        <v>22</v>
      </c>
      <c r="E67" s="79"/>
      <c r="F67" s="79"/>
      <c r="G67" s="79"/>
      <c r="H67" s="79"/>
      <c r="I67" s="79"/>
      <c r="J67" s="79"/>
      <c r="K67" s="79"/>
      <c r="L67" s="79">
        <v>48</v>
      </c>
      <c r="M67" s="79"/>
      <c r="N67" s="79"/>
      <c r="O67" s="79"/>
      <c r="P67" s="79"/>
      <c r="Q67" s="139">
        <f t="shared" si="4"/>
        <v>48</v>
      </c>
      <c r="R67" s="144" t="str">
        <f t="shared" si="5"/>
        <v>NO</v>
      </c>
      <c r="S67" s="145" t="str">
        <f t="shared" si="2"/>
        <v>Alto</v>
      </c>
      <c r="T67" s="15"/>
    </row>
    <row r="68" spans="1:20" ht="32.1" customHeight="1">
      <c r="A68" s="419" t="s">
        <v>4086</v>
      </c>
      <c r="B68" s="238" t="s">
        <v>393</v>
      </c>
      <c r="C68" s="482" t="s">
        <v>3643</v>
      </c>
      <c r="D68" s="119">
        <v>410</v>
      </c>
      <c r="E68" s="79"/>
      <c r="F68" s="79">
        <v>48</v>
      </c>
      <c r="G68" s="79"/>
      <c r="H68" s="79"/>
      <c r="I68" s="79"/>
      <c r="J68" s="79"/>
      <c r="K68" s="79"/>
      <c r="L68" s="79"/>
      <c r="M68" s="79"/>
      <c r="N68" s="79"/>
      <c r="O68" s="79"/>
      <c r="P68" s="79"/>
      <c r="Q68" s="139">
        <f t="shared" si="4"/>
        <v>48</v>
      </c>
      <c r="R68" s="144" t="str">
        <f t="shared" si="5"/>
        <v>NO</v>
      </c>
      <c r="S68" s="145" t="str">
        <f t="shared" si="2"/>
        <v>Alto</v>
      </c>
      <c r="T68" s="15"/>
    </row>
    <row r="69" spans="1:20" ht="32.1" customHeight="1">
      <c r="A69" s="419" t="s">
        <v>4086</v>
      </c>
      <c r="B69" s="238" t="s">
        <v>3644</v>
      </c>
      <c r="C69" s="482" t="s">
        <v>3645</v>
      </c>
      <c r="D69" s="119">
        <v>70</v>
      </c>
      <c r="E69" s="79"/>
      <c r="F69" s="79"/>
      <c r="G69" s="79"/>
      <c r="H69" s="79">
        <v>53</v>
      </c>
      <c r="I69" s="79"/>
      <c r="J69" s="79"/>
      <c r="K69" s="79"/>
      <c r="L69" s="79"/>
      <c r="M69" s="79"/>
      <c r="N69" s="79"/>
      <c r="O69" s="79"/>
      <c r="P69" s="79"/>
      <c r="Q69" s="139">
        <f t="shared" si="4"/>
        <v>53</v>
      </c>
      <c r="R69" s="144" t="str">
        <f t="shared" si="5"/>
        <v>NO</v>
      </c>
      <c r="S69" s="145" t="str">
        <f t="shared" si="2"/>
        <v>Alto</v>
      </c>
      <c r="T69" s="15"/>
    </row>
    <row r="70" spans="1:20" ht="32.1" customHeight="1">
      <c r="A70" s="419" t="s">
        <v>4086</v>
      </c>
      <c r="B70" s="238" t="s">
        <v>395</v>
      </c>
      <c r="C70" s="482" t="s">
        <v>3646</v>
      </c>
      <c r="D70" s="119">
        <v>74</v>
      </c>
      <c r="E70" s="79"/>
      <c r="F70" s="79">
        <v>48</v>
      </c>
      <c r="G70" s="79"/>
      <c r="H70" s="79"/>
      <c r="I70" s="79"/>
      <c r="J70" s="79"/>
      <c r="K70" s="79"/>
      <c r="L70" s="79"/>
      <c r="M70" s="79"/>
      <c r="N70" s="79"/>
      <c r="O70" s="79"/>
      <c r="P70" s="79"/>
      <c r="Q70" s="139">
        <f t="shared" si="4"/>
        <v>48</v>
      </c>
      <c r="R70" s="144" t="str">
        <f t="shared" si="5"/>
        <v>NO</v>
      </c>
      <c r="S70" s="145" t="str">
        <f t="shared" si="2"/>
        <v>Alto</v>
      </c>
      <c r="T70" s="15"/>
    </row>
    <row r="71" spans="1:20" ht="32.1" customHeight="1">
      <c r="A71" s="419" t="s">
        <v>4086</v>
      </c>
      <c r="B71" s="238" t="s">
        <v>3647</v>
      </c>
      <c r="C71" s="482" t="s">
        <v>3648</v>
      </c>
      <c r="D71" s="119">
        <v>80</v>
      </c>
      <c r="E71" s="79"/>
      <c r="F71" s="79"/>
      <c r="G71" s="79"/>
      <c r="H71" s="79"/>
      <c r="I71" s="79"/>
      <c r="J71" s="79"/>
      <c r="K71" s="79"/>
      <c r="L71" s="79"/>
      <c r="M71" s="79"/>
      <c r="N71" s="79"/>
      <c r="O71" s="79"/>
      <c r="P71" s="79">
        <v>54</v>
      </c>
      <c r="Q71" s="139">
        <f t="shared" si="4"/>
        <v>54</v>
      </c>
      <c r="R71" s="144" t="str">
        <f t="shared" si="5"/>
        <v>NO</v>
      </c>
      <c r="S71" s="145" t="str">
        <f t="shared" si="2"/>
        <v>Alto</v>
      </c>
      <c r="T71" s="15"/>
    </row>
    <row r="72" spans="1:20" ht="32.1" customHeight="1">
      <c r="A72" s="419" t="s">
        <v>4086</v>
      </c>
      <c r="B72" s="238" t="s">
        <v>394</v>
      </c>
      <c r="C72" s="482" t="s">
        <v>3649</v>
      </c>
      <c r="D72" s="114">
        <v>10</v>
      </c>
      <c r="E72" s="79"/>
      <c r="F72" s="79"/>
      <c r="G72" s="79"/>
      <c r="H72" s="79"/>
      <c r="I72" s="79"/>
      <c r="J72" s="79"/>
      <c r="K72" s="79"/>
      <c r="L72" s="79"/>
      <c r="M72" s="79"/>
      <c r="N72" s="79"/>
      <c r="O72" s="79"/>
      <c r="P72" s="79">
        <v>53</v>
      </c>
      <c r="Q72" s="139">
        <f t="shared" si="4"/>
        <v>53</v>
      </c>
      <c r="R72" s="144" t="str">
        <f t="shared" si="5"/>
        <v>NO</v>
      </c>
      <c r="S72" s="145" t="str">
        <f t="shared" si="2"/>
        <v>Alto</v>
      </c>
      <c r="T72" s="15"/>
    </row>
    <row r="73" spans="1:20" ht="32.1" customHeight="1">
      <c r="A73" s="419" t="s">
        <v>4086</v>
      </c>
      <c r="B73" s="238" t="s">
        <v>1108</v>
      </c>
      <c r="C73" s="482" t="s">
        <v>3650</v>
      </c>
      <c r="D73" s="119">
        <v>30</v>
      </c>
      <c r="E73" s="79"/>
      <c r="F73" s="79"/>
      <c r="G73" s="79"/>
      <c r="H73" s="79"/>
      <c r="I73" s="79"/>
      <c r="J73" s="79"/>
      <c r="K73" s="79"/>
      <c r="L73" s="79"/>
      <c r="M73" s="79"/>
      <c r="N73" s="79"/>
      <c r="O73" s="79"/>
      <c r="P73" s="79">
        <v>53</v>
      </c>
      <c r="Q73" s="139">
        <f t="shared" si="4"/>
        <v>53</v>
      </c>
      <c r="R73" s="144" t="str">
        <f t="shared" si="5"/>
        <v>NO</v>
      </c>
      <c r="S73" s="145" t="str">
        <f t="shared" si="2"/>
        <v>Alto</v>
      </c>
      <c r="T73" s="15"/>
    </row>
    <row r="74" spans="1:20" ht="32.1" customHeight="1">
      <c r="A74" s="419" t="s">
        <v>4086</v>
      </c>
      <c r="B74" s="238" t="s">
        <v>74</v>
      </c>
      <c r="C74" s="482" t="s">
        <v>3651</v>
      </c>
      <c r="D74" s="119">
        <v>32</v>
      </c>
      <c r="E74" s="79"/>
      <c r="F74" s="79"/>
      <c r="G74" s="79"/>
      <c r="H74" s="79"/>
      <c r="I74" s="79"/>
      <c r="J74" s="79">
        <v>53</v>
      </c>
      <c r="K74" s="79"/>
      <c r="L74" s="79"/>
      <c r="M74" s="79"/>
      <c r="N74" s="79"/>
      <c r="O74" s="79"/>
      <c r="P74" s="79"/>
      <c r="Q74" s="139">
        <f t="shared" si="4"/>
        <v>53</v>
      </c>
      <c r="R74" s="144" t="str">
        <f t="shared" si="5"/>
        <v>NO</v>
      </c>
      <c r="S74" s="145" t="str">
        <f t="shared" si="2"/>
        <v>Alto</v>
      </c>
      <c r="T74" s="15"/>
    </row>
    <row r="75" spans="1:20" ht="32.1" customHeight="1">
      <c r="A75" s="419" t="s">
        <v>4086</v>
      </c>
      <c r="B75" s="238" t="s">
        <v>392</v>
      </c>
      <c r="C75" s="482" t="s">
        <v>3652</v>
      </c>
      <c r="D75" s="114">
        <v>1321</v>
      </c>
      <c r="E75" s="79">
        <v>0</v>
      </c>
      <c r="F75" s="79">
        <v>0</v>
      </c>
      <c r="G75" s="79">
        <v>0</v>
      </c>
      <c r="H75" s="79">
        <v>0</v>
      </c>
      <c r="I75" s="79">
        <v>0</v>
      </c>
      <c r="J75" s="79">
        <v>0</v>
      </c>
      <c r="K75" s="79">
        <v>0</v>
      </c>
      <c r="L75" s="79">
        <v>0</v>
      </c>
      <c r="M75" s="79">
        <v>0</v>
      </c>
      <c r="N75" s="79">
        <v>0</v>
      </c>
      <c r="O75" s="79">
        <v>0</v>
      </c>
      <c r="P75" s="79">
        <v>0</v>
      </c>
      <c r="Q75" s="139">
        <f t="shared" si="4"/>
        <v>0</v>
      </c>
      <c r="R75" s="144" t="str">
        <f t="shared" si="5"/>
        <v>SI</v>
      </c>
      <c r="S75" s="145" t="str">
        <f t="shared" si="2"/>
        <v>Sin Riesgo</v>
      </c>
      <c r="T75" s="15"/>
    </row>
    <row r="76" spans="1:20" ht="32.1" customHeight="1">
      <c r="A76" s="419" t="s">
        <v>4086</v>
      </c>
      <c r="B76" s="238" t="s">
        <v>396</v>
      </c>
      <c r="C76" s="482" t="s">
        <v>3653</v>
      </c>
      <c r="D76" s="119">
        <v>25</v>
      </c>
      <c r="E76" s="79"/>
      <c r="F76" s="79"/>
      <c r="G76" s="79"/>
      <c r="H76" s="79"/>
      <c r="I76" s="79"/>
      <c r="J76" s="79"/>
      <c r="K76" s="79"/>
      <c r="L76" s="79"/>
      <c r="M76" s="79"/>
      <c r="N76" s="79"/>
      <c r="O76" s="79"/>
      <c r="P76" s="79"/>
      <c r="Q76" s="139" t="e">
        <f t="shared" si="4"/>
        <v>#DIV/0!</v>
      </c>
      <c r="R76" s="144" t="e">
        <f t="shared" si="5"/>
        <v>#DIV/0!</v>
      </c>
      <c r="S76" s="145" t="e">
        <f t="shared" si="2"/>
        <v>#DIV/0!</v>
      </c>
      <c r="T76" s="15"/>
    </row>
    <row r="77" spans="1:20" ht="32.1" customHeight="1">
      <c r="A77" s="419" t="s">
        <v>4086</v>
      </c>
      <c r="B77" s="238" t="s">
        <v>3654</v>
      </c>
      <c r="C77" s="482" t="s">
        <v>3654</v>
      </c>
      <c r="D77" s="119"/>
      <c r="E77" s="79"/>
      <c r="F77" s="79"/>
      <c r="G77" s="79"/>
      <c r="H77" s="79"/>
      <c r="I77" s="79"/>
      <c r="J77" s="79"/>
      <c r="K77" s="79"/>
      <c r="L77" s="79"/>
      <c r="M77" s="79"/>
      <c r="N77" s="79"/>
      <c r="O77" s="79"/>
      <c r="P77" s="79"/>
      <c r="Q77" s="139" t="e">
        <f t="shared" ref="Q77:Q99" si="9">AVERAGE(E77:P77)</f>
        <v>#DIV/0!</v>
      </c>
      <c r="R77" s="144" t="e">
        <f t="shared" ref="R77:R99" si="10">IF(Q77&lt;5,"SI","NO")</f>
        <v>#DIV/0!</v>
      </c>
      <c r="S77" s="145" t="e">
        <f t="shared" ref="S77:S125" si="11">IF(Q77&lt;5,"Sin Riesgo",IF(Q77 &lt;=14,"Bajo",IF(Q77&lt;=35,"Medio",IF(Q77&lt;=80,"Alto","Inviable Sanitariamente"))))</f>
        <v>#DIV/0!</v>
      </c>
      <c r="T77" s="15"/>
    </row>
    <row r="78" spans="1:20" ht="32.1" customHeight="1">
      <c r="A78" s="419" t="s">
        <v>4086</v>
      </c>
      <c r="B78" s="238" t="s">
        <v>523</v>
      </c>
      <c r="C78" s="482" t="s">
        <v>3655</v>
      </c>
      <c r="D78" s="114">
        <v>30</v>
      </c>
      <c r="E78" s="79"/>
      <c r="F78" s="79"/>
      <c r="G78" s="79"/>
      <c r="H78" s="79"/>
      <c r="I78" s="79"/>
      <c r="J78" s="79"/>
      <c r="K78" s="79"/>
      <c r="L78" s="79"/>
      <c r="M78" s="79"/>
      <c r="N78" s="79"/>
      <c r="O78" s="79"/>
      <c r="P78" s="79">
        <v>54</v>
      </c>
      <c r="Q78" s="139">
        <f t="shared" si="9"/>
        <v>54</v>
      </c>
      <c r="R78" s="144" t="str">
        <f t="shared" si="10"/>
        <v>NO</v>
      </c>
      <c r="S78" s="145" t="str">
        <f t="shared" si="11"/>
        <v>Alto</v>
      </c>
      <c r="T78" s="15"/>
    </row>
    <row r="79" spans="1:20" ht="32.1" customHeight="1">
      <c r="A79" s="419" t="s">
        <v>4088</v>
      </c>
      <c r="B79" s="238" t="s">
        <v>529</v>
      </c>
      <c r="C79" s="482" t="s">
        <v>3661</v>
      </c>
      <c r="D79" s="119">
        <v>400</v>
      </c>
      <c r="E79" s="79"/>
      <c r="F79" s="79"/>
      <c r="G79" s="79"/>
      <c r="H79" s="79">
        <v>97.7</v>
      </c>
      <c r="I79" s="79"/>
      <c r="J79" s="79"/>
      <c r="K79" s="79"/>
      <c r="L79" s="79"/>
      <c r="M79" s="79">
        <v>97.35</v>
      </c>
      <c r="N79" s="79"/>
      <c r="O79" s="79"/>
      <c r="P79" s="79"/>
      <c r="Q79" s="139">
        <f t="shared" si="9"/>
        <v>97.525000000000006</v>
      </c>
      <c r="R79" s="144" t="str">
        <f t="shared" si="10"/>
        <v>NO</v>
      </c>
      <c r="S79" s="145" t="str">
        <f t="shared" si="11"/>
        <v>Inviable Sanitariamente</v>
      </c>
      <c r="T79" s="15"/>
    </row>
    <row r="80" spans="1:20" ht="32.1" customHeight="1">
      <c r="A80" s="419" t="s">
        <v>4088</v>
      </c>
      <c r="B80" s="238" t="s">
        <v>525</v>
      </c>
      <c r="C80" s="482" t="s">
        <v>3662</v>
      </c>
      <c r="D80" s="119"/>
      <c r="E80" s="79"/>
      <c r="F80" s="79"/>
      <c r="G80" s="79"/>
      <c r="H80" s="79"/>
      <c r="I80" s="79"/>
      <c r="J80" s="79"/>
      <c r="K80" s="79"/>
      <c r="L80" s="79"/>
      <c r="M80" s="79"/>
      <c r="N80" s="79"/>
      <c r="O80" s="79"/>
      <c r="P80" s="79"/>
      <c r="Q80" s="139" t="e">
        <f t="shared" si="9"/>
        <v>#DIV/0!</v>
      </c>
      <c r="R80" s="144" t="e">
        <f t="shared" si="10"/>
        <v>#DIV/0!</v>
      </c>
      <c r="S80" s="145" t="e">
        <f t="shared" si="11"/>
        <v>#DIV/0!</v>
      </c>
      <c r="T80" s="15"/>
    </row>
    <row r="81" spans="1:20" ht="32.1" customHeight="1">
      <c r="A81" s="419" t="s">
        <v>4088</v>
      </c>
      <c r="B81" s="238" t="s">
        <v>480</v>
      </c>
      <c r="C81" s="482" t="s">
        <v>3663</v>
      </c>
      <c r="D81" s="119">
        <v>205</v>
      </c>
      <c r="E81" s="79"/>
      <c r="F81" s="79"/>
      <c r="G81" s="79"/>
      <c r="H81" s="79"/>
      <c r="I81" s="79">
        <v>100</v>
      </c>
      <c r="J81" s="79"/>
      <c r="K81" s="79"/>
      <c r="L81" s="79"/>
      <c r="M81" s="79">
        <v>97.35</v>
      </c>
      <c r="N81" s="79"/>
      <c r="O81" s="79"/>
      <c r="P81" s="79"/>
      <c r="Q81" s="139">
        <f t="shared" si="9"/>
        <v>98.674999999999997</v>
      </c>
      <c r="R81" s="144" t="str">
        <f t="shared" si="10"/>
        <v>NO</v>
      </c>
      <c r="S81" s="145" t="str">
        <f t="shared" si="11"/>
        <v>Inviable Sanitariamente</v>
      </c>
      <c r="T81" s="15"/>
    </row>
    <row r="82" spans="1:20" ht="32.1" customHeight="1">
      <c r="A82" s="419" t="s">
        <v>4088</v>
      </c>
      <c r="B82" s="238" t="s">
        <v>532</v>
      </c>
      <c r="C82" s="482" t="s">
        <v>3664</v>
      </c>
      <c r="D82" s="119">
        <v>15</v>
      </c>
      <c r="E82" s="79"/>
      <c r="F82" s="79"/>
      <c r="G82" s="79"/>
      <c r="H82" s="79"/>
      <c r="I82" s="79">
        <v>100</v>
      </c>
      <c r="J82" s="79"/>
      <c r="K82" s="79"/>
      <c r="L82" s="79"/>
      <c r="M82" s="79"/>
      <c r="N82" s="79">
        <v>97.4</v>
      </c>
      <c r="O82" s="79"/>
      <c r="P82" s="79"/>
      <c r="Q82" s="139">
        <f t="shared" si="9"/>
        <v>98.7</v>
      </c>
      <c r="R82" s="144" t="str">
        <f t="shared" si="10"/>
        <v>NO</v>
      </c>
      <c r="S82" s="145" t="str">
        <f t="shared" si="11"/>
        <v>Inviable Sanitariamente</v>
      </c>
      <c r="T82" s="15"/>
    </row>
    <row r="83" spans="1:20" ht="32.1" customHeight="1">
      <c r="A83" s="419" t="s">
        <v>4088</v>
      </c>
      <c r="B83" s="238" t="s">
        <v>538</v>
      </c>
      <c r="C83" s="482" t="s">
        <v>3665</v>
      </c>
      <c r="D83" s="119">
        <v>940</v>
      </c>
      <c r="E83" s="79"/>
      <c r="F83" s="79"/>
      <c r="G83" s="79"/>
      <c r="H83" s="79">
        <v>64.349999999999994</v>
      </c>
      <c r="I83" s="79"/>
      <c r="J83" s="79"/>
      <c r="K83" s="79"/>
      <c r="L83" s="79"/>
      <c r="M83" s="79"/>
      <c r="N83" s="79">
        <v>100</v>
      </c>
      <c r="O83" s="79"/>
      <c r="P83" s="79"/>
      <c r="Q83" s="139">
        <f t="shared" si="9"/>
        <v>82.174999999999997</v>
      </c>
      <c r="R83" s="144" t="str">
        <f t="shared" si="10"/>
        <v>NO</v>
      </c>
      <c r="S83" s="145" t="str">
        <f t="shared" si="11"/>
        <v>Inviable Sanitariamente</v>
      </c>
      <c r="T83" s="15"/>
    </row>
    <row r="84" spans="1:20" ht="32.1" customHeight="1">
      <c r="A84" s="419" t="s">
        <v>4088</v>
      </c>
      <c r="B84" s="238" t="s">
        <v>3656</v>
      </c>
      <c r="C84" s="482" t="s">
        <v>3666</v>
      </c>
      <c r="D84" s="119">
        <v>135</v>
      </c>
      <c r="E84" s="79"/>
      <c r="F84" s="79"/>
      <c r="G84" s="79"/>
      <c r="H84" s="79">
        <v>64.349999999999994</v>
      </c>
      <c r="I84" s="79"/>
      <c r="J84" s="79"/>
      <c r="K84" s="79"/>
      <c r="L84" s="79"/>
      <c r="M84" s="79"/>
      <c r="N84" s="79">
        <v>100</v>
      </c>
      <c r="O84" s="79"/>
      <c r="P84" s="79"/>
      <c r="Q84" s="139">
        <f t="shared" si="9"/>
        <v>82.174999999999997</v>
      </c>
      <c r="R84" s="144" t="str">
        <f t="shared" si="10"/>
        <v>NO</v>
      </c>
      <c r="S84" s="145" t="str">
        <f t="shared" si="11"/>
        <v>Inviable Sanitariamente</v>
      </c>
      <c r="T84" s="15"/>
    </row>
    <row r="85" spans="1:20" ht="32.1" customHeight="1">
      <c r="A85" s="419" t="s">
        <v>4088</v>
      </c>
      <c r="B85" s="238" t="s">
        <v>524</v>
      </c>
      <c r="C85" s="482" t="s">
        <v>3667</v>
      </c>
      <c r="D85" s="114">
        <v>98</v>
      </c>
      <c r="E85" s="79"/>
      <c r="F85" s="79"/>
      <c r="G85" s="79"/>
      <c r="H85" s="79">
        <v>64.349999999999994</v>
      </c>
      <c r="I85" s="79"/>
      <c r="J85" s="79"/>
      <c r="K85" s="79"/>
      <c r="L85" s="79"/>
      <c r="M85" s="79"/>
      <c r="N85" s="79">
        <v>100</v>
      </c>
      <c r="O85" s="79"/>
      <c r="P85" s="79"/>
      <c r="Q85" s="139">
        <f t="shared" si="9"/>
        <v>82.174999999999997</v>
      </c>
      <c r="R85" s="144" t="str">
        <f t="shared" si="10"/>
        <v>NO</v>
      </c>
      <c r="S85" s="145" t="str">
        <f t="shared" si="11"/>
        <v>Inviable Sanitariamente</v>
      </c>
      <c r="T85" s="16"/>
    </row>
    <row r="86" spans="1:20" ht="32.1" customHeight="1">
      <c r="A86" s="419" t="s">
        <v>4088</v>
      </c>
      <c r="B86" s="238" t="s">
        <v>3657</v>
      </c>
      <c r="C86" s="482" t="s">
        <v>3668</v>
      </c>
      <c r="D86" s="119">
        <v>40</v>
      </c>
      <c r="E86" s="79"/>
      <c r="F86" s="79"/>
      <c r="G86" s="79"/>
      <c r="H86" s="79">
        <v>64.400000000000006</v>
      </c>
      <c r="I86" s="79"/>
      <c r="J86" s="79"/>
      <c r="K86" s="79"/>
      <c r="L86" s="79"/>
      <c r="M86" s="79"/>
      <c r="N86" s="79">
        <v>100</v>
      </c>
      <c r="O86" s="79"/>
      <c r="P86" s="79"/>
      <c r="Q86" s="139">
        <f t="shared" si="9"/>
        <v>82.2</v>
      </c>
      <c r="R86" s="144" t="str">
        <f t="shared" si="10"/>
        <v>NO</v>
      </c>
      <c r="S86" s="145" t="str">
        <f t="shared" si="11"/>
        <v>Inviable Sanitariamente</v>
      </c>
      <c r="T86" s="16"/>
    </row>
    <row r="87" spans="1:20" ht="32.1" customHeight="1">
      <c r="A87" s="419" t="s">
        <v>4088</v>
      </c>
      <c r="B87" s="238" t="s">
        <v>531</v>
      </c>
      <c r="C87" s="482" t="s">
        <v>3669</v>
      </c>
      <c r="D87" s="119">
        <v>35</v>
      </c>
      <c r="E87" s="79"/>
      <c r="F87" s="79"/>
      <c r="G87" s="79"/>
      <c r="H87" s="79"/>
      <c r="I87" s="79">
        <v>98</v>
      </c>
      <c r="J87" s="79"/>
      <c r="K87" s="79"/>
      <c r="L87" s="79"/>
      <c r="M87" s="79"/>
      <c r="N87" s="79">
        <v>100</v>
      </c>
      <c r="O87" s="79"/>
      <c r="P87" s="79"/>
      <c r="Q87" s="139">
        <f t="shared" si="9"/>
        <v>99</v>
      </c>
      <c r="R87" s="144" t="str">
        <f t="shared" si="10"/>
        <v>NO</v>
      </c>
      <c r="S87" s="145" t="str">
        <f t="shared" si="11"/>
        <v>Inviable Sanitariamente</v>
      </c>
      <c r="T87" s="16"/>
    </row>
    <row r="88" spans="1:20" ht="32.1" customHeight="1">
      <c r="A88" s="419" t="s">
        <v>4088</v>
      </c>
      <c r="B88" s="238" t="s">
        <v>3658</v>
      </c>
      <c r="C88" s="482" t="s">
        <v>3670</v>
      </c>
      <c r="D88" s="114"/>
      <c r="E88" s="79"/>
      <c r="F88" s="79"/>
      <c r="G88" s="79"/>
      <c r="H88" s="79"/>
      <c r="I88" s="79"/>
      <c r="J88" s="79"/>
      <c r="K88" s="79"/>
      <c r="L88" s="79"/>
      <c r="M88" s="79"/>
      <c r="N88" s="79"/>
      <c r="O88" s="79"/>
      <c r="P88" s="79"/>
      <c r="Q88" s="139" t="e">
        <f t="shared" si="9"/>
        <v>#DIV/0!</v>
      </c>
      <c r="R88" s="144" t="e">
        <f t="shared" si="10"/>
        <v>#DIV/0!</v>
      </c>
      <c r="S88" s="145" t="e">
        <f t="shared" si="11"/>
        <v>#DIV/0!</v>
      </c>
      <c r="T88" s="16"/>
    </row>
    <row r="89" spans="1:20" ht="32.1" customHeight="1">
      <c r="A89" s="419" t="s">
        <v>4088</v>
      </c>
      <c r="B89" s="238" t="s">
        <v>528</v>
      </c>
      <c r="C89" s="482" t="s">
        <v>3671</v>
      </c>
      <c r="D89" s="119">
        <v>70</v>
      </c>
      <c r="E89" s="79"/>
      <c r="F89" s="79"/>
      <c r="G89" s="79"/>
      <c r="H89" s="79"/>
      <c r="I89" s="79">
        <v>98</v>
      </c>
      <c r="J89" s="79"/>
      <c r="K89" s="79"/>
      <c r="L89" s="79"/>
      <c r="M89" s="79"/>
      <c r="N89" s="79">
        <v>100</v>
      </c>
      <c r="O89" s="79"/>
      <c r="P89" s="79"/>
      <c r="Q89" s="139">
        <f t="shared" si="9"/>
        <v>99</v>
      </c>
      <c r="R89" s="144" t="str">
        <f t="shared" si="10"/>
        <v>NO</v>
      </c>
      <c r="S89" s="145" t="str">
        <f t="shared" si="11"/>
        <v>Inviable Sanitariamente</v>
      </c>
      <c r="T89" s="16"/>
    </row>
    <row r="90" spans="1:20" ht="32.1" customHeight="1">
      <c r="A90" s="419" t="s">
        <v>4088</v>
      </c>
      <c r="B90" s="238" t="s">
        <v>397</v>
      </c>
      <c r="C90" s="482" t="s">
        <v>3672</v>
      </c>
      <c r="D90" s="119">
        <v>42</v>
      </c>
      <c r="E90" s="79"/>
      <c r="F90" s="79"/>
      <c r="G90" s="79"/>
      <c r="H90" s="79">
        <v>100</v>
      </c>
      <c r="I90" s="79"/>
      <c r="J90" s="79"/>
      <c r="K90" s="79"/>
      <c r="L90" s="79"/>
      <c r="M90" s="79"/>
      <c r="N90" s="79">
        <v>97.35</v>
      </c>
      <c r="O90" s="79"/>
      <c r="P90" s="79"/>
      <c r="Q90" s="139">
        <f t="shared" si="9"/>
        <v>98.674999999999997</v>
      </c>
      <c r="R90" s="144" t="str">
        <f t="shared" si="10"/>
        <v>NO</v>
      </c>
      <c r="S90" s="145" t="str">
        <f t="shared" si="11"/>
        <v>Inviable Sanitariamente</v>
      </c>
      <c r="T90" s="16"/>
    </row>
    <row r="91" spans="1:20" ht="32.1" customHeight="1">
      <c r="A91" s="419" t="s">
        <v>4088</v>
      </c>
      <c r="B91" s="238" t="s">
        <v>398</v>
      </c>
      <c r="C91" s="482" t="s">
        <v>3673</v>
      </c>
      <c r="D91" s="114">
        <v>91</v>
      </c>
      <c r="E91" s="79"/>
      <c r="F91" s="79"/>
      <c r="G91" s="79"/>
      <c r="H91" s="79">
        <v>100</v>
      </c>
      <c r="I91" s="79"/>
      <c r="J91" s="79"/>
      <c r="K91" s="79"/>
      <c r="L91" s="79"/>
      <c r="M91" s="79"/>
      <c r="N91" s="79">
        <v>100</v>
      </c>
      <c r="O91" s="79"/>
      <c r="P91" s="79"/>
      <c r="Q91" s="139">
        <f t="shared" si="9"/>
        <v>100</v>
      </c>
      <c r="R91" s="144" t="str">
        <f t="shared" si="10"/>
        <v>NO</v>
      </c>
      <c r="S91" s="145" t="str">
        <f t="shared" si="11"/>
        <v>Inviable Sanitariamente</v>
      </c>
      <c r="T91" s="16"/>
    </row>
    <row r="92" spans="1:20" ht="32.1" customHeight="1">
      <c r="A92" s="419" t="s">
        <v>4088</v>
      </c>
      <c r="B92" s="238" t="s">
        <v>526</v>
      </c>
      <c r="C92" s="482" t="s">
        <v>3674</v>
      </c>
      <c r="D92" s="119">
        <v>140</v>
      </c>
      <c r="E92" s="79"/>
      <c r="F92" s="79"/>
      <c r="G92" s="79"/>
      <c r="H92" s="79"/>
      <c r="I92" s="79">
        <v>100</v>
      </c>
      <c r="J92" s="79"/>
      <c r="K92" s="79"/>
      <c r="L92" s="79"/>
      <c r="M92" s="79"/>
      <c r="N92" s="79">
        <v>97.35</v>
      </c>
      <c r="O92" s="79"/>
      <c r="P92" s="79"/>
      <c r="Q92" s="139">
        <f t="shared" si="9"/>
        <v>98.674999999999997</v>
      </c>
      <c r="R92" s="144" t="str">
        <f t="shared" si="10"/>
        <v>NO</v>
      </c>
      <c r="S92" s="145" t="str">
        <f t="shared" si="11"/>
        <v>Inviable Sanitariamente</v>
      </c>
      <c r="T92" s="16"/>
    </row>
    <row r="93" spans="1:20" ht="32.1" customHeight="1">
      <c r="A93" s="419" t="s">
        <v>4088</v>
      </c>
      <c r="B93" s="238" t="s">
        <v>399</v>
      </c>
      <c r="C93" s="482" t="s">
        <v>3675</v>
      </c>
      <c r="D93" s="119">
        <v>375</v>
      </c>
      <c r="E93" s="79"/>
      <c r="F93" s="79">
        <v>97.7</v>
      </c>
      <c r="G93" s="79"/>
      <c r="H93" s="79"/>
      <c r="I93" s="79"/>
      <c r="J93" s="79"/>
      <c r="K93" s="79"/>
      <c r="L93" s="79">
        <v>97.35</v>
      </c>
      <c r="M93" s="79"/>
      <c r="N93" s="79"/>
      <c r="O93" s="79"/>
      <c r="P93" s="79"/>
      <c r="Q93" s="139">
        <f t="shared" si="9"/>
        <v>97.525000000000006</v>
      </c>
      <c r="R93" s="144" t="str">
        <f t="shared" si="10"/>
        <v>NO</v>
      </c>
      <c r="S93" s="145" t="str">
        <f t="shared" si="11"/>
        <v>Inviable Sanitariamente</v>
      </c>
      <c r="T93" s="16"/>
    </row>
    <row r="94" spans="1:20" s="31" customFormat="1" ht="32.1" customHeight="1">
      <c r="A94" s="419" t="s">
        <v>4088</v>
      </c>
      <c r="B94" s="238" t="s">
        <v>242</v>
      </c>
      <c r="C94" s="482" t="s">
        <v>3676</v>
      </c>
      <c r="D94" s="119">
        <v>33</v>
      </c>
      <c r="E94" s="79"/>
      <c r="F94" s="79"/>
      <c r="G94" s="79"/>
      <c r="H94" s="79">
        <v>98</v>
      </c>
      <c r="I94" s="79"/>
      <c r="J94" s="79"/>
      <c r="K94" s="79"/>
      <c r="L94" s="79"/>
      <c r="M94" s="79"/>
      <c r="N94" s="79">
        <v>97.35</v>
      </c>
      <c r="O94" s="79"/>
      <c r="P94" s="79"/>
      <c r="Q94" s="139">
        <f t="shared" si="9"/>
        <v>97.674999999999997</v>
      </c>
      <c r="R94" s="144" t="str">
        <f t="shared" si="10"/>
        <v>NO</v>
      </c>
      <c r="S94" s="145" t="str">
        <f t="shared" si="11"/>
        <v>Inviable Sanitariamente</v>
      </c>
      <c r="T94" s="30"/>
    </row>
    <row r="95" spans="1:20" s="22" customFormat="1" ht="32.1" customHeight="1">
      <c r="A95" s="419" t="s">
        <v>4088</v>
      </c>
      <c r="B95" s="238" t="s">
        <v>3659</v>
      </c>
      <c r="C95" s="482" t="s">
        <v>3677</v>
      </c>
      <c r="D95" s="119">
        <v>22</v>
      </c>
      <c r="E95" s="79"/>
      <c r="F95" s="79"/>
      <c r="G95" s="79"/>
      <c r="H95" s="79">
        <v>97</v>
      </c>
      <c r="I95" s="79"/>
      <c r="J95" s="79"/>
      <c r="K95" s="79"/>
      <c r="L95" s="79"/>
      <c r="M95" s="79"/>
      <c r="N95" s="79">
        <v>97.35</v>
      </c>
      <c r="O95" s="79"/>
      <c r="P95" s="79"/>
      <c r="Q95" s="139">
        <f t="shared" si="9"/>
        <v>97.174999999999997</v>
      </c>
      <c r="R95" s="144" t="str">
        <f t="shared" si="10"/>
        <v>NO</v>
      </c>
      <c r="S95" s="145" t="str">
        <f t="shared" si="11"/>
        <v>Inviable Sanitariamente</v>
      </c>
      <c r="T95" s="21"/>
    </row>
    <row r="96" spans="1:20" ht="32.1" customHeight="1">
      <c r="A96" s="419" t="s">
        <v>4088</v>
      </c>
      <c r="B96" s="238" t="s">
        <v>477</v>
      </c>
      <c r="C96" s="482" t="s">
        <v>3678</v>
      </c>
      <c r="D96" s="119">
        <v>90</v>
      </c>
      <c r="E96" s="79"/>
      <c r="F96" s="79">
        <v>2.8</v>
      </c>
      <c r="G96" s="79"/>
      <c r="H96" s="79"/>
      <c r="I96" s="79"/>
      <c r="J96" s="79"/>
      <c r="K96" s="79"/>
      <c r="L96" s="79"/>
      <c r="M96" s="79"/>
      <c r="N96" s="79">
        <v>0</v>
      </c>
      <c r="O96" s="79"/>
      <c r="P96" s="79"/>
      <c r="Q96" s="139">
        <f t="shared" si="9"/>
        <v>1.4</v>
      </c>
      <c r="R96" s="144" t="str">
        <f t="shared" si="10"/>
        <v>SI</v>
      </c>
      <c r="S96" s="145" t="str">
        <f t="shared" si="11"/>
        <v>Sin Riesgo</v>
      </c>
      <c r="T96" s="16"/>
    </row>
    <row r="97" spans="1:20" ht="32.1" customHeight="1">
      <c r="A97" s="419" t="s">
        <v>4088</v>
      </c>
      <c r="B97" s="238" t="s">
        <v>476</v>
      </c>
      <c r="C97" s="482" t="s">
        <v>3679</v>
      </c>
      <c r="D97" s="119">
        <v>90</v>
      </c>
      <c r="E97" s="79"/>
      <c r="F97" s="79">
        <v>2.8</v>
      </c>
      <c r="G97" s="79"/>
      <c r="H97" s="79"/>
      <c r="I97" s="79"/>
      <c r="J97" s="79"/>
      <c r="K97" s="79"/>
      <c r="L97" s="79"/>
      <c r="M97" s="79"/>
      <c r="N97" s="79">
        <v>0</v>
      </c>
      <c r="O97" s="79"/>
      <c r="P97" s="79"/>
      <c r="Q97" s="139">
        <f t="shared" si="9"/>
        <v>1.4</v>
      </c>
      <c r="R97" s="144" t="str">
        <f t="shared" si="10"/>
        <v>SI</v>
      </c>
      <c r="S97" s="145" t="str">
        <f t="shared" si="11"/>
        <v>Sin Riesgo</v>
      </c>
      <c r="T97" s="16"/>
    </row>
    <row r="98" spans="1:20" ht="32.1" customHeight="1">
      <c r="A98" s="419" t="s">
        <v>4088</v>
      </c>
      <c r="B98" s="238" t="s">
        <v>3660</v>
      </c>
      <c r="C98" s="482" t="s">
        <v>3680</v>
      </c>
      <c r="D98" s="119">
        <v>90</v>
      </c>
      <c r="E98" s="79"/>
      <c r="F98" s="79">
        <v>2.8</v>
      </c>
      <c r="G98" s="79"/>
      <c r="H98" s="79"/>
      <c r="I98" s="79"/>
      <c r="J98" s="79"/>
      <c r="K98" s="79"/>
      <c r="L98" s="79"/>
      <c r="M98" s="79"/>
      <c r="N98" s="79">
        <v>0</v>
      </c>
      <c r="O98" s="79"/>
      <c r="P98" s="79"/>
      <c r="Q98" s="139">
        <f t="shared" si="9"/>
        <v>1.4</v>
      </c>
      <c r="R98" s="144" t="str">
        <f t="shared" si="10"/>
        <v>SI</v>
      </c>
      <c r="S98" s="145" t="str">
        <f t="shared" si="11"/>
        <v>Sin Riesgo</v>
      </c>
      <c r="T98" s="16"/>
    </row>
    <row r="99" spans="1:20" ht="32.1" customHeight="1">
      <c r="A99" s="419" t="s">
        <v>4088</v>
      </c>
      <c r="B99" s="238" t="s">
        <v>475</v>
      </c>
      <c r="C99" s="482" t="s">
        <v>3681</v>
      </c>
      <c r="D99" s="119">
        <v>380</v>
      </c>
      <c r="E99" s="79"/>
      <c r="F99" s="79">
        <v>2.8</v>
      </c>
      <c r="G99" s="79"/>
      <c r="H99" s="79"/>
      <c r="I99" s="79"/>
      <c r="J99" s="79"/>
      <c r="K99" s="79"/>
      <c r="L99" s="79"/>
      <c r="M99" s="79"/>
      <c r="N99" s="79">
        <v>0</v>
      </c>
      <c r="O99" s="79"/>
      <c r="P99" s="79"/>
      <c r="Q99" s="139">
        <f t="shared" si="9"/>
        <v>1.4</v>
      </c>
      <c r="R99" s="144" t="str">
        <f t="shared" si="10"/>
        <v>SI</v>
      </c>
      <c r="S99" s="145" t="str">
        <f t="shared" si="11"/>
        <v>Sin Riesgo</v>
      </c>
      <c r="T99" s="16"/>
    </row>
    <row r="100" spans="1:20" ht="32.1" customHeight="1">
      <c r="A100" s="419" t="s">
        <v>4088</v>
      </c>
      <c r="B100" s="483" t="s">
        <v>530</v>
      </c>
      <c r="C100" s="484" t="s">
        <v>3682</v>
      </c>
      <c r="D100" s="265"/>
      <c r="E100" s="79"/>
      <c r="F100" s="79"/>
      <c r="G100" s="79"/>
      <c r="H100" s="79"/>
      <c r="I100" s="79"/>
      <c r="J100" s="79"/>
      <c r="K100" s="79"/>
      <c r="L100" s="79"/>
      <c r="M100" s="79"/>
      <c r="N100" s="79"/>
      <c r="O100" s="79"/>
      <c r="P100" s="79"/>
      <c r="Q100" s="139" t="e">
        <v>#DIV/0!</v>
      </c>
      <c r="R100" s="144" t="e">
        <v>#DIV/0!</v>
      </c>
      <c r="S100" s="145" t="e">
        <f t="shared" si="11"/>
        <v>#DIV/0!</v>
      </c>
      <c r="T100" s="16"/>
    </row>
    <row r="101" spans="1:20" ht="32.1" customHeight="1">
      <c r="A101" s="419" t="s">
        <v>4088</v>
      </c>
      <c r="B101" s="483" t="s">
        <v>527</v>
      </c>
      <c r="C101" s="484" t="s">
        <v>3683</v>
      </c>
      <c r="D101" s="265"/>
      <c r="E101" s="79"/>
      <c r="F101" s="79"/>
      <c r="G101" s="79"/>
      <c r="H101" s="79"/>
      <c r="I101" s="79"/>
      <c r="J101" s="79"/>
      <c r="K101" s="79"/>
      <c r="L101" s="79"/>
      <c r="M101" s="79"/>
      <c r="N101" s="79"/>
      <c r="O101" s="79"/>
      <c r="P101" s="79"/>
      <c r="Q101" s="139" t="e">
        <v>#DIV/0!</v>
      </c>
      <c r="R101" s="144" t="e">
        <v>#DIV/0!</v>
      </c>
      <c r="S101" s="145" t="e">
        <f t="shared" si="11"/>
        <v>#DIV/0!</v>
      </c>
      <c r="T101" s="16"/>
    </row>
    <row r="102" spans="1:20" ht="32.1" customHeight="1">
      <c r="A102" s="419" t="s">
        <v>3794</v>
      </c>
      <c r="B102" s="477" t="s">
        <v>3685</v>
      </c>
      <c r="C102" s="485" t="s">
        <v>3689</v>
      </c>
      <c r="D102" s="119">
        <v>285</v>
      </c>
      <c r="E102" s="79">
        <v>98.8</v>
      </c>
      <c r="F102" s="79"/>
      <c r="G102" s="79"/>
      <c r="H102" s="79"/>
      <c r="I102" s="79"/>
      <c r="J102" s="79"/>
      <c r="K102" s="79"/>
      <c r="L102" s="79"/>
      <c r="M102" s="79"/>
      <c r="N102" s="79"/>
      <c r="O102" s="79"/>
      <c r="P102" s="79"/>
      <c r="Q102" s="139">
        <f t="shared" ref="Q102:Q125" si="12">AVERAGE(E102:P102)</f>
        <v>98.8</v>
      </c>
      <c r="R102" s="144" t="str">
        <f t="shared" ref="R102:R125" si="13">IF(Q102&lt;5,"SI","NO")</f>
        <v>NO</v>
      </c>
      <c r="S102" s="145" t="str">
        <f t="shared" si="11"/>
        <v>Inviable Sanitariamente</v>
      </c>
      <c r="T102" s="16"/>
    </row>
    <row r="103" spans="1:20" ht="32.1" customHeight="1">
      <c r="A103" s="419" t="s">
        <v>3794</v>
      </c>
      <c r="B103" s="477" t="s">
        <v>3686</v>
      </c>
      <c r="C103" s="485" t="s">
        <v>3689</v>
      </c>
      <c r="D103" s="119">
        <v>232</v>
      </c>
      <c r="E103" s="79"/>
      <c r="F103" s="79"/>
      <c r="G103" s="79"/>
      <c r="H103" s="79">
        <v>99.9</v>
      </c>
      <c r="I103" s="79"/>
      <c r="J103" s="79"/>
      <c r="K103" s="79"/>
      <c r="L103" s="79"/>
      <c r="M103" s="79"/>
      <c r="N103" s="79"/>
      <c r="O103" s="79"/>
      <c r="P103" s="79"/>
      <c r="Q103" s="139">
        <f t="shared" si="12"/>
        <v>99.9</v>
      </c>
      <c r="R103" s="144" t="str">
        <f t="shared" si="13"/>
        <v>NO</v>
      </c>
      <c r="S103" s="145" t="str">
        <f t="shared" si="11"/>
        <v>Inviable Sanitariamente</v>
      </c>
      <c r="T103" s="16"/>
    </row>
    <row r="104" spans="1:20" ht="32.1" customHeight="1">
      <c r="A104" s="419" t="s">
        <v>3794</v>
      </c>
      <c r="B104" s="477" t="s">
        <v>3687</v>
      </c>
      <c r="C104" s="485" t="s">
        <v>3689</v>
      </c>
      <c r="D104" s="119">
        <v>421</v>
      </c>
      <c r="E104" s="79">
        <v>98.8</v>
      </c>
      <c r="F104" s="79"/>
      <c r="G104" s="79"/>
      <c r="H104" s="79"/>
      <c r="I104" s="79"/>
      <c r="J104" s="79"/>
      <c r="K104" s="79"/>
      <c r="L104" s="79"/>
      <c r="M104" s="79"/>
      <c r="N104" s="79"/>
      <c r="O104" s="79"/>
      <c r="P104" s="79"/>
      <c r="Q104" s="139">
        <f t="shared" si="12"/>
        <v>98.8</v>
      </c>
      <c r="R104" s="144" t="str">
        <f t="shared" si="13"/>
        <v>NO</v>
      </c>
      <c r="S104" s="145" t="str">
        <f t="shared" si="11"/>
        <v>Inviable Sanitariamente</v>
      </c>
      <c r="T104" s="16"/>
    </row>
    <row r="105" spans="1:20" ht="32.1" customHeight="1">
      <c r="A105" s="419" t="s">
        <v>3794</v>
      </c>
      <c r="B105" s="477" t="s">
        <v>3688</v>
      </c>
      <c r="C105" s="485" t="s">
        <v>3689</v>
      </c>
      <c r="D105" s="119">
        <v>250</v>
      </c>
      <c r="E105" s="79"/>
      <c r="F105" s="79"/>
      <c r="G105" s="79">
        <v>99.1</v>
      </c>
      <c r="H105" s="79"/>
      <c r="I105" s="79"/>
      <c r="J105" s="79"/>
      <c r="K105" s="79"/>
      <c r="L105" s="79"/>
      <c r="M105" s="79"/>
      <c r="N105" s="79"/>
      <c r="O105" s="79"/>
      <c r="P105" s="79"/>
      <c r="Q105" s="139">
        <f t="shared" si="12"/>
        <v>99.1</v>
      </c>
      <c r="R105" s="144" t="str">
        <f t="shared" si="13"/>
        <v>NO</v>
      </c>
      <c r="S105" s="145" t="str">
        <f t="shared" si="11"/>
        <v>Inviable Sanitariamente</v>
      </c>
      <c r="T105" s="16"/>
    </row>
    <row r="106" spans="1:20" ht="32.1" customHeight="1">
      <c r="A106" s="419" t="s">
        <v>123</v>
      </c>
      <c r="B106" s="238" t="s">
        <v>6</v>
      </c>
      <c r="C106" s="482" t="s">
        <v>3684</v>
      </c>
      <c r="D106" s="119">
        <v>420</v>
      </c>
      <c r="E106" s="79"/>
      <c r="F106" s="79">
        <v>53.1</v>
      </c>
      <c r="G106" s="79"/>
      <c r="H106" s="79"/>
      <c r="I106" s="79"/>
      <c r="J106" s="79"/>
      <c r="K106" s="79"/>
      <c r="L106" s="79"/>
      <c r="M106" s="79"/>
      <c r="N106" s="79"/>
      <c r="O106" s="79"/>
      <c r="P106" s="79"/>
      <c r="Q106" s="139">
        <f t="shared" si="12"/>
        <v>53.1</v>
      </c>
      <c r="R106" s="144" t="str">
        <f t="shared" si="13"/>
        <v>NO</v>
      </c>
      <c r="S106" s="145" t="str">
        <f t="shared" si="11"/>
        <v>Alto</v>
      </c>
      <c r="T106" s="16"/>
    </row>
    <row r="107" spans="1:20" ht="32.1" customHeight="1">
      <c r="A107" s="419" t="s">
        <v>123</v>
      </c>
      <c r="B107" s="238" t="s">
        <v>402</v>
      </c>
      <c r="C107" s="482" t="s">
        <v>3690</v>
      </c>
      <c r="D107" s="119">
        <v>80</v>
      </c>
      <c r="E107" s="79"/>
      <c r="F107" s="79">
        <v>97.35</v>
      </c>
      <c r="G107" s="79"/>
      <c r="H107" s="79"/>
      <c r="I107" s="79"/>
      <c r="J107" s="79"/>
      <c r="K107" s="79"/>
      <c r="L107" s="79"/>
      <c r="M107" s="79"/>
      <c r="N107" s="79"/>
      <c r="O107" s="79"/>
      <c r="P107" s="79"/>
      <c r="Q107" s="139">
        <f t="shared" si="12"/>
        <v>97.35</v>
      </c>
      <c r="R107" s="144" t="str">
        <f t="shared" si="13"/>
        <v>NO</v>
      </c>
      <c r="S107" s="145" t="str">
        <f t="shared" si="11"/>
        <v>Inviable Sanitariamente</v>
      </c>
      <c r="T107" s="16"/>
    </row>
    <row r="108" spans="1:20" ht="32.1" customHeight="1">
      <c r="A108" s="419" t="s">
        <v>123</v>
      </c>
      <c r="B108" s="238" t="s">
        <v>400</v>
      </c>
      <c r="C108" s="482" t="s">
        <v>3691</v>
      </c>
      <c r="D108" s="119">
        <v>158</v>
      </c>
      <c r="E108" s="79"/>
      <c r="F108" s="79">
        <v>97.35</v>
      </c>
      <c r="G108" s="79"/>
      <c r="H108" s="79"/>
      <c r="I108" s="79"/>
      <c r="J108" s="79"/>
      <c r="K108" s="79"/>
      <c r="L108" s="79"/>
      <c r="M108" s="79"/>
      <c r="N108" s="79"/>
      <c r="O108" s="79"/>
      <c r="P108" s="79"/>
      <c r="Q108" s="139">
        <f t="shared" si="12"/>
        <v>97.35</v>
      </c>
      <c r="R108" s="144" t="str">
        <f t="shared" si="13"/>
        <v>NO</v>
      </c>
      <c r="S108" s="145" t="str">
        <f t="shared" si="11"/>
        <v>Inviable Sanitariamente</v>
      </c>
      <c r="T108" s="16"/>
    </row>
    <row r="109" spans="1:20" ht="32.1" customHeight="1">
      <c r="A109" s="419" t="s">
        <v>123</v>
      </c>
      <c r="B109" s="238" t="s">
        <v>401</v>
      </c>
      <c r="C109" s="482" t="s">
        <v>3692</v>
      </c>
      <c r="D109" s="119">
        <v>30</v>
      </c>
      <c r="E109" s="79"/>
      <c r="F109" s="79">
        <v>97.35</v>
      </c>
      <c r="G109" s="79"/>
      <c r="H109" s="79"/>
      <c r="I109" s="79"/>
      <c r="J109" s="79"/>
      <c r="K109" s="79"/>
      <c r="L109" s="79"/>
      <c r="M109" s="79"/>
      <c r="N109" s="79"/>
      <c r="O109" s="79"/>
      <c r="P109" s="79"/>
      <c r="Q109" s="139">
        <f t="shared" si="12"/>
        <v>97.35</v>
      </c>
      <c r="R109" s="144" t="str">
        <f t="shared" si="13"/>
        <v>NO</v>
      </c>
      <c r="S109" s="145" t="str">
        <f t="shared" si="11"/>
        <v>Inviable Sanitariamente</v>
      </c>
      <c r="T109" s="16"/>
    </row>
    <row r="110" spans="1:20" ht="32.1" customHeight="1">
      <c r="A110" s="419" t="s">
        <v>123</v>
      </c>
      <c r="B110" s="238" t="s">
        <v>84</v>
      </c>
      <c r="C110" s="482" t="s">
        <v>3693</v>
      </c>
      <c r="D110" s="119">
        <v>22</v>
      </c>
      <c r="E110" s="79"/>
      <c r="F110" s="79"/>
      <c r="G110" s="79">
        <v>97.35</v>
      </c>
      <c r="H110" s="79"/>
      <c r="I110" s="79"/>
      <c r="J110" s="79"/>
      <c r="K110" s="79"/>
      <c r="L110" s="79"/>
      <c r="M110" s="79"/>
      <c r="N110" s="79"/>
      <c r="O110" s="79"/>
      <c r="P110" s="79"/>
      <c r="Q110" s="139">
        <f t="shared" si="12"/>
        <v>97.35</v>
      </c>
      <c r="R110" s="144" t="str">
        <f t="shared" si="13"/>
        <v>NO</v>
      </c>
      <c r="S110" s="145" t="str">
        <f t="shared" si="11"/>
        <v>Inviable Sanitariamente</v>
      </c>
      <c r="T110" s="16"/>
    </row>
    <row r="111" spans="1:20" ht="32.1" customHeight="1">
      <c r="A111" s="419" t="s">
        <v>123</v>
      </c>
      <c r="B111" s="238" t="s">
        <v>4437</v>
      </c>
      <c r="C111" s="482" t="s">
        <v>4438</v>
      </c>
      <c r="D111" s="119">
        <v>70</v>
      </c>
      <c r="E111" s="79"/>
      <c r="F111" s="79">
        <v>53.1</v>
      </c>
      <c r="G111" s="79"/>
      <c r="H111" s="79"/>
      <c r="I111" s="79"/>
      <c r="J111" s="79"/>
      <c r="K111" s="79"/>
      <c r="L111" s="79"/>
      <c r="M111" s="79"/>
      <c r="N111" s="79"/>
      <c r="O111" s="79"/>
      <c r="P111" s="79"/>
      <c r="Q111" s="139">
        <f>AVERAGE(E111:P111)</f>
        <v>53.1</v>
      </c>
      <c r="R111" s="144" t="str">
        <f t="shared" si="13"/>
        <v>NO</v>
      </c>
      <c r="S111" s="145" t="str">
        <f t="shared" si="11"/>
        <v>Alto</v>
      </c>
      <c r="T111" s="16"/>
    </row>
    <row r="112" spans="1:20" ht="32.1" customHeight="1">
      <c r="A112" s="419" t="s">
        <v>125</v>
      </c>
      <c r="B112" s="238" t="s">
        <v>515</v>
      </c>
      <c r="C112" s="482" t="s">
        <v>3694</v>
      </c>
      <c r="D112" s="119">
        <v>98</v>
      </c>
      <c r="E112" s="79"/>
      <c r="F112" s="79"/>
      <c r="G112" s="79"/>
      <c r="H112" s="79"/>
      <c r="I112" s="79">
        <v>98.1</v>
      </c>
      <c r="J112" s="79">
        <v>90.32</v>
      </c>
      <c r="K112" s="79">
        <v>90.32</v>
      </c>
      <c r="L112" s="79"/>
      <c r="M112" s="79">
        <v>19.350000000000001</v>
      </c>
      <c r="N112" s="79">
        <v>27.1</v>
      </c>
      <c r="O112" s="79">
        <v>90.32</v>
      </c>
      <c r="P112" s="79">
        <v>98.6</v>
      </c>
      <c r="Q112" s="139">
        <f t="shared" si="12"/>
        <v>73.444285714285712</v>
      </c>
      <c r="R112" s="144" t="str">
        <f t="shared" si="13"/>
        <v>NO</v>
      </c>
      <c r="S112" s="145" t="str">
        <f t="shared" si="11"/>
        <v>Alto</v>
      </c>
    </row>
    <row r="113" spans="1:19" ht="32.1" customHeight="1">
      <c r="A113" s="419" t="s">
        <v>125</v>
      </c>
      <c r="B113" s="238" t="s">
        <v>4</v>
      </c>
      <c r="C113" s="482" t="s">
        <v>3695</v>
      </c>
      <c r="D113" s="119"/>
      <c r="E113" s="79"/>
      <c r="F113" s="79"/>
      <c r="G113" s="79"/>
      <c r="H113" s="79"/>
      <c r="I113" s="79"/>
      <c r="J113" s="79"/>
      <c r="K113" s="79"/>
      <c r="L113" s="79"/>
      <c r="M113" s="79"/>
      <c r="N113" s="79"/>
      <c r="O113" s="79"/>
      <c r="P113" s="79"/>
      <c r="Q113" s="139" t="e">
        <f t="shared" si="12"/>
        <v>#DIV/0!</v>
      </c>
      <c r="R113" s="144" t="e">
        <f t="shared" si="13"/>
        <v>#DIV/0!</v>
      </c>
      <c r="S113" s="145" t="e">
        <f t="shared" si="11"/>
        <v>#DIV/0!</v>
      </c>
    </row>
    <row r="114" spans="1:19" ht="32.1" customHeight="1">
      <c r="A114" s="419" t="s">
        <v>125</v>
      </c>
      <c r="B114" s="238" t="s">
        <v>516</v>
      </c>
      <c r="C114" s="482" t="s">
        <v>3696</v>
      </c>
      <c r="D114" s="119">
        <v>21</v>
      </c>
      <c r="E114" s="79">
        <v>38.700000000000003</v>
      </c>
      <c r="F114" s="79"/>
      <c r="G114" s="79"/>
      <c r="H114" s="79"/>
      <c r="I114" s="79">
        <v>38.700000000000003</v>
      </c>
      <c r="J114" s="79"/>
      <c r="K114" s="79">
        <v>70.97</v>
      </c>
      <c r="L114" s="79"/>
      <c r="M114" s="79">
        <v>0</v>
      </c>
      <c r="N114" s="79">
        <v>27.1</v>
      </c>
      <c r="O114" s="79">
        <v>90.32</v>
      </c>
      <c r="P114" s="79">
        <v>27.1</v>
      </c>
      <c r="Q114" s="139">
        <f t="shared" si="12"/>
        <v>41.841428571428573</v>
      </c>
      <c r="R114" s="144" t="str">
        <f t="shared" si="13"/>
        <v>NO</v>
      </c>
      <c r="S114" s="145" t="str">
        <f t="shared" si="11"/>
        <v>Alto</v>
      </c>
    </row>
    <row r="115" spans="1:19" ht="32.1" customHeight="1">
      <c r="A115" s="419" t="s">
        <v>125</v>
      </c>
      <c r="B115" s="238" t="s">
        <v>517</v>
      </c>
      <c r="C115" s="482" t="s">
        <v>3697</v>
      </c>
      <c r="D115" s="119"/>
      <c r="E115" s="79"/>
      <c r="F115" s="79"/>
      <c r="G115" s="79"/>
      <c r="H115" s="79"/>
      <c r="I115" s="79"/>
      <c r="J115" s="79"/>
      <c r="K115" s="79"/>
      <c r="L115" s="79"/>
      <c r="M115" s="79"/>
      <c r="N115" s="79"/>
      <c r="O115" s="79"/>
      <c r="P115" s="79"/>
      <c r="Q115" s="139" t="e">
        <f t="shared" si="12"/>
        <v>#DIV/0!</v>
      </c>
      <c r="R115" s="144" t="e">
        <f t="shared" si="13"/>
        <v>#DIV/0!</v>
      </c>
      <c r="S115" s="145" t="e">
        <f t="shared" si="11"/>
        <v>#DIV/0!</v>
      </c>
    </row>
    <row r="116" spans="1:19" ht="32.1" customHeight="1">
      <c r="A116" s="419" t="s">
        <v>125</v>
      </c>
      <c r="B116" s="238" t="s">
        <v>409</v>
      </c>
      <c r="C116" s="482" t="s">
        <v>3698</v>
      </c>
      <c r="D116" s="119">
        <v>250</v>
      </c>
      <c r="E116" s="79"/>
      <c r="F116" s="79"/>
      <c r="G116" s="79"/>
      <c r="H116" s="79"/>
      <c r="I116" s="79"/>
      <c r="J116" s="79"/>
      <c r="K116" s="79"/>
      <c r="L116" s="79"/>
      <c r="M116" s="79"/>
      <c r="N116" s="79"/>
      <c r="O116" s="79"/>
      <c r="P116" s="79">
        <v>97.35</v>
      </c>
      <c r="Q116" s="139">
        <f t="shared" si="12"/>
        <v>97.35</v>
      </c>
      <c r="R116" s="144" t="str">
        <f t="shared" si="13"/>
        <v>NO</v>
      </c>
      <c r="S116" s="145" t="str">
        <f t="shared" si="11"/>
        <v>Inviable Sanitariamente</v>
      </c>
    </row>
    <row r="117" spans="1:19" ht="32.1" customHeight="1">
      <c r="A117" s="419" t="s">
        <v>125</v>
      </c>
      <c r="B117" s="238" t="s">
        <v>410</v>
      </c>
      <c r="C117" s="482" t="s">
        <v>3699</v>
      </c>
      <c r="D117" s="119">
        <v>150</v>
      </c>
      <c r="E117" s="79"/>
      <c r="F117" s="79"/>
      <c r="G117" s="79"/>
      <c r="H117" s="79"/>
      <c r="I117" s="79"/>
      <c r="J117" s="79"/>
      <c r="K117" s="79"/>
      <c r="L117" s="79"/>
      <c r="M117" s="79"/>
      <c r="N117" s="79"/>
      <c r="O117" s="79"/>
      <c r="P117" s="79">
        <v>97.35</v>
      </c>
      <c r="Q117" s="139">
        <f t="shared" si="12"/>
        <v>97.35</v>
      </c>
      <c r="R117" s="144" t="str">
        <f t="shared" si="13"/>
        <v>NO</v>
      </c>
      <c r="S117" s="145" t="str">
        <f t="shared" si="11"/>
        <v>Inviable Sanitariamente</v>
      </c>
    </row>
    <row r="118" spans="1:19" ht="32.1" customHeight="1">
      <c r="A118" s="419" t="s">
        <v>125</v>
      </c>
      <c r="B118" s="238" t="s">
        <v>408</v>
      </c>
      <c r="C118" s="482" t="s">
        <v>3700</v>
      </c>
      <c r="D118" s="114">
        <v>490</v>
      </c>
      <c r="E118" s="79"/>
      <c r="F118" s="79"/>
      <c r="G118" s="79"/>
      <c r="H118" s="79"/>
      <c r="I118" s="79"/>
      <c r="J118" s="79"/>
      <c r="K118" s="79"/>
      <c r="L118" s="79"/>
      <c r="M118" s="79"/>
      <c r="N118" s="79"/>
      <c r="O118" s="79"/>
      <c r="P118" s="79">
        <v>97.35</v>
      </c>
      <c r="Q118" s="139">
        <f t="shared" si="12"/>
        <v>97.35</v>
      </c>
      <c r="R118" s="144" t="str">
        <f t="shared" si="13"/>
        <v>NO</v>
      </c>
      <c r="S118" s="145" t="str">
        <f t="shared" si="11"/>
        <v>Inviable Sanitariamente</v>
      </c>
    </row>
    <row r="119" spans="1:19" ht="32.1" customHeight="1">
      <c r="A119" s="419" t="s">
        <v>125</v>
      </c>
      <c r="B119" s="238" t="s">
        <v>518</v>
      </c>
      <c r="C119" s="482" t="s">
        <v>3701</v>
      </c>
      <c r="D119" s="119"/>
      <c r="E119" s="79"/>
      <c r="F119" s="79"/>
      <c r="G119" s="79"/>
      <c r="H119" s="79"/>
      <c r="I119" s="79"/>
      <c r="J119" s="79"/>
      <c r="K119" s="79"/>
      <c r="L119" s="79"/>
      <c r="M119" s="79"/>
      <c r="N119" s="79"/>
      <c r="O119" s="79"/>
      <c r="P119" s="79"/>
      <c r="Q119" s="139" t="e">
        <f t="shared" si="12"/>
        <v>#DIV/0!</v>
      </c>
      <c r="R119" s="144" t="e">
        <f t="shared" si="13"/>
        <v>#DIV/0!</v>
      </c>
      <c r="S119" s="145" t="e">
        <f t="shared" si="11"/>
        <v>#DIV/0!</v>
      </c>
    </row>
    <row r="120" spans="1:19" ht="30" customHeight="1">
      <c r="A120" s="419" t="s">
        <v>125</v>
      </c>
      <c r="B120" s="238" t="s">
        <v>533</v>
      </c>
      <c r="C120" s="482" t="s">
        <v>3702</v>
      </c>
      <c r="D120" s="119">
        <v>21</v>
      </c>
      <c r="E120" s="79">
        <v>71</v>
      </c>
      <c r="F120" s="79"/>
      <c r="G120" s="79"/>
      <c r="H120" s="79"/>
      <c r="I120" s="79">
        <v>98.06</v>
      </c>
      <c r="J120" s="79">
        <v>19.350000000000001</v>
      </c>
      <c r="K120" s="79">
        <v>70.97</v>
      </c>
      <c r="L120" s="79"/>
      <c r="M120" s="79">
        <v>19.350000000000001</v>
      </c>
      <c r="N120" s="79">
        <v>27.1</v>
      </c>
      <c r="O120" s="79">
        <v>90.3</v>
      </c>
      <c r="P120" s="79">
        <v>27.1</v>
      </c>
      <c r="Q120" s="139">
        <f t="shared" si="12"/>
        <v>52.903750000000009</v>
      </c>
      <c r="R120" s="154" t="str">
        <f t="shared" si="13"/>
        <v>NO</v>
      </c>
      <c r="S120" s="145" t="str">
        <f t="shared" si="11"/>
        <v>Alto</v>
      </c>
    </row>
    <row r="121" spans="1:19" ht="30" customHeight="1">
      <c r="A121" s="419" t="s">
        <v>125</v>
      </c>
      <c r="B121" s="238" t="s">
        <v>404</v>
      </c>
      <c r="C121" s="482" t="s">
        <v>3703</v>
      </c>
      <c r="D121" s="114">
        <v>1158</v>
      </c>
      <c r="E121" s="79">
        <v>0</v>
      </c>
      <c r="F121" s="79">
        <v>0</v>
      </c>
      <c r="G121" s="79">
        <v>3.6</v>
      </c>
      <c r="H121" s="79">
        <v>0</v>
      </c>
      <c r="I121" s="79">
        <v>0</v>
      </c>
      <c r="J121" s="79">
        <v>0</v>
      </c>
      <c r="K121" s="79">
        <v>0</v>
      </c>
      <c r="L121" s="79">
        <v>0</v>
      </c>
      <c r="M121" s="79">
        <v>0</v>
      </c>
      <c r="N121" s="79">
        <v>0</v>
      </c>
      <c r="O121" s="79">
        <v>0</v>
      </c>
      <c r="P121" s="79">
        <v>0</v>
      </c>
      <c r="Q121" s="139">
        <f t="shared" si="12"/>
        <v>0.3</v>
      </c>
      <c r="R121" s="204" t="str">
        <f t="shared" si="13"/>
        <v>SI</v>
      </c>
      <c r="S121" s="145" t="str">
        <f t="shared" si="11"/>
        <v>Sin Riesgo</v>
      </c>
    </row>
    <row r="122" spans="1:19" ht="30" customHeight="1">
      <c r="A122" s="419" t="s">
        <v>125</v>
      </c>
      <c r="B122" s="238" t="s">
        <v>403</v>
      </c>
      <c r="C122" s="482" t="s">
        <v>3704</v>
      </c>
      <c r="D122" s="119">
        <v>5.0650000000000004</v>
      </c>
      <c r="E122" s="79">
        <v>0</v>
      </c>
      <c r="F122" s="79">
        <v>0</v>
      </c>
      <c r="G122" s="79">
        <v>0</v>
      </c>
      <c r="H122" s="79">
        <v>0</v>
      </c>
      <c r="I122" s="79">
        <v>0</v>
      </c>
      <c r="J122" s="79">
        <v>0</v>
      </c>
      <c r="K122" s="79">
        <v>19.350000000000001</v>
      </c>
      <c r="L122" s="79">
        <v>0</v>
      </c>
      <c r="M122" s="79">
        <v>0</v>
      </c>
      <c r="N122" s="79">
        <v>0</v>
      </c>
      <c r="O122" s="79">
        <v>0</v>
      </c>
      <c r="P122" s="79">
        <v>0</v>
      </c>
      <c r="Q122" s="139">
        <f t="shared" si="12"/>
        <v>1.6125</v>
      </c>
      <c r="R122" s="144" t="str">
        <f t="shared" si="13"/>
        <v>SI</v>
      </c>
      <c r="S122" s="145" t="str">
        <f t="shared" si="11"/>
        <v>Sin Riesgo</v>
      </c>
    </row>
    <row r="123" spans="1:19" ht="30" customHeight="1">
      <c r="A123" s="419" t="s">
        <v>125</v>
      </c>
      <c r="B123" s="238" t="s">
        <v>405</v>
      </c>
      <c r="C123" s="482" t="s">
        <v>3705</v>
      </c>
      <c r="D123" s="119">
        <v>2663</v>
      </c>
      <c r="E123" s="79">
        <v>0</v>
      </c>
      <c r="F123" s="79">
        <v>0</v>
      </c>
      <c r="G123" s="79">
        <v>3.6</v>
      </c>
      <c r="H123" s="79">
        <v>0</v>
      </c>
      <c r="I123" s="79">
        <v>0</v>
      </c>
      <c r="J123" s="79">
        <v>0</v>
      </c>
      <c r="K123" s="79">
        <v>0</v>
      </c>
      <c r="L123" s="79">
        <v>0</v>
      </c>
      <c r="M123" s="79">
        <v>0</v>
      </c>
      <c r="N123" s="79">
        <v>0</v>
      </c>
      <c r="O123" s="79">
        <v>0</v>
      </c>
      <c r="P123" s="79">
        <v>0</v>
      </c>
      <c r="Q123" s="139">
        <f t="shared" si="12"/>
        <v>0.3</v>
      </c>
      <c r="R123" s="144" t="str">
        <f t="shared" si="13"/>
        <v>SI</v>
      </c>
      <c r="S123" s="145" t="str">
        <f t="shared" si="11"/>
        <v>Sin Riesgo</v>
      </c>
    </row>
    <row r="124" spans="1:19" ht="30" customHeight="1">
      <c r="A124" s="419" t="s">
        <v>125</v>
      </c>
      <c r="B124" s="238" t="s">
        <v>406</v>
      </c>
      <c r="C124" s="482" t="s">
        <v>3706</v>
      </c>
      <c r="D124" s="114">
        <v>751</v>
      </c>
      <c r="E124" s="79"/>
      <c r="F124" s="79"/>
      <c r="G124" s="79"/>
      <c r="H124" s="79"/>
      <c r="I124" s="79"/>
      <c r="J124" s="79"/>
      <c r="K124" s="79"/>
      <c r="L124" s="79"/>
      <c r="M124" s="79"/>
      <c r="N124" s="79"/>
      <c r="O124" s="79"/>
      <c r="P124" s="79">
        <v>97.35</v>
      </c>
      <c r="Q124" s="139">
        <f t="shared" si="12"/>
        <v>97.35</v>
      </c>
      <c r="R124" s="154" t="str">
        <f t="shared" si="13"/>
        <v>NO</v>
      </c>
      <c r="S124" s="145" t="str">
        <f t="shared" si="11"/>
        <v>Inviable Sanitariamente</v>
      </c>
    </row>
    <row r="125" spans="1:19" ht="30" customHeight="1">
      <c r="A125" s="419" t="s">
        <v>125</v>
      </c>
      <c r="B125" s="238" t="s">
        <v>407</v>
      </c>
      <c r="C125" s="482" t="s">
        <v>3707</v>
      </c>
      <c r="D125" s="119">
        <v>120</v>
      </c>
      <c r="E125" s="79"/>
      <c r="F125" s="79"/>
      <c r="G125" s="79"/>
      <c r="H125" s="79"/>
      <c r="I125" s="79"/>
      <c r="J125" s="79"/>
      <c r="K125" s="79"/>
      <c r="L125" s="79"/>
      <c r="M125" s="79"/>
      <c r="N125" s="79"/>
      <c r="O125" s="79"/>
      <c r="P125" s="79">
        <v>97.35</v>
      </c>
      <c r="Q125" s="139">
        <f t="shared" si="12"/>
        <v>97.35</v>
      </c>
      <c r="R125" s="154" t="str">
        <f t="shared" si="13"/>
        <v>NO</v>
      </c>
      <c r="S125" s="145" t="str">
        <f t="shared" si="11"/>
        <v>Inviable Sanitariamente</v>
      </c>
    </row>
    <row r="126" spans="1:19" ht="30" customHeight="1">
      <c r="A126" s="379"/>
      <c r="B126" s="298"/>
      <c r="C126" s="298"/>
      <c r="D126" s="380"/>
      <c r="E126" s="381"/>
      <c r="F126" s="381"/>
      <c r="G126" s="381"/>
      <c r="H126" s="381"/>
      <c r="I126" s="381"/>
      <c r="J126" s="381"/>
      <c r="K126" s="381"/>
      <c r="L126" s="381"/>
      <c r="M126" s="381"/>
      <c r="N126" s="381"/>
      <c r="O126" s="381"/>
      <c r="P126" s="381"/>
      <c r="Q126" s="399"/>
      <c r="R126" s="399"/>
      <c r="S126" s="400"/>
    </row>
    <row r="127" spans="1:19" ht="30" customHeight="1">
      <c r="A127" s="109"/>
    </row>
    <row r="128" spans="1:19" ht="51" customHeight="1">
      <c r="A128" s="433" t="s">
        <v>4371</v>
      </c>
      <c r="B128" s="432" t="s">
        <v>4433</v>
      </c>
      <c r="C128" s="565" t="s">
        <v>4572</v>
      </c>
      <c r="D128" s="566"/>
      <c r="E128" s="566"/>
      <c r="F128" s="566"/>
      <c r="G128" s="566"/>
      <c r="H128" s="566"/>
      <c r="I128" s="566"/>
      <c r="J128" s="566"/>
      <c r="K128" s="566"/>
      <c r="L128" s="566"/>
      <c r="M128" s="566"/>
      <c r="N128" s="566"/>
      <c r="O128" s="566"/>
      <c r="P128" s="566"/>
      <c r="Q128" s="566"/>
      <c r="R128" s="566"/>
      <c r="S128" s="566"/>
    </row>
    <row r="129" spans="1:2" ht="30" customHeight="1">
      <c r="A129" s="427" t="s">
        <v>4313</v>
      </c>
      <c r="B129" s="435">
        <f>COUNTIF(E10:P125,"&lt;=5")</f>
        <v>66</v>
      </c>
    </row>
    <row r="130" spans="1:2" ht="30" customHeight="1">
      <c r="A130" s="428" t="s">
        <v>4314</v>
      </c>
      <c r="B130" s="435">
        <f>COUNTIFS(E10:P125,"&gt;5",E10:P125,"&lt;=14")</f>
        <v>2</v>
      </c>
    </row>
    <row r="131" spans="1:2" ht="30" customHeight="1">
      <c r="A131" s="429" t="s">
        <v>4315</v>
      </c>
      <c r="B131" s="435">
        <f>COUNTIFS(E10:P125,"&gt;14",E10:P125,"&lt;=35")</f>
        <v>33</v>
      </c>
    </row>
    <row r="132" spans="1:2" ht="30" customHeight="1">
      <c r="A132" s="430" t="s">
        <v>4316</v>
      </c>
      <c r="B132" s="435">
        <f>COUNTIFS(E10:P125,"&gt;35",E10:P125,"&lt;=80")</f>
        <v>27</v>
      </c>
    </row>
    <row r="133" spans="1:2" ht="39" customHeight="1">
      <c r="A133" s="431" t="s">
        <v>4317</v>
      </c>
      <c r="B133" s="435">
        <f>COUNTIFS(E10:P125,"&gt;80",E10:P125,"&lt;=100")</f>
        <v>75</v>
      </c>
    </row>
    <row r="134" spans="1:2" ht="30" customHeight="1">
      <c r="A134" s="451" t="s">
        <v>4318</v>
      </c>
      <c r="B134" s="452">
        <f>COUNT(E10:P125)</f>
        <v>203</v>
      </c>
    </row>
    <row r="135" spans="1:2" ht="32.25" customHeight="1">
      <c r="A135" s="434" t="s">
        <v>4321</v>
      </c>
      <c r="B135" s="436">
        <f>B134-B129</f>
        <v>137</v>
      </c>
    </row>
    <row r="136" spans="1:2" ht="30" customHeight="1">
      <c r="A136" s="109"/>
    </row>
    <row r="137" spans="1:2" ht="30" customHeight="1">
      <c r="A137" s="109"/>
    </row>
    <row r="138" spans="1:2" ht="30" customHeight="1">
      <c r="A138" s="109"/>
    </row>
    <row r="139" spans="1:2" ht="30" customHeight="1">
      <c r="A139" s="109"/>
    </row>
    <row r="140" spans="1:2" ht="30" customHeight="1">
      <c r="A140" s="109"/>
    </row>
    <row r="141" spans="1:2" ht="30" customHeight="1">
      <c r="A141" s="109"/>
    </row>
    <row r="142" spans="1:2" ht="30" customHeight="1">
      <c r="A142" s="109"/>
    </row>
    <row r="143" spans="1:2" ht="30" customHeight="1">
      <c r="A143" s="109"/>
    </row>
    <row r="144" spans="1:2" ht="30" customHeight="1">
      <c r="A144" s="109"/>
    </row>
    <row r="145" spans="1:1" ht="30" customHeight="1">
      <c r="A145" s="109"/>
    </row>
    <row r="146" spans="1:1" ht="30" customHeight="1">
      <c r="A146" s="109"/>
    </row>
    <row r="147" spans="1:1" ht="30" customHeight="1">
      <c r="A147" s="109"/>
    </row>
    <row r="148" spans="1:1" ht="30" customHeight="1">
      <c r="A148" s="109"/>
    </row>
    <row r="149" spans="1:1" ht="30" customHeight="1">
      <c r="A149" s="109"/>
    </row>
    <row r="150" spans="1:1" ht="30" customHeight="1">
      <c r="A150" s="109"/>
    </row>
    <row r="151" spans="1:1" ht="30" customHeight="1">
      <c r="A151" s="109"/>
    </row>
    <row r="152" spans="1:1" ht="30" customHeight="1">
      <c r="A152" s="109"/>
    </row>
    <row r="153" spans="1:1" ht="30" customHeight="1">
      <c r="A153" s="109"/>
    </row>
    <row r="154" spans="1:1" ht="30" customHeight="1">
      <c r="A154" s="109"/>
    </row>
    <row r="155" spans="1:1" ht="30" customHeight="1">
      <c r="A155" s="109"/>
    </row>
    <row r="156" spans="1:1" ht="30" customHeight="1">
      <c r="A156" s="109"/>
    </row>
    <row r="157" spans="1:1" ht="30" customHeight="1">
      <c r="A157" s="109"/>
    </row>
    <row r="158" spans="1:1" ht="30" customHeight="1">
      <c r="A158" s="109"/>
    </row>
    <row r="159" spans="1:1" ht="30" customHeight="1">
      <c r="A159" s="109"/>
    </row>
    <row r="160" spans="1:1" ht="30" customHeight="1">
      <c r="A160" s="109"/>
    </row>
    <row r="161" spans="1:1" ht="30" customHeight="1">
      <c r="A161" s="109"/>
    </row>
    <row r="162" spans="1:1" ht="30" customHeight="1">
      <c r="A162" s="109"/>
    </row>
    <row r="163" spans="1:1" ht="30" customHeight="1">
      <c r="A163" s="109"/>
    </row>
    <row r="164" spans="1:1" ht="30" customHeight="1">
      <c r="A164" s="109"/>
    </row>
    <row r="165" spans="1:1" ht="30" customHeight="1">
      <c r="A165" s="109"/>
    </row>
    <row r="166" spans="1:1" ht="30" customHeight="1">
      <c r="A166" s="109"/>
    </row>
    <row r="167" spans="1:1" ht="30" customHeight="1">
      <c r="A167" s="109"/>
    </row>
    <row r="168" spans="1:1" ht="30" customHeight="1">
      <c r="A168" s="109"/>
    </row>
    <row r="169" spans="1:1" ht="30" customHeight="1">
      <c r="A169" s="109"/>
    </row>
    <row r="170" spans="1:1" ht="30" customHeight="1">
      <c r="A170" s="109"/>
    </row>
    <row r="171" spans="1:1" ht="30" customHeight="1">
      <c r="A171" s="109"/>
    </row>
    <row r="172" spans="1:1" ht="30" customHeight="1">
      <c r="A172" s="109"/>
    </row>
    <row r="173" spans="1:1" ht="30" customHeight="1">
      <c r="A173" s="109"/>
    </row>
    <row r="174" spans="1:1" ht="30" customHeight="1">
      <c r="A174" s="109"/>
    </row>
    <row r="175" spans="1:1" ht="30" customHeight="1">
      <c r="A175" s="109"/>
    </row>
    <row r="176" spans="1:1" ht="30" customHeight="1">
      <c r="A176" s="109"/>
    </row>
    <row r="177" spans="1:1" ht="30" customHeight="1">
      <c r="A177" s="109"/>
    </row>
    <row r="178" spans="1:1" ht="30" customHeight="1">
      <c r="A178" s="109"/>
    </row>
    <row r="179" spans="1:1" ht="30" customHeight="1">
      <c r="A179" s="109"/>
    </row>
    <row r="180" spans="1:1" ht="30" customHeight="1">
      <c r="A180" s="109"/>
    </row>
    <row r="181" spans="1:1" ht="30" customHeight="1">
      <c r="A181" s="109"/>
    </row>
    <row r="182" spans="1:1" ht="30" customHeight="1">
      <c r="A182" s="109"/>
    </row>
    <row r="183" spans="1:1" ht="30" customHeight="1">
      <c r="A183" s="109"/>
    </row>
    <row r="184" spans="1:1" ht="30" customHeight="1">
      <c r="A184" s="109"/>
    </row>
    <row r="185" spans="1:1" ht="30" customHeight="1">
      <c r="A185" s="109"/>
    </row>
    <row r="186" spans="1:1" ht="30" customHeight="1">
      <c r="A186" s="109"/>
    </row>
    <row r="187" spans="1:1" ht="30" customHeight="1">
      <c r="A187" s="109"/>
    </row>
    <row r="188" spans="1:1" ht="30" customHeight="1">
      <c r="A188" s="109"/>
    </row>
    <row r="189" spans="1:1" ht="30" customHeight="1">
      <c r="A189" s="109"/>
    </row>
    <row r="190" spans="1:1" ht="30" customHeight="1">
      <c r="A190" s="109"/>
    </row>
    <row r="191" spans="1:1" ht="30" customHeight="1">
      <c r="A191" s="109"/>
    </row>
    <row r="192" spans="1:1" ht="30" customHeight="1">
      <c r="A192" s="109"/>
    </row>
    <row r="193" spans="1:1" ht="30" customHeight="1">
      <c r="A193" s="109"/>
    </row>
    <row r="194" spans="1:1" ht="30" customHeight="1">
      <c r="A194" s="109"/>
    </row>
    <row r="195" spans="1:1" ht="30" customHeight="1">
      <c r="A195" s="109"/>
    </row>
    <row r="196" spans="1:1" ht="30" customHeight="1">
      <c r="A196" s="109"/>
    </row>
    <row r="197" spans="1:1" ht="30" customHeight="1">
      <c r="A197" s="109"/>
    </row>
    <row r="198" spans="1:1" ht="30" customHeight="1">
      <c r="A198" s="109"/>
    </row>
    <row r="199" spans="1:1" ht="30" customHeight="1">
      <c r="A199" s="109"/>
    </row>
    <row r="200" spans="1:1" ht="30" customHeight="1">
      <c r="A200" s="109"/>
    </row>
    <row r="201" spans="1:1" ht="30" customHeight="1">
      <c r="A201" s="109"/>
    </row>
    <row r="202" spans="1:1" ht="30" customHeight="1">
      <c r="A202" s="109"/>
    </row>
    <row r="203" spans="1:1" ht="30" customHeight="1">
      <c r="A203" s="109"/>
    </row>
    <row r="204" spans="1:1" ht="30" customHeight="1">
      <c r="A204" s="109"/>
    </row>
    <row r="205" spans="1:1" ht="30" customHeight="1">
      <c r="A205" s="109"/>
    </row>
    <row r="206" spans="1:1" ht="30" customHeight="1">
      <c r="A206" s="109"/>
    </row>
    <row r="207" spans="1:1" ht="30" customHeight="1">
      <c r="A207" s="109"/>
    </row>
    <row r="208" spans="1:1" ht="30" customHeight="1">
      <c r="A208" s="109"/>
    </row>
    <row r="209" spans="1:1" ht="30" customHeight="1">
      <c r="A209" s="109"/>
    </row>
    <row r="210" spans="1:1" ht="30" customHeight="1">
      <c r="A210" s="109"/>
    </row>
    <row r="211" spans="1:1" ht="30" customHeight="1">
      <c r="A211" s="109"/>
    </row>
    <row r="212" spans="1:1" ht="30" customHeight="1">
      <c r="A212" s="109"/>
    </row>
    <row r="213" spans="1:1" ht="30" customHeight="1">
      <c r="A213" s="109"/>
    </row>
    <row r="214" spans="1:1" ht="30" customHeight="1">
      <c r="A214" s="109"/>
    </row>
    <row r="215" spans="1:1" ht="30" customHeight="1">
      <c r="A215" s="109"/>
    </row>
    <row r="216" spans="1:1" ht="30" customHeight="1">
      <c r="A216" s="109"/>
    </row>
    <row r="217" spans="1:1" ht="30" customHeight="1">
      <c r="A217" s="109"/>
    </row>
    <row r="218" spans="1:1" ht="30" customHeight="1">
      <c r="A218" s="109"/>
    </row>
    <row r="219" spans="1:1" ht="30" customHeight="1">
      <c r="A219" s="109"/>
    </row>
    <row r="220" spans="1:1" ht="30" customHeight="1">
      <c r="A220" s="109"/>
    </row>
    <row r="221" spans="1:1" ht="30" customHeight="1">
      <c r="A221" s="109"/>
    </row>
    <row r="222" spans="1:1" ht="30" customHeight="1">
      <c r="A222" s="109"/>
    </row>
    <row r="223" spans="1:1" ht="30" customHeight="1">
      <c r="A223" s="109"/>
    </row>
    <row r="224" spans="1:1" ht="30" customHeight="1">
      <c r="A224" s="109"/>
    </row>
    <row r="225" spans="1:1" ht="30" customHeight="1">
      <c r="A225" s="109"/>
    </row>
    <row r="226" spans="1:1" ht="30" customHeight="1">
      <c r="A226" s="109"/>
    </row>
    <row r="227" spans="1:1" ht="30" customHeight="1">
      <c r="A227" s="109"/>
    </row>
    <row r="228" spans="1:1" ht="30" customHeight="1">
      <c r="A228" s="109"/>
    </row>
    <row r="229" spans="1:1" ht="30" customHeight="1">
      <c r="A229" s="109"/>
    </row>
    <row r="230" spans="1:1" ht="30" customHeight="1">
      <c r="A230" s="109"/>
    </row>
    <row r="231" spans="1:1" ht="30" customHeight="1">
      <c r="A231" s="109"/>
    </row>
    <row r="232" spans="1:1" ht="30" customHeight="1">
      <c r="A232" s="109"/>
    </row>
    <row r="233" spans="1:1" ht="30" customHeight="1">
      <c r="A233" s="109"/>
    </row>
    <row r="234" spans="1:1" ht="30" customHeight="1">
      <c r="A234" s="109"/>
    </row>
    <row r="235" spans="1:1" ht="30" customHeight="1">
      <c r="A235" s="109"/>
    </row>
    <row r="236" spans="1:1" ht="30" customHeight="1">
      <c r="A236" s="109"/>
    </row>
    <row r="237" spans="1:1" ht="30" customHeight="1">
      <c r="A237" s="109"/>
    </row>
    <row r="238" spans="1:1" ht="30" customHeight="1">
      <c r="A238" s="109"/>
    </row>
    <row r="239" spans="1:1" ht="30" customHeight="1">
      <c r="A239" s="109"/>
    </row>
    <row r="240" spans="1:1" ht="30" customHeight="1">
      <c r="A240" s="109"/>
    </row>
    <row r="241" spans="1:1" ht="30" customHeight="1">
      <c r="A241" s="109"/>
    </row>
    <row r="242" spans="1:1" ht="30" customHeight="1">
      <c r="A242" s="109"/>
    </row>
    <row r="243" spans="1:1" ht="30" customHeight="1">
      <c r="A243" s="109"/>
    </row>
    <row r="244" spans="1:1" ht="30" customHeight="1">
      <c r="A244" s="109"/>
    </row>
    <row r="245" spans="1:1" ht="30" customHeight="1">
      <c r="A245" s="109"/>
    </row>
    <row r="246" spans="1:1" ht="30" customHeight="1">
      <c r="A246" s="109"/>
    </row>
    <row r="247" spans="1:1" ht="30" customHeight="1">
      <c r="A247" s="109"/>
    </row>
    <row r="248" spans="1:1" ht="30" customHeight="1">
      <c r="A248" s="109"/>
    </row>
    <row r="249" spans="1:1" ht="30" customHeight="1">
      <c r="A249" s="109"/>
    </row>
    <row r="250" spans="1:1" ht="30" customHeight="1">
      <c r="A250" s="109"/>
    </row>
    <row r="251" spans="1:1" ht="30" customHeight="1">
      <c r="A251" s="109"/>
    </row>
    <row r="252" spans="1:1" ht="30" customHeight="1">
      <c r="A252" s="109"/>
    </row>
    <row r="253" spans="1:1" ht="30" customHeight="1">
      <c r="A253" s="109"/>
    </row>
    <row r="254" spans="1:1" ht="30" customHeight="1">
      <c r="A254" s="109"/>
    </row>
    <row r="255" spans="1:1" ht="30" customHeight="1">
      <c r="A255" s="109"/>
    </row>
    <row r="256" spans="1:1" ht="30" customHeight="1">
      <c r="A256" s="109"/>
    </row>
    <row r="257" spans="1:19" ht="30" customHeight="1">
      <c r="A257" s="109"/>
    </row>
    <row r="258" spans="1:19" ht="30" customHeight="1">
      <c r="A258" s="109"/>
    </row>
    <row r="259" spans="1:19" ht="30" customHeight="1">
      <c r="A259" s="109"/>
    </row>
    <row r="260" spans="1:19" ht="30" customHeight="1">
      <c r="A260" s="109"/>
    </row>
    <row r="261" spans="1:19" ht="30" customHeight="1">
      <c r="A261" s="109"/>
    </row>
    <row r="262" spans="1:19" ht="30" customHeight="1">
      <c r="A262" s="109"/>
    </row>
    <row r="263" spans="1:19" ht="30" customHeight="1">
      <c r="A263" s="109"/>
    </row>
    <row r="264" spans="1:19" ht="30" customHeight="1">
      <c r="A264" s="109"/>
    </row>
    <row r="265" spans="1:19" ht="30" customHeight="1">
      <c r="A265" s="109"/>
    </row>
    <row r="266" spans="1:19" ht="30" customHeight="1">
      <c r="A266" s="109"/>
    </row>
    <row r="267" spans="1:19" ht="30" customHeight="1">
      <c r="A267" s="109"/>
    </row>
    <row r="268" spans="1:19" ht="30" customHeight="1">
      <c r="A268" s="109"/>
    </row>
    <row r="269" spans="1:19" ht="30" customHeight="1">
      <c r="A269" s="74" t="s">
        <v>125</v>
      </c>
      <c r="B269" s="94" t="s">
        <v>459</v>
      </c>
      <c r="C269" s="94" t="s">
        <v>460</v>
      </c>
      <c r="D269" s="74">
        <v>146</v>
      </c>
      <c r="E269" s="48"/>
      <c r="F269" s="48"/>
      <c r="G269" s="48">
        <v>21</v>
      </c>
      <c r="H269" s="48">
        <v>21</v>
      </c>
      <c r="I269" s="48">
        <v>21</v>
      </c>
      <c r="J269" s="48">
        <v>21</v>
      </c>
      <c r="K269" s="48">
        <v>38.700000000000003</v>
      </c>
      <c r="L269" s="48"/>
      <c r="M269" s="48">
        <v>38.700000000000003</v>
      </c>
      <c r="N269" s="48"/>
      <c r="O269" s="48"/>
      <c r="P269" s="48"/>
      <c r="Q269" s="47">
        <v>26.9</v>
      </c>
      <c r="R269" s="56" t="e">
        <f>#N/A</f>
        <v>#N/A</v>
      </c>
      <c r="S269" s="55" t="e">
        <f>#N/A</f>
        <v>#N/A</v>
      </c>
    </row>
    <row r="270" spans="1:19" ht="34.5" customHeight="1">
      <c r="A270" s="74" t="s">
        <v>125</v>
      </c>
      <c r="B270" s="94" t="s">
        <v>461</v>
      </c>
      <c r="C270" s="94" t="s">
        <v>460</v>
      </c>
      <c r="D270" s="74">
        <v>138</v>
      </c>
      <c r="E270" s="47"/>
      <c r="F270" s="47"/>
      <c r="G270" s="47"/>
      <c r="H270" s="47"/>
      <c r="I270" s="47"/>
      <c r="J270" s="47">
        <v>62.9</v>
      </c>
      <c r="K270" s="47">
        <v>38.700000000000003</v>
      </c>
      <c r="L270" s="47"/>
      <c r="M270" s="47">
        <v>38.700000000000003</v>
      </c>
      <c r="N270" s="47"/>
      <c r="O270" s="47"/>
      <c r="P270" s="47"/>
      <c r="Q270" s="47">
        <v>46.8</v>
      </c>
      <c r="R270" s="56" t="e">
        <f>#N/A</f>
        <v>#N/A</v>
      </c>
      <c r="S270" s="55" t="e">
        <f>#N/A</f>
        <v>#N/A</v>
      </c>
    </row>
    <row r="271" spans="1:19" ht="30" customHeight="1">
      <c r="A271" s="74" t="s">
        <v>125</v>
      </c>
      <c r="B271" s="95" t="s">
        <v>463</v>
      </c>
      <c r="C271" s="95" t="s">
        <v>462</v>
      </c>
      <c r="D271" s="74">
        <v>1070</v>
      </c>
      <c r="E271" s="48">
        <v>0</v>
      </c>
      <c r="F271" s="48">
        <v>0</v>
      </c>
      <c r="G271" s="48">
        <v>0</v>
      </c>
      <c r="H271" s="48"/>
      <c r="I271" s="48">
        <v>0</v>
      </c>
      <c r="J271" s="48">
        <v>0</v>
      </c>
      <c r="K271" s="48">
        <v>0</v>
      </c>
      <c r="L271" s="48">
        <v>0</v>
      </c>
      <c r="M271" s="48">
        <v>0</v>
      </c>
      <c r="N271" s="48">
        <v>3.9</v>
      </c>
      <c r="O271" s="48">
        <v>0</v>
      </c>
      <c r="P271" s="48">
        <v>0</v>
      </c>
      <c r="Q271" s="47">
        <v>0.4</v>
      </c>
      <c r="R271" s="56" t="e">
        <f>#N/A</f>
        <v>#N/A</v>
      </c>
      <c r="S271" s="55" t="e">
        <f>#N/A</f>
        <v>#N/A</v>
      </c>
    </row>
    <row r="272" spans="1:19" ht="31.5" customHeight="1">
      <c r="A272" s="74" t="s">
        <v>125</v>
      </c>
      <c r="B272" s="95" t="s">
        <v>464</v>
      </c>
      <c r="C272" s="95" t="s">
        <v>462</v>
      </c>
      <c r="D272" s="74">
        <v>2530</v>
      </c>
      <c r="E272" s="48">
        <v>0</v>
      </c>
      <c r="F272" s="48"/>
      <c r="G272" s="48">
        <v>0</v>
      </c>
      <c r="H272" s="48">
        <v>19.399999999999999</v>
      </c>
      <c r="I272" s="48">
        <v>0</v>
      </c>
      <c r="J272" s="48">
        <v>0</v>
      </c>
      <c r="K272" s="48">
        <v>0</v>
      </c>
      <c r="L272" s="48">
        <v>0</v>
      </c>
      <c r="M272" s="48">
        <v>0</v>
      </c>
      <c r="N272" s="48">
        <v>0</v>
      </c>
      <c r="O272" s="48">
        <v>0</v>
      </c>
      <c r="P272" s="48">
        <v>0</v>
      </c>
      <c r="Q272" s="47">
        <v>1.8</v>
      </c>
      <c r="R272" s="56" t="e">
        <f>#N/A</f>
        <v>#N/A</v>
      </c>
      <c r="S272" s="55" t="e">
        <f>#N/A</f>
        <v>#N/A</v>
      </c>
    </row>
    <row r="273" spans="1:19" ht="27.75" customHeight="1">
      <c r="A273" s="74" t="s">
        <v>125</v>
      </c>
      <c r="B273" s="94" t="s">
        <v>465</v>
      </c>
      <c r="C273" s="94" t="s">
        <v>466</v>
      </c>
      <c r="D273" s="87">
        <v>537</v>
      </c>
      <c r="E273" s="83"/>
      <c r="F273" s="83"/>
      <c r="G273" s="83"/>
      <c r="H273" s="83"/>
      <c r="I273" s="83"/>
      <c r="J273" s="83"/>
      <c r="K273" s="83"/>
      <c r="L273" s="83"/>
      <c r="M273" s="83"/>
      <c r="N273" s="83"/>
      <c r="O273" s="83"/>
      <c r="P273" s="83"/>
      <c r="Q273" s="47" t="e">
        <v>#DIV/0!</v>
      </c>
      <c r="R273" s="56" t="e">
        <f>#N/A</f>
        <v>#N/A</v>
      </c>
      <c r="S273" s="55" t="e">
        <f>#N/A</f>
        <v>#N/A</v>
      </c>
    </row>
    <row r="274" spans="1:19" ht="27.75" customHeight="1">
      <c r="A274" s="74" t="s">
        <v>125</v>
      </c>
      <c r="B274" s="94" t="s">
        <v>467</v>
      </c>
      <c r="C274" s="94" t="s">
        <v>468</v>
      </c>
      <c r="D274" s="87">
        <v>127</v>
      </c>
      <c r="E274" s="83"/>
      <c r="F274" s="83"/>
      <c r="G274" s="83"/>
      <c r="H274" s="83"/>
      <c r="I274" s="83"/>
      <c r="J274" s="83"/>
      <c r="K274" s="83"/>
      <c r="L274" s="83"/>
      <c r="M274" s="83"/>
      <c r="N274" s="83"/>
      <c r="O274" s="83"/>
      <c r="P274" s="83"/>
      <c r="Q274" s="47" t="e">
        <v>#DIV/0!</v>
      </c>
      <c r="R274" s="56" t="e">
        <f>#N/A</f>
        <v>#N/A</v>
      </c>
      <c r="S274" s="55" t="e">
        <f>#N/A</f>
        <v>#N/A</v>
      </c>
    </row>
    <row r="275" spans="1:19" ht="31.5" customHeight="1">
      <c r="A275" s="74" t="s">
        <v>125</v>
      </c>
      <c r="B275" s="94" t="s">
        <v>469</v>
      </c>
      <c r="C275" s="94" t="s">
        <v>468</v>
      </c>
      <c r="D275" s="87">
        <v>180</v>
      </c>
      <c r="E275" s="83"/>
      <c r="F275" s="83"/>
      <c r="G275" s="83"/>
      <c r="H275" s="83"/>
      <c r="I275" s="83"/>
      <c r="J275" s="83"/>
      <c r="K275" s="83"/>
      <c r="L275" s="83"/>
      <c r="M275" s="83"/>
      <c r="N275" s="83"/>
      <c r="O275" s="83"/>
      <c r="P275" s="83"/>
      <c r="Q275" s="47" t="e">
        <v>#DIV/0!</v>
      </c>
      <c r="R275" s="56" t="e">
        <f>#N/A</f>
        <v>#N/A</v>
      </c>
      <c r="S275" s="55" t="e">
        <f>#N/A</f>
        <v>#N/A</v>
      </c>
    </row>
    <row r="276" spans="1:19" ht="32.25" customHeight="1">
      <c r="A276" s="74" t="s">
        <v>125</v>
      </c>
      <c r="B276" s="94" t="s">
        <v>470</v>
      </c>
      <c r="C276" s="96" t="s">
        <v>471</v>
      </c>
      <c r="D276" s="87">
        <v>410</v>
      </c>
      <c r="E276" s="83"/>
      <c r="F276" s="83"/>
      <c r="G276" s="83"/>
      <c r="H276" s="83"/>
      <c r="I276" s="83"/>
      <c r="J276" s="83"/>
      <c r="K276" s="83"/>
      <c r="L276" s="83"/>
      <c r="M276" s="83"/>
      <c r="N276" s="83"/>
      <c r="O276" s="83"/>
      <c r="P276" s="83"/>
      <c r="Q276" s="47" t="e">
        <v>#DIV/0!</v>
      </c>
      <c r="R276" s="56" t="e">
        <f>#N/A</f>
        <v>#N/A</v>
      </c>
      <c r="S276" s="55" t="e">
        <f>#N/A</f>
        <v>#N/A</v>
      </c>
    </row>
    <row r="277" spans="1:19" ht="30" customHeight="1">
      <c r="A277" s="74" t="s">
        <v>125</v>
      </c>
      <c r="B277" s="94" t="s">
        <v>472</v>
      </c>
      <c r="C277" s="96" t="s">
        <v>468</v>
      </c>
      <c r="D277" s="87">
        <v>185</v>
      </c>
      <c r="E277" s="83"/>
      <c r="F277" s="83"/>
      <c r="G277" s="83"/>
      <c r="H277" s="83"/>
      <c r="I277" s="83"/>
      <c r="J277" s="83"/>
      <c r="K277" s="83"/>
      <c r="L277" s="83"/>
      <c r="M277" s="83"/>
      <c r="N277" s="83"/>
      <c r="O277" s="83"/>
      <c r="P277" s="83"/>
      <c r="Q277" s="47" t="e">
        <v>#DIV/0!</v>
      </c>
      <c r="R277" s="56" t="e">
        <f>#N/A</f>
        <v>#N/A</v>
      </c>
      <c r="S277" s="55" t="e">
        <f>#N/A</f>
        <v>#N/A</v>
      </c>
    </row>
    <row r="278" spans="1:19" ht="14.25">
      <c r="Q278" s="86"/>
    </row>
    <row r="279" spans="1:19" ht="14.25">
      <c r="Q279" s="85"/>
    </row>
    <row r="280" spans="1:19" ht="14.25">
      <c r="Q280" s="85"/>
    </row>
    <row r="281" spans="1:19" ht="14.25">
      <c r="Q281" s="85"/>
    </row>
    <row r="282" spans="1:19" ht="14.25">
      <c r="Q282" s="85"/>
    </row>
    <row r="283" spans="1:19" ht="14.25">
      <c r="Q283" s="85"/>
    </row>
    <row r="284" spans="1:19" ht="14.25" hidden="1">
      <c r="Q284" s="84">
        <v>97.9</v>
      </c>
    </row>
    <row r="285" spans="1:19" ht="14.25" hidden="1">
      <c r="Q285" s="80" t="e">
        <v>#DIV/0!</v>
      </c>
    </row>
    <row r="286" spans="1:19" ht="14.25" hidden="1">
      <c r="Q286" s="80" t="e">
        <v>#DIV/0!</v>
      </c>
    </row>
    <row r="287" spans="1:19" hidden="1"/>
    <row r="288" spans="1:19"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spans="17:19" hidden="1"/>
    <row r="434" spans="17:19" hidden="1"/>
    <row r="435" spans="17:19" ht="15" hidden="1">
      <c r="Q435" s="47" t="e">
        <v>#DIV/0!</v>
      </c>
      <c r="R435" s="56" t="e">
        <f>IF(Q435&lt;5,"SI","NO")</f>
        <v>#DIV/0!</v>
      </c>
      <c r="S435" s="55" t="e">
        <f>IF(Q435&lt;5,"Sin Riesgo",IF(Q435 &lt;=14,"Bajo",IF(Q435&lt;=35,"Medio",IF(Q435&lt;=80,"Alto","Inviable Sanitariamente"))))</f>
        <v>#DIV/0!</v>
      </c>
    </row>
    <row r="436" spans="17:19" ht="15" hidden="1">
      <c r="Q436" s="47" t="e">
        <v>#DIV/0!</v>
      </c>
      <c r="R436" s="56" t="e">
        <f>IF(Q436&lt;5,"SI","NO")</f>
        <v>#DIV/0!</v>
      </c>
      <c r="S436" s="55" t="e">
        <f>IF(Q436&lt;5,"Sin Riesgo",IF(Q436 &lt;=14,"Bajo",IF(Q436&lt;=35,"Medio",IF(Q436&lt;=80,"Alto","Inviable Sanitariamente"))))</f>
        <v>#DIV/0!</v>
      </c>
    </row>
    <row r="437" spans="17:19" ht="15" hidden="1">
      <c r="Q437" s="47" t="e">
        <v>#DIV/0!</v>
      </c>
      <c r="R437" s="56" t="e">
        <f>IF(Q437&lt;5,"SI","NO")</f>
        <v>#DIV/0!</v>
      </c>
      <c r="S437" s="55" t="e">
        <f>IF(Q437&lt;5,"Sin Riesgo",IF(Q437 &lt;=14,"Bajo",IF(Q437&lt;=35,"Medio",IF(Q437&lt;=80,"Alto","Inviable Sanitariamente"))))</f>
        <v>#DIV/0!</v>
      </c>
    </row>
    <row r="438" spans="17:19" ht="15" hidden="1">
      <c r="Q438" s="47" t="e">
        <v>#DIV/0!</v>
      </c>
      <c r="R438" s="56" t="e">
        <f>IF(Q438&lt;5,"SI","NO")</f>
        <v>#DIV/0!</v>
      </c>
      <c r="S438" s="55" t="e">
        <f>IF(Q438&lt;5,"Sin Riesgo",IF(Q438 &lt;=14,"Bajo",IF(Q438&lt;=35,"Medio",IF(Q438&lt;=80,"Alto","Inviable Sanitariamente"))))</f>
        <v>#DIV/0!</v>
      </c>
    </row>
    <row r="439" spans="17:19" ht="15" hidden="1">
      <c r="Q439" s="47" t="e">
        <v>#DIV/0!</v>
      </c>
      <c r="R439" s="56" t="e">
        <f>IF(Q439&lt;5,"SI","NO")</f>
        <v>#DIV/0!</v>
      </c>
      <c r="S439" s="55" t="e">
        <f>IF(Q439&lt;5,"Sin Riesgo",IF(Q439 &lt;=14,"Bajo",IF(Q439&lt;=35,"Medio",IF(Q439&lt;=80,"Alto","Inviable Sanitariamente"))))</f>
        <v>#DIV/0!</v>
      </c>
    </row>
    <row r="440" spans="17:19"/>
    <row r="441" spans="17:19"/>
    <row r="442" spans="17:19"/>
    <row r="443" spans="17:19"/>
    <row r="444" spans="17:19"/>
    <row r="445" spans="17:19"/>
    <row r="446" spans="17:19"/>
    <row r="447" spans="17:19"/>
    <row r="448" spans="17: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hidden="1"/>
    <row r="490" hidden="1"/>
    <row r="491" hidden="1"/>
    <row r="492" hidden="1"/>
    <row r="493" hidden="1"/>
    <row r="494" hidden="1"/>
    <row r="495" hidden="1"/>
  </sheetData>
  <autoFilter ref="A9:W125">
    <sortState ref="A11:W121">
      <sortCondition ref="A9:A121"/>
    </sortState>
  </autoFilter>
  <customSheetViews>
    <customSheetView guid="{45C8AF51-29EC-46A5-AB7F-1F0634E55D82}" scale="60" showAutoFilter="1" hiddenRows="1" hiddenColumns="1">
      <selection activeCell="C135" sqref="C135"/>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1:W121">
          <sortCondition ref="A9:A121"/>
        </sortState>
      </autoFilter>
    </customSheetView>
    <customSheetView guid="{FCC3B493-4306-43B2-9C73-76324485DD47}" scale="60" showAutoFilter="1" hiddenRows="1" hiddenColumns="1" topLeftCell="A97">
      <selection activeCell="F126" sqref="F126"/>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1:W121">
          <sortCondition ref="A9:A121"/>
        </sortState>
      </autoFilter>
    </customSheetView>
    <customSheetView guid="{AEDE1BDB-8710-4CDA-8488-31F49D423ACE}" scale="60" showAutoFilter="1" hiddenRows="1" hiddenColumns="1" topLeftCell="G100">
      <selection activeCell="G118" sqref="A118:XFD12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122"/>
    </customSheetView>
    <customSheetView guid="{75DD7674-E7DE-4BB1-A36D-76AA33452CB3}" scale="60" showAutoFilter="1" hiddenRows="1" hiddenColumns="1">
      <selection activeCell="A8" sqref="A8:A9"/>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121">
        <sortState ref="A11:W121">
          <sortCondition ref="A9:A121"/>
        </sortState>
      </autoFilter>
    </customSheetView>
  </customSheetViews>
  <mergeCells count="21">
    <mergeCell ref="C128:S128"/>
    <mergeCell ref="A8:A9"/>
    <mergeCell ref="S8:S9"/>
    <mergeCell ref="R8:R9"/>
    <mergeCell ref="D8:D9"/>
    <mergeCell ref="B8:B9"/>
    <mergeCell ref="C8:C9"/>
    <mergeCell ref="E8:P8"/>
    <mergeCell ref="Q8:Q9"/>
    <mergeCell ref="S5:S6"/>
    <mergeCell ref="B1:D1"/>
    <mergeCell ref="B2:D2"/>
    <mergeCell ref="B4:D4"/>
    <mergeCell ref="B5:B6"/>
    <mergeCell ref="C5:C6"/>
    <mergeCell ref="D5:D6"/>
    <mergeCell ref="E5:G6"/>
    <mergeCell ref="H5:J6"/>
    <mergeCell ref="K5:M6"/>
    <mergeCell ref="N5:P6"/>
    <mergeCell ref="Q5:R6"/>
  </mergeCells>
  <phoneticPr fontId="2" type="noConversion"/>
  <conditionalFormatting sqref="R25 R28 R269:R272 R31:R41 R116 R11:R18 R60:R99 R102:R109 R43">
    <cfRule type="cellIs" dxfId="7624" priority="2377" stopIfTrue="1" operator="equal">
      <formula>"NO"</formula>
    </cfRule>
  </conditionalFormatting>
  <conditionalFormatting sqref="R96:R99">
    <cfRule type="cellIs" dxfId="7623" priority="2336" stopIfTrue="1" operator="equal">
      <formula>"NO"</formula>
    </cfRule>
  </conditionalFormatting>
  <conditionalFormatting sqref="R96:R99">
    <cfRule type="cellIs" dxfId="7622" priority="2334" stopIfTrue="1" operator="equal">
      <formula>"NO"</formula>
    </cfRule>
  </conditionalFormatting>
  <conditionalFormatting sqref="R19">
    <cfRule type="cellIs" dxfId="7621" priority="2108" stopIfTrue="1" operator="equal">
      <formula>"NO"</formula>
    </cfRule>
  </conditionalFormatting>
  <conditionalFormatting sqref="R19">
    <cfRule type="cellIs" dxfId="7620" priority="2107" stopIfTrue="1" operator="equal">
      <formula>"NO"</formula>
    </cfRule>
  </conditionalFormatting>
  <conditionalFormatting sqref="R19">
    <cfRule type="cellIs" dxfId="7619" priority="2105" stopIfTrue="1" operator="equal">
      <formula>"NO"</formula>
    </cfRule>
  </conditionalFormatting>
  <conditionalFormatting sqref="R24">
    <cfRule type="cellIs" dxfId="7618" priority="2082" stopIfTrue="1" operator="equal">
      <formula>"NO"</formula>
    </cfRule>
  </conditionalFormatting>
  <conditionalFormatting sqref="R24">
    <cfRule type="cellIs" dxfId="7617" priority="2081" stopIfTrue="1" operator="equal">
      <formula>"NO"</formula>
    </cfRule>
  </conditionalFormatting>
  <conditionalFormatting sqref="R24">
    <cfRule type="cellIs" dxfId="7616" priority="2079" stopIfTrue="1" operator="equal">
      <formula>"NO"</formula>
    </cfRule>
  </conditionalFormatting>
  <conditionalFormatting sqref="R23">
    <cfRule type="cellIs" dxfId="7615" priority="2056" stopIfTrue="1" operator="equal">
      <formula>"NO"</formula>
    </cfRule>
  </conditionalFormatting>
  <conditionalFormatting sqref="R23">
    <cfRule type="cellIs" dxfId="7614" priority="2055" stopIfTrue="1" operator="equal">
      <formula>"NO"</formula>
    </cfRule>
  </conditionalFormatting>
  <conditionalFormatting sqref="R23">
    <cfRule type="cellIs" dxfId="7613" priority="2053" stopIfTrue="1" operator="equal">
      <formula>"NO"</formula>
    </cfRule>
  </conditionalFormatting>
  <conditionalFormatting sqref="R20">
    <cfRule type="cellIs" dxfId="7612" priority="2030" stopIfTrue="1" operator="equal">
      <formula>"NO"</formula>
    </cfRule>
  </conditionalFormatting>
  <conditionalFormatting sqref="R20">
    <cfRule type="cellIs" dxfId="7611" priority="2029" stopIfTrue="1" operator="equal">
      <formula>"NO"</formula>
    </cfRule>
  </conditionalFormatting>
  <conditionalFormatting sqref="R20">
    <cfRule type="cellIs" dxfId="7610" priority="2027" stopIfTrue="1" operator="equal">
      <formula>"NO"</formula>
    </cfRule>
  </conditionalFormatting>
  <conditionalFormatting sqref="R21">
    <cfRule type="cellIs" dxfId="7609" priority="2004" stopIfTrue="1" operator="equal">
      <formula>"NO"</formula>
    </cfRule>
  </conditionalFormatting>
  <conditionalFormatting sqref="R21">
    <cfRule type="cellIs" dxfId="7608" priority="2003" stopIfTrue="1" operator="equal">
      <formula>"NO"</formula>
    </cfRule>
  </conditionalFormatting>
  <conditionalFormatting sqref="R21">
    <cfRule type="cellIs" dxfId="7607" priority="2001" stopIfTrue="1" operator="equal">
      <formula>"NO"</formula>
    </cfRule>
  </conditionalFormatting>
  <conditionalFormatting sqref="R22">
    <cfRule type="cellIs" dxfId="7606" priority="1978" stopIfTrue="1" operator="equal">
      <formula>"NO"</formula>
    </cfRule>
  </conditionalFormatting>
  <conditionalFormatting sqref="R22">
    <cfRule type="cellIs" dxfId="7605" priority="1977" stopIfTrue="1" operator="equal">
      <formula>"NO"</formula>
    </cfRule>
  </conditionalFormatting>
  <conditionalFormatting sqref="R22">
    <cfRule type="cellIs" dxfId="7604" priority="1975" stopIfTrue="1" operator="equal">
      <formula>"NO"</formula>
    </cfRule>
  </conditionalFormatting>
  <conditionalFormatting sqref="R27">
    <cfRule type="cellIs" dxfId="7603" priority="1926" stopIfTrue="1" operator="equal">
      <formula>"NO"</formula>
    </cfRule>
  </conditionalFormatting>
  <conditionalFormatting sqref="R27">
    <cfRule type="cellIs" dxfId="7602" priority="1925" stopIfTrue="1" operator="equal">
      <formula>"NO"</formula>
    </cfRule>
  </conditionalFormatting>
  <conditionalFormatting sqref="R27">
    <cfRule type="cellIs" dxfId="7601" priority="1923" stopIfTrue="1" operator="equal">
      <formula>"NO"</formula>
    </cfRule>
  </conditionalFormatting>
  <conditionalFormatting sqref="R29">
    <cfRule type="cellIs" dxfId="7600" priority="1900" stopIfTrue="1" operator="equal">
      <formula>"NO"</formula>
    </cfRule>
  </conditionalFormatting>
  <conditionalFormatting sqref="R29">
    <cfRule type="cellIs" dxfId="7599" priority="1899" stopIfTrue="1" operator="equal">
      <formula>"NO"</formula>
    </cfRule>
  </conditionalFormatting>
  <conditionalFormatting sqref="R29">
    <cfRule type="cellIs" dxfId="7598" priority="1897" stopIfTrue="1" operator="equal">
      <formula>"NO"</formula>
    </cfRule>
  </conditionalFormatting>
  <conditionalFormatting sqref="R26">
    <cfRule type="cellIs" dxfId="7597" priority="1874" stopIfTrue="1" operator="equal">
      <formula>"NO"</formula>
    </cfRule>
  </conditionalFormatting>
  <conditionalFormatting sqref="R26">
    <cfRule type="cellIs" dxfId="7596" priority="1873" stopIfTrue="1" operator="equal">
      <formula>"NO"</formula>
    </cfRule>
  </conditionalFormatting>
  <conditionalFormatting sqref="R26">
    <cfRule type="cellIs" dxfId="7595" priority="1871" stopIfTrue="1" operator="equal">
      <formula>"NO"</formula>
    </cfRule>
  </conditionalFormatting>
  <conditionalFormatting sqref="R30">
    <cfRule type="cellIs" dxfId="7594" priority="1848" stopIfTrue="1" operator="equal">
      <formula>"NO"</formula>
    </cfRule>
  </conditionalFormatting>
  <conditionalFormatting sqref="R30">
    <cfRule type="cellIs" dxfId="7593" priority="1847" stopIfTrue="1" operator="equal">
      <formula>"NO"</formula>
    </cfRule>
  </conditionalFormatting>
  <conditionalFormatting sqref="R30">
    <cfRule type="cellIs" dxfId="7592" priority="1845" stopIfTrue="1" operator="equal">
      <formula>"NO"</formula>
    </cfRule>
  </conditionalFormatting>
  <conditionalFormatting sqref="S269:S270 S126">
    <cfRule type="cellIs" dxfId="7591" priority="1585" stopIfTrue="1" operator="equal">
      <formula>"INVIABLE SANITARIAMENTE"</formula>
    </cfRule>
  </conditionalFormatting>
  <conditionalFormatting sqref="S269:S270 S126">
    <cfRule type="containsText" dxfId="7590" priority="1580" stopIfTrue="1" operator="containsText" text="INVIABLE SANITARIAMENTE">
      <formula>NOT(ISERROR(SEARCH("INVIABLE SANITARIAMENTE",S126)))</formula>
    </cfRule>
    <cfRule type="containsText" dxfId="7589" priority="1581" stopIfTrue="1" operator="containsText" text="ALTO">
      <formula>NOT(ISERROR(SEARCH("ALTO",S126)))</formula>
    </cfRule>
    <cfRule type="containsText" dxfId="7588" priority="1582" stopIfTrue="1" operator="containsText" text="MEDIO">
      <formula>NOT(ISERROR(SEARCH("MEDIO",S126)))</formula>
    </cfRule>
    <cfRule type="containsText" dxfId="7587" priority="1583" stopIfTrue="1" operator="containsText" text="BAJO">
      <formula>NOT(ISERROR(SEARCH("BAJO",S126)))</formula>
    </cfRule>
    <cfRule type="containsText" dxfId="7586" priority="1584" stopIfTrue="1" operator="containsText" text="SIN RIESGO">
      <formula>NOT(ISERROR(SEARCH("SIN RIESGO",S126)))</formula>
    </cfRule>
  </conditionalFormatting>
  <conditionalFormatting sqref="S269:S270 S126">
    <cfRule type="containsText" dxfId="7585" priority="1579" stopIfTrue="1" operator="containsText" text="SIN RIESGO">
      <formula>NOT(ISERROR(SEARCH("SIN RIESGO",S126)))</formula>
    </cfRule>
  </conditionalFormatting>
  <conditionalFormatting sqref="E98:H98 E61:I62 F97:J97 F99:J99 J98 E107:P107 P97:Q97 I100:K100 E48:Q48 E50:Q50 E68:Q69 Q70 Q49 Q66:Q67 E270:P270 Q269:Q272 Q51:Q57 E60:Q60 L61:Q64 E63:J64 E100:G100 M100:O100 P98:P100 E32 Q76:Q96 E71:Q75 Q11:Q41 E65:Q65 Q98:Q119 Q43:Q47">
    <cfRule type="containsBlanks" dxfId="7584" priority="1572" stopIfTrue="1">
      <formula>LEN(TRIM(E11))=0</formula>
    </cfRule>
    <cfRule type="cellIs" dxfId="7583" priority="1573" stopIfTrue="1" operator="between">
      <formula>80.1</formula>
      <formula>100</formula>
    </cfRule>
    <cfRule type="cellIs" dxfId="7582" priority="1574" stopIfTrue="1" operator="between">
      <formula>35.1</formula>
      <formula>80</formula>
    </cfRule>
    <cfRule type="cellIs" dxfId="7581" priority="1575" stopIfTrue="1" operator="between">
      <formula>14.1</formula>
      <formula>35</formula>
    </cfRule>
    <cfRule type="cellIs" dxfId="7580" priority="1576" stopIfTrue="1" operator="between">
      <formula>5.1</formula>
      <formula>14</formula>
    </cfRule>
    <cfRule type="cellIs" dxfId="7579" priority="1577" stopIfTrue="1" operator="between">
      <formula>0</formula>
      <formula>5</formula>
    </cfRule>
    <cfRule type="containsBlanks" dxfId="7578" priority="1578" stopIfTrue="1">
      <formula>LEN(TRIM(E11))=0</formula>
    </cfRule>
  </conditionalFormatting>
  <conditionalFormatting sqref="Q30 Q34 Q37:Q41 Q43">
    <cfRule type="containsBlanks" dxfId="7577" priority="1565" stopIfTrue="1">
      <formula>LEN(TRIM(Q30))=0</formula>
    </cfRule>
    <cfRule type="cellIs" dxfId="7576" priority="1566" stopIfTrue="1" operator="between">
      <formula>80.1</formula>
      <formula>100</formula>
    </cfRule>
    <cfRule type="cellIs" dxfId="7575" priority="1567" stopIfTrue="1" operator="between">
      <formula>35.1</formula>
      <formula>80</formula>
    </cfRule>
    <cfRule type="cellIs" dxfId="7574" priority="1568" stopIfTrue="1" operator="between">
      <formula>14.1</formula>
      <formula>35</formula>
    </cfRule>
    <cfRule type="cellIs" dxfId="7573" priority="1569" stopIfTrue="1" operator="between">
      <formula>5.1</formula>
      <formula>14</formula>
    </cfRule>
    <cfRule type="cellIs" dxfId="7572" priority="1570" stopIfTrue="1" operator="between">
      <formula>0</formula>
      <formula>5</formula>
    </cfRule>
    <cfRule type="containsBlanks" dxfId="7571" priority="1571" stopIfTrue="1">
      <formula>LEN(TRIM(Q30))=0</formula>
    </cfRule>
  </conditionalFormatting>
  <conditionalFormatting sqref="E30:P30 E34:P34 E37:P41 E12:P12 K63:K64 E90:J90 E43:P43">
    <cfRule type="containsBlanks" dxfId="7570" priority="1558" stopIfTrue="1">
      <formula>LEN(TRIM(E12))=0</formula>
    </cfRule>
    <cfRule type="cellIs" dxfId="7569" priority="1559" stopIfTrue="1" operator="between">
      <formula>79.1</formula>
      <formula>100</formula>
    </cfRule>
    <cfRule type="cellIs" dxfId="7568" priority="1560" stopIfTrue="1" operator="between">
      <formula>34.1</formula>
      <formula>79</formula>
    </cfRule>
    <cfRule type="cellIs" dxfId="7567" priority="1561" stopIfTrue="1" operator="between">
      <formula>13.1</formula>
      <formula>34</formula>
    </cfRule>
    <cfRule type="cellIs" dxfId="7566" priority="1562" stopIfTrue="1" operator="between">
      <formula>5.1</formula>
      <formula>13</formula>
    </cfRule>
    <cfRule type="cellIs" dxfId="7565" priority="1563" stopIfTrue="1" operator="between">
      <formula>0</formula>
      <formula>5</formula>
    </cfRule>
    <cfRule type="containsBlanks" dxfId="7564" priority="1564" stopIfTrue="1">
      <formula>LEN(TRIM(E12))=0</formula>
    </cfRule>
  </conditionalFormatting>
  <conditionalFormatting sqref="F19:Q19">
    <cfRule type="containsBlanks" dxfId="7563" priority="1551" stopIfTrue="1">
      <formula>LEN(TRIM(F19))=0</formula>
    </cfRule>
    <cfRule type="cellIs" dxfId="7562" priority="1552" stopIfTrue="1" operator="between">
      <formula>80.1</formula>
      <formula>100</formula>
    </cfRule>
    <cfRule type="cellIs" dxfId="7561" priority="1553" stopIfTrue="1" operator="between">
      <formula>35.1</formula>
      <formula>80</formula>
    </cfRule>
    <cfRule type="cellIs" dxfId="7560" priority="1554" stopIfTrue="1" operator="between">
      <formula>14.1</formula>
      <formula>35</formula>
    </cfRule>
    <cfRule type="cellIs" dxfId="7559" priority="1555" stopIfTrue="1" operator="between">
      <formula>5.1</formula>
      <formula>14</formula>
    </cfRule>
    <cfRule type="cellIs" dxfId="7558" priority="1556" stopIfTrue="1" operator="between">
      <formula>0</formula>
      <formula>5</formula>
    </cfRule>
    <cfRule type="containsBlanks" dxfId="7557" priority="1557" stopIfTrue="1">
      <formula>LEN(TRIM(F19))=0</formula>
    </cfRule>
  </conditionalFormatting>
  <conditionalFormatting sqref="E19">
    <cfRule type="containsBlanks" dxfId="7556" priority="1544" stopIfTrue="1">
      <formula>LEN(TRIM(E19))=0</formula>
    </cfRule>
    <cfRule type="cellIs" dxfId="7555" priority="1545" stopIfTrue="1" operator="between">
      <formula>80.1</formula>
      <formula>100</formula>
    </cfRule>
    <cfRule type="cellIs" dxfId="7554" priority="1546" stopIfTrue="1" operator="between">
      <formula>35.1</formula>
      <formula>80</formula>
    </cfRule>
    <cfRule type="cellIs" dxfId="7553" priority="1547" stopIfTrue="1" operator="between">
      <formula>14.1</formula>
      <formula>35</formula>
    </cfRule>
    <cfRule type="cellIs" dxfId="7552" priority="1548" stopIfTrue="1" operator="between">
      <formula>5.1</formula>
      <formula>14</formula>
    </cfRule>
    <cfRule type="cellIs" dxfId="7551" priority="1549" stopIfTrue="1" operator="between">
      <formula>0</formula>
      <formula>5</formula>
    </cfRule>
    <cfRule type="containsBlanks" dxfId="7550" priority="1550" stopIfTrue="1">
      <formula>LEN(TRIM(E19))=0</formula>
    </cfRule>
  </conditionalFormatting>
  <conditionalFormatting sqref="F29:Q29">
    <cfRule type="containsBlanks" dxfId="7549" priority="1537" stopIfTrue="1">
      <formula>LEN(TRIM(F29))=0</formula>
    </cfRule>
    <cfRule type="cellIs" dxfId="7548" priority="1538" stopIfTrue="1" operator="between">
      <formula>80.1</formula>
      <formula>100</formula>
    </cfRule>
    <cfRule type="cellIs" dxfId="7547" priority="1539" stopIfTrue="1" operator="between">
      <formula>35.1</formula>
      <formula>80</formula>
    </cfRule>
    <cfRule type="cellIs" dxfId="7546" priority="1540" stopIfTrue="1" operator="between">
      <formula>14.1</formula>
      <formula>35</formula>
    </cfRule>
    <cfRule type="cellIs" dxfId="7545" priority="1541" stopIfTrue="1" operator="between">
      <formula>5.1</formula>
      <formula>14</formula>
    </cfRule>
    <cfRule type="cellIs" dxfId="7544" priority="1542" stopIfTrue="1" operator="between">
      <formula>0</formula>
      <formula>5</formula>
    </cfRule>
    <cfRule type="containsBlanks" dxfId="7543" priority="1543" stopIfTrue="1">
      <formula>LEN(TRIM(F29))=0</formula>
    </cfRule>
  </conditionalFormatting>
  <conditionalFormatting sqref="E29">
    <cfRule type="containsBlanks" dxfId="7542" priority="1530" stopIfTrue="1">
      <formula>LEN(TRIM(E29))=0</formula>
    </cfRule>
    <cfRule type="cellIs" dxfId="7541" priority="1531" stopIfTrue="1" operator="between">
      <formula>80.1</formula>
      <formula>100</formula>
    </cfRule>
    <cfRule type="cellIs" dxfId="7540" priority="1532" stopIfTrue="1" operator="between">
      <formula>35.1</formula>
      <formula>80</formula>
    </cfRule>
    <cfRule type="cellIs" dxfId="7539" priority="1533" stopIfTrue="1" operator="between">
      <formula>14.1</formula>
      <formula>35</formula>
    </cfRule>
    <cfRule type="cellIs" dxfId="7538" priority="1534" stopIfTrue="1" operator="between">
      <formula>5.1</formula>
      <formula>14</formula>
    </cfRule>
    <cfRule type="cellIs" dxfId="7537" priority="1535" stopIfTrue="1" operator="between">
      <formula>0</formula>
      <formula>5</formula>
    </cfRule>
    <cfRule type="containsBlanks" dxfId="7536" priority="1536" stopIfTrue="1">
      <formula>LEN(TRIM(E29))=0</formula>
    </cfRule>
  </conditionalFormatting>
  <conditionalFormatting sqref="F28:Q28">
    <cfRule type="containsBlanks" dxfId="7535" priority="1523" stopIfTrue="1">
      <formula>LEN(TRIM(F28))=0</formula>
    </cfRule>
    <cfRule type="cellIs" dxfId="7534" priority="1524" stopIfTrue="1" operator="between">
      <formula>80.1</formula>
      <formula>100</formula>
    </cfRule>
    <cfRule type="cellIs" dxfId="7533" priority="1525" stopIfTrue="1" operator="between">
      <formula>35.1</formula>
      <formula>80</formula>
    </cfRule>
    <cfRule type="cellIs" dxfId="7532" priority="1526" stopIfTrue="1" operator="between">
      <formula>14.1</formula>
      <formula>35</formula>
    </cfRule>
    <cfRule type="cellIs" dxfId="7531" priority="1527" stopIfTrue="1" operator="between">
      <formula>5.1</formula>
      <formula>14</formula>
    </cfRule>
    <cfRule type="cellIs" dxfId="7530" priority="1528" stopIfTrue="1" operator="between">
      <formula>0</formula>
      <formula>5</formula>
    </cfRule>
    <cfRule type="containsBlanks" dxfId="7529" priority="1529" stopIfTrue="1">
      <formula>LEN(TRIM(F28))=0</formula>
    </cfRule>
  </conditionalFormatting>
  <conditionalFormatting sqref="E28">
    <cfRule type="containsBlanks" dxfId="7528" priority="1516" stopIfTrue="1">
      <formula>LEN(TRIM(E28))=0</formula>
    </cfRule>
    <cfRule type="cellIs" dxfId="7527" priority="1517" stopIfTrue="1" operator="between">
      <formula>80.1</formula>
      <formula>100</formula>
    </cfRule>
    <cfRule type="cellIs" dxfId="7526" priority="1518" stopIfTrue="1" operator="between">
      <formula>35.1</formula>
      <formula>80</formula>
    </cfRule>
    <cfRule type="cellIs" dxfId="7525" priority="1519" stopIfTrue="1" operator="between">
      <formula>14.1</formula>
      <formula>35</formula>
    </cfRule>
    <cfRule type="cellIs" dxfId="7524" priority="1520" stopIfTrue="1" operator="between">
      <formula>5.1</formula>
      <formula>14</formula>
    </cfRule>
    <cfRule type="cellIs" dxfId="7523" priority="1521" stopIfTrue="1" operator="between">
      <formula>0</formula>
      <formula>5</formula>
    </cfRule>
    <cfRule type="containsBlanks" dxfId="7522" priority="1522" stopIfTrue="1">
      <formula>LEN(TRIM(E28))=0</formula>
    </cfRule>
  </conditionalFormatting>
  <conditionalFormatting sqref="F20:Q20">
    <cfRule type="containsBlanks" dxfId="7521" priority="1509" stopIfTrue="1">
      <formula>LEN(TRIM(F20))=0</formula>
    </cfRule>
    <cfRule type="cellIs" dxfId="7520" priority="1510" stopIfTrue="1" operator="between">
      <formula>80.1</formula>
      <formula>100</formula>
    </cfRule>
    <cfRule type="cellIs" dxfId="7519" priority="1511" stopIfTrue="1" operator="between">
      <formula>35.1</formula>
      <formula>80</formula>
    </cfRule>
    <cfRule type="cellIs" dxfId="7518" priority="1512" stopIfTrue="1" operator="between">
      <formula>14.1</formula>
      <formula>35</formula>
    </cfRule>
    <cfRule type="cellIs" dxfId="7517" priority="1513" stopIfTrue="1" operator="between">
      <formula>5.1</formula>
      <formula>14</formula>
    </cfRule>
    <cfRule type="cellIs" dxfId="7516" priority="1514" stopIfTrue="1" operator="between">
      <formula>0</formula>
      <formula>5</formula>
    </cfRule>
    <cfRule type="containsBlanks" dxfId="7515" priority="1515" stopIfTrue="1">
      <formula>LEN(TRIM(F20))=0</formula>
    </cfRule>
  </conditionalFormatting>
  <conditionalFormatting sqref="E20">
    <cfRule type="containsBlanks" dxfId="7514" priority="1502" stopIfTrue="1">
      <formula>LEN(TRIM(E20))=0</formula>
    </cfRule>
    <cfRule type="cellIs" dxfId="7513" priority="1503" stopIfTrue="1" operator="between">
      <formula>80.1</formula>
      <formula>100</formula>
    </cfRule>
    <cfRule type="cellIs" dxfId="7512" priority="1504" stopIfTrue="1" operator="between">
      <formula>35.1</formula>
      <formula>80</formula>
    </cfRule>
    <cfRule type="cellIs" dxfId="7511" priority="1505" stopIfTrue="1" operator="between">
      <formula>14.1</formula>
      <formula>35</formula>
    </cfRule>
    <cfRule type="cellIs" dxfId="7510" priority="1506" stopIfTrue="1" operator="between">
      <formula>5.1</formula>
      <formula>14</formula>
    </cfRule>
    <cfRule type="cellIs" dxfId="7509" priority="1507" stopIfTrue="1" operator="between">
      <formula>0</formula>
      <formula>5</formula>
    </cfRule>
    <cfRule type="containsBlanks" dxfId="7508" priority="1508" stopIfTrue="1">
      <formula>LEN(TRIM(E20))=0</formula>
    </cfRule>
  </conditionalFormatting>
  <conditionalFormatting sqref="F21:Q21">
    <cfRule type="containsBlanks" dxfId="7507" priority="1495" stopIfTrue="1">
      <formula>LEN(TRIM(F21))=0</formula>
    </cfRule>
    <cfRule type="cellIs" dxfId="7506" priority="1496" stopIfTrue="1" operator="between">
      <formula>80.1</formula>
      <formula>100</formula>
    </cfRule>
    <cfRule type="cellIs" dxfId="7505" priority="1497" stopIfTrue="1" operator="between">
      <formula>35.1</formula>
      <formula>80</formula>
    </cfRule>
    <cfRule type="cellIs" dxfId="7504" priority="1498" stopIfTrue="1" operator="between">
      <formula>14.1</formula>
      <formula>35</formula>
    </cfRule>
    <cfRule type="cellIs" dxfId="7503" priority="1499" stopIfTrue="1" operator="between">
      <formula>5.1</formula>
      <formula>14</formula>
    </cfRule>
    <cfRule type="cellIs" dxfId="7502" priority="1500" stopIfTrue="1" operator="between">
      <formula>0</formula>
      <formula>5</formula>
    </cfRule>
    <cfRule type="containsBlanks" dxfId="7501" priority="1501" stopIfTrue="1">
      <formula>LEN(TRIM(F21))=0</formula>
    </cfRule>
  </conditionalFormatting>
  <conditionalFormatting sqref="E21">
    <cfRule type="containsBlanks" dxfId="7500" priority="1488" stopIfTrue="1">
      <formula>LEN(TRIM(E21))=0</formula>
    </cfRule>
    <cfRule type="cellIs" dxfId="7499" priority="1489" stopIfTrue="1" operator="between">
      <formula>80.1</formula>
      <formula>100</formula>
    </cfRule>
    <cfRule type="cellIs" dxfId="7498" priority="1490" stopIfTrue="1" operator="between">
      <formula>35.1</formula>
      <formula>80</formula>
    </cfRule>
    <cfRule type="cellIs" dxfId="7497" priority="1491" stopIfTrue="1" operator="between">
      <formula>14.1</formula>
      <formula>35</formula>
    </cfRule>
    <cfRule type="cellIs" dxfId="7496" priority="1492" stopIfTrue="1" operator="between">
      <formula>5.1</formula>
      <formula>14</formula>
    </cfRule>
    <cfRule type="cellIs" dxfId="7495" priority="1493" stopIfTrue="1" operator="between">
      <formula>0</formula>
      <formula>5</formula>
    </cfRule>
    <cfRule type="containsBlanks" dxfId="7494" priority="1494" stopIfTrue="1">
      <formula>LEN(TRIM(E21))=0</formula>
    </cfRule>
  </conditionalFormatting>
  <conditionalFormatting sqref="F26:Q26">
    <cfRule type="containsBlanks" dxfId="7493" priority="1481" stopIfTrue="1">
      <formula>LEN(TRIM(F26))=0</formula>
    </cfRule>
    <cfRule type="cellIs" dxfId="7492" priority="1482" stopIfTrue="1" operator="between">
      <formula>80.1</formula>
      <formula>100</formula>
    </cfRule>
    <cfRule type="cellIs" dxfId="7491" priority="1483" stopIfTrue="1" operator="between">
      <formula>35.1</formula>
      <formula>80</formula>
    </cfRule>
    <cfRule type="cellIs" dxfId="7490" priority="1484" stopIfTrue="1" operator="between">
      <formula>14.1</formula>
      <formula>35</formula>
    </cfRule>
    <cfRule type="cellIs" dxfId="7489" priority="1485" stopIfTrue="1" operator="between">
      <formula>5.1</formula>
      <formula>14</formula>
    </cfRule>
    <cfRule type="cellIs" dxfId="7488" priority="1486" stopIfTrue="1" operator="between">
      <formula>0</formula>
      <formula>5</formula>
    </cfRule>
    <cfRule type="containsBlanks" dxfId="7487" priority="1487" stopIfTrue="1">
      <formula>LEN(TRIM(F26))=0</formula>
    </cfRule>
  </conditionalFormatting>
  <conditionalFormatting sqref="E26">
    <cfRule type="containsBlanks" dxfId="7486" priority="1474" stopIfTrue="1">
      <formula>LEN(TRIM(E26))=0</formula>
    </cfRule>
    <cfRule type="cellIs" dxfId="7485" priority="1475" stopIfTrue="1" operator="between">
      <formula>80.1</formula>
      <formula>100</formula>
    </cfRule>
    <cfRule type="cellIs" dxfId="7484" priority="1476" stopIfTrue="1" operator="between">
      <formula>35.1</formula>
      <formula>80</formula>
    </cfRule>
    <cfRule type="cellIs" dxfId="7483" priority="1477" stopIfTrue="1" operator="between">
      <formula>14.1</formula>
      <formula>35</formula>
    </cfRule>
    <cfRule type="cellIs" dxfId="7482" priority="1478" stopIfTrue="1" operator="between">
      <formula>5.1</formula>
      <formula>14</formula>
    </cfRule>
    <cfRule type="cellIs" dxfId="7481" priority="1479" stopIfTrue="1" operator="between">
      <formula>0</formula>
      <formula>5</formula>
    </cfRule>
    <cfRule type="containsBlanks" dxfId="7480" priority="1480" stopIfTrue="1">
      <formula>LEN(TRIM(E26))=0</formula>
    </cfRule>
  </conditionalFormatting>
  <conditionalFormatting sqref="F33:Q33">
    <cfRule type="containsBlanks" dxfId="7479" priority="1467" stopIfTrue="1">
      <formula>LEN(TRIM(F33))=0</formula>
    </cfRule>
    <cfRule type="cellIs" dxfId="7478" priority="1468" stopIfTrue="1" operator="between">
      <formula>80.1</formula>
      <formula>100</formula>
    </cfRule>
    <cfRule type="cellIs" dxfId="7477" priority="1469" stopIfTrue="1" operator="between">
      <formula>35.1</formula>
      <formula>80</formula>
    </cfRule>
    <cfRule type="cellIs" dxfId="7476" priority="1470" stopIfTrue="1" operator="between">
      <formula>14.1</formula>
      <formula>35</formula>
    </cfRule>
    <cfRule type="cellIs" dxfId="7475" priority="1471" stopIfTrue="1" operator="between">
      <formula>5.1</formula>
      <formula>14</formula>
    </cfRule>
    <cfRule type="cellIs" dxfId="7474" priority="1472" stopIfTrue="1" operator="between">
      <formula>0</formula>
      <formula>5</formula>
    </cfRule>
    <cfRule type="containsBlanks" dxfId="7473" priority="1473" stopIfTrue="1">
      <formula>LEN(TRIM(F33))=0</formula>
    </cfRule>
  </conditionalFormatting>
  <conditionalFormatting sqref="E33">
    <cfRule type="containsBlanks" dxfId="7472" priority="1460" stopIfTrue="1">
      <formula>LEN(TRIM(E33))=0</formula>
    </cfRule>
    <cfRule type="cellIs" dxfId="7471" priority="1461" stopIfTrue="1" operator="between">
      <formula>80.1</formula>
      <formula>100</formula>
    </cfRule>
    <cfRule type="cellIs" dxfId="7470" priority="1462" stopIfTrue="1" operator="between">
      <formula>35.1</formula>
      <formula>80</formula>
    </cfRule>
    <cfRule type="cellIs" dxfId="7469" priority="1463" stopIfTrue="1" operator="between">
      <formula>14.1</formula>
      <formula>35</formula>
    </cfRule>
    <cfRule type="cellIs" dxfId="7468" priority="1464" stopIfTrue="1" operator="between">
      <formula>5.1</formula>
      <formula>14</formula>
    </cfRule>
    <cfRule type="cellIs" dxfId="7467" priority="1465" stopIfTrue="1" operator="between">
      <formula>0</formula>
      <formula>5</formula>
    </cfRule>
    <cfRule type="containsBlanks" dxfId="7466" priority="1466" stopIfTrue="1">
      <formula>LEN(TRIM(E33))=0</formula>
    </cfRule>
  </conditionalFormatting>
  <conditionalFormatting sqref="F35:Q35">
    <cfRule type="containsBlanks" dxfId="7465" priority="1453" stopIfTrue="1">
      <formula>LEN(TRIM(F35))=0</formula>
    </cfRule>
    <cfRule type="cellIs" dxfId="7464" priority="1454" stopIfTrue="1" operator="between">
      <formula>80.1</formula>
      <formula>100</formula>
    </cfRule>
    <cfRule type="cellIs" dxfId="7463" priority="1455" stopIfTrue="1" operator="between">
      <formula>35.1</formula>
      <formula>80</formula>
    </cfRule>
    <cfRule type="cellIs" dxfId="7462" priority="1456" stopIfTrue="1" operator="between">
      <formula>14.1</formula>
      <formula>35</formula>
    </cfRule>
    <cfRule type="cellIs" dxfId="7461" priority="1457" stopIfTrue="1" operator="between">
      <formula>5.1</formula>
      <formula>14</formula>
    </cfRule>
    <cfRule type="cellIs" dxfId="7460" priority="1458" stopIfTrue="1" operator="between">
      <formula>0</formula>
      <formula>5</formula>
    </cfRule>
    <cfRule type="containsBlanks" dxfId="7459" priority="1459" stopIfTrue="1">
      <formula>LEN(TRIM(F35))=0</formula>
    </cfRule>
  </conditionalFormatting>
  <conditionalFormatting sqref="E35">
    <cfRule type="containsBlanks" dxfId="7458" priority="1446" stopIfTrue="1">
      <formula>LEN(TRIM(E35))=0</formula>
    </cfRule>
    <cfRule type="cellIs" dxfId="7457" priority="1447" stopIfTrue="1" operator="between">
      <formula>80.1</formula>
      <formula>100</formula>
    </cfRule>
    <cfRule type="cellIs" dxfId="7456" priority="1448" stopIfTrue="1" operator="between">
      <formula>35.1</formula>
      <formula>80</formula>
    </cfRule>
    <cfRule type="cellIs" dxfId="7455" priority="1449" stopIfTrue="1" operator="between">
      <formula>14.1</formula>
      <formula>35</formula>
    </cfRule>
    <cfRule type="cellIs" dxfId="7454" priority="1450" stopIfTrue="1" operator="between">
      <formula>5.1</formula>
      <formula>14</formula>
    </cfRule>
    <cfRule type="cellIs" dxfId="7453" priority="1451" stopIfTrue="1" operator="between">
      <formula>0</formula>
      <formula>5</formula>
    </cfRule>
    <cfRule type="containsBlanks" dxfId="7452" priority="1452" stopIfTrue="1">
      <formula>LEN(TRIM(E35))=0</formula>
    </cfRule>
  </conditionalFormatting>
  <conditionalFormatting sqref="F32:P32">
    <cfRule type="containsBlanks" dxfId="7451" priority="1439" stopIfTrue="1">
      <formula>LEN(TRIM(F32))=0</formula>
    </cfRule>
    <cfRule type="cellIs" dxfId="7450" priority="1440" stopIfTrue="1" operator="between">
      <formula>80.1</formula>
      <formula>100</formula>
    </cfRule>
    <cfRule type="cellIs" dxfId="7449" priority="1441" stopIfTrue="1" operator="between">
      <formula>35.1</formula>
      <formula>80</formula>
    </cfRule>
    <cfRule type="cellIs" dxfId="7448" priority="1442" stopIfTrue="1" operator="between">
      <formula>14.1</formula>
      <formula>35</formula>
    </cfRule>
    <cfRule type="cellIs" dxfId="7447" priority="1443" stopIfTrue="1" operator="between">
      <formula>5.1</formula>
      <formula>14</formula>
    </cfRule>
    <cfRule type="cellIs" dxfId="7446" priority="1444" stopIfTrue="1" operator="between">
      <formula>0</formula>
      <formula>5</formula>
    </cfRule>
    <cfRule type="containsBlanks" dxfId="7445" priority="1445" stopIfTrue="1">
      <formula>LEN(TRIM(F32))=0</formula>
    </cfRule>
  </conditionalFormatting>
  <conditionalFormatting sqref="F36:Q36">
    <cfRule type="containsBlanks" dxfId="7444" priority="1425" stopIfTrue="1">
      <formula>LEN(TRIM(F36))=0</formula>
    </cfRule>
    <cfRule type="cellIs" dxfId="7443" priority="1426" stopIfTrue="1" operator="between">
      <formula>80.1</formula>
      <formula>100</formula>
    </cfRule>
    <cfRule type="cellIs" dxfId="7442" priority="1427" stopIfTrue="1" operator="between">
      <formula>35.1</formula>
      <formula>80</formula>
    </cfRule>
    <cfRule type="cellIs" dxfId="7441" priority="1428" stopIfTrue="1" operator="between">
      <formula>14.1</formula>
      <formula>35</formula>
    </cfRule>
    <cfRule type="cellIs" dxfId="7440" priority="1429" stopIfTrue="1" operator="between">
      <formula>5.1</formula>
      <formula>14</formula>
    </cfRule>
    <cfRule type="cellIs" dxfId="7439" priority="1430" stopIfTrue="1" operator="between">
      <formula>0</formula>
      <formula>5</formula>
    </cfRule>
    <cfRule type="containsBlanks" dxfId="7438" priority="1431" stopIfTrue="1">
      <formula>LEN(TRIM(F36))=0</formula>
    </cfRule>
  </conditionalFormatting>
  <conditionalFormatting sqref="E36">
    <cfRule type="containsBlanks" dxfId="7437" priority="1418" stopIfTrue="1">
      <formula>LEN(TRIM(E36))=0</formula>
    </cfRule>
    <cfRule type="cellIs" dxfId="7436" priority="1419" stopIfTrue="1" operator="between">
      <formula>80.1</formula>
      <formula>100</formula>
    </cfRule>
    <cfRule type="cellIs" dxfId="7435" priority="1420" stopIfTrue="1" operator="between">
      <formula>35.1</formula>
      <formula>80</formula>
    </cfRule>
    <cfRule type="cellIs" dxfId="7434" priority="1421" stopIfTrue="1" operator="between">
      <formula>14.1</formula>
      <formula>35</formula>
    </cfRule>
    <cfRule type="cellIs" dxfId="7433" priority="1422" stopIfTrue="1" operator="between">
      <formula>5.1</formula>
      <formula>14</formula>
    </cfRule>
    <cfRule type="cellIs" dxfId="7432" priority="1423" stopIfTrue="1" operator="between">
      <formula>0</formula>
      <formula>5</formula>
    </cfRule>
    <cfRule type="containsBlanks" dxfId="7431" priority="1424" stopIfTrue="1">
      <formula>LEN(TRIM(E36))=0</formula>
    </cfRule>
  </conditionalFormatting>
  <conditionalFormatting sqref="J61:J62">
    <cfRule type="containsBlanks" dxfId="7430" priority="1411" stopIfTrue="1">
      <formula>LEN(TRIM(J61))=0</formula>
    </cfRule>
    <cfRule type="cellIs" dxfId="7429" priority="1412" stopIfTrue="1" operator="between">
      <formula>79.1</formula>
      <formula>100</formula>
    </cfRule>
    <cfRule type="cellIs" dxfId="7428" priority="1413" stopIfTrue="1" operator="between">
      <formula>34.1</formula>
      <formula>79</formula>
    </cfRule>
    <cfRule type="cellIs" dxfId="7427" priority="1414" stopIfTrue="1" operator="between">
      <formula>13.1</formula>
      <formula>34</formula>
    </cfRule>
    <cfRule type="cellIs" dxfId="7426" priority="1415" stopIfTrue="1" operator="between">
      <formula>5.1</formula>
      <formula>13</formula>
    </cfRule>
    <cfRule type="cellIs" dxfId="7425" priority="1416" stopIfTrue="1" operator="between">
      <formula>0</formula>
      <formula>5</formula>
    </cfRule>
    <cfRule type="containsBlanks" dxfId="7424" priority="1417" stopIfTrue="1">
      <formula>LEN(TRIM(J61))=0</formula>
    </cfRule>
  </conditionalFormatting>
  <conditionalFormatting sqref="E97">
    <cfRule type="containsBlanks" dxfId="7423" priority="1404" stopIfTrue="1">
      <formula>LEN(TRIM(E97))=0</formula>
    </cfRule>
    <cfRule type="cellIs" dxfId="7422" priority="1405" stopIfTrue="1" operator="between">
      <formula>79.1</formula>
      <formula>100</formula>
    </cfRule>
    <cfRule type="cellIs" dxfId="7421" priority="1406" stopIfTrue="1" operator="between">
      <formula>34.1</formula>
      <formula>79</formula>
    </cfRule>
    <cfRule type="cellIs" dxfId="7420" priority="1407" stopIfTrue="1" operator="between">
      <formula>13.1</formula>
      <formula>34</formula>
    </cfRule>
    <cfRule type="cellIs" dxfId="7419" priority="1408" stopIfTrue="1" operator="between">
      <formula>5.1</formula>
      <formula>13</formula>
    </cfRule>
    <cfRule type="cellIs" dxfId="7418" priority="1409" stopIfTrue="1" operator="between">
      <formula>0</formula>
      <formula>5</formula>
    </cfRule>
    <cfRule type="containsBlanks" dxfId="7417" priority="1410" stopIfTrue="1">
      <formula>LEN(TRIM(E97))=0</formula>
    </cfRule>
  </conditionalFormatting>
  <conditionalFormatting sqref="E16:P17">
    <cfRule type="containsBlanks" dxfId="7416" priority="1390" stopIfTrue="1">
      <formula>LEN(TRIM(E16))=0</formula>
    </cfRule>
    <cfRule type="cellIs" dxfId="7415" priority="1391" stopIfTrue="1" operator="between">
      <formula>79.1</formula>
      <formula>100</formula>
    </cfRule>
    <cfRule type="cellIs" dxfId="7414" priority="1392" stopIfTrue="1" operator="between">
      <formula>34.1</formula>
      <formula>79</formula>
    </cfRule>
    <cfRule type="cellIs" dxfId="7413" priority="1393" stopIfTrue="1" operator="between">
      <formula>13.1</formula>
      <formula>34</formula>
    </cfRule>
    <cfRule type="cellIs" dxfId="7412" priority="1394" stopIfTrue="1" operator="between">
      <formula>5.1</formula>
      <formula>13</formula>
    </cfRule>
    <cfRule type="cellIs" dxfId="7411" priority="1395" stopIfTrue="1" operator="between">
      <formula>0</formula>
      <formula>5</formula>
    </cfRule>
    <cfRule type="containsBlanks" dxfId="7410" priority="1396" stopIfTrue="1">
      <formula>LEN(TRIM(E16))=0</formula>
    </cfRule>
  </conditionalFormatting>
  <conditionalFormatting sqref="E10:P41 E43:P57 E60:P126">
    <cfRule type="containsBlanks" dxfId="7409" priority="1397" stopIfTrue="1">
      <formula>LEN(TRIM(E10))=0</formula>
    </cfRule>
    <cfRule type="cellIs" dxfId="7408" priority="1398" stopIfTrue="1" operator="between">
      <formula>79.1</formula>
      <formula>100</formula>
    </cfRule>
    <cfRule type="cellIs" dxfId="7407" priority="1399" stopIfTrue="1" operator="between">
      <formula>34.1</formula>
      <formula>79</formula>
    </cfRule>
    <cfRule type="cellIs" dxfId="7406" priority="1400" stopIfTrue="1" operator="between">
      <formula>13.1</formula>
      <formula>34</formula>
    </cfRule>
    <cfRule type="cellIs" dxfId="7405" priority="1401" stopIfTrue="1" operator="between">
      <formula>5.1</formula>
      <formula>13</formula>
    </cfRule>
    <cfRule type="cellIs" dxfId="7404" priority="1402" stopIfTrue="1" operator="between">
      <formula>0</formula>
      <formula>5</formula>
    </cfRule>
    <cfRule type="containsBlanks" dxfId="7403" priority="1403" stopIfTrue="1">
      <formula>LEN(TRIM(E10))=0</formula>
    </cfRule>
  </conditionalFormatting>
  <conditionalFormatting sqref="E18:P18">
    <cfRule type="containsBlanks" dxfId="7402" priority="1383" stopIfTrue="1">
      <formula>LEN(TRIM(E18))=0</formula>
    </cfRule>
    <cfRule type="cellIs" dxfId="7401" priority="1384" stopIfTrue="1" operator="between">
      <formula>79.1</formula>
      <formula>100</formula>
    </cfRule>
    <cfRule type="cellIs" dxfId="7400" priority="1385" stopIfTrue="1" operator="between">
      <formula>34.1</formula>
      <formula>79</formula>
    </cfRule>
    <cfRule type="cellIs" dxfId="7399" priority="1386" stopIfTrue="1" operator="between">
      <formula>13.1</formula>
      <formula>34</formula>
    </cfRule>
    <cfRule type="cellIs" dxfId="7398" priority="1387" stopIfTrue="1" operator="between">
      <formula>5.1</formula>
      <formula>13</formula>
    </cfRule>
    <cfRule type="cellIs" dxfId="7397" priority="1388" stopIfTrue="1" operator="between">
      <formula>0</formula>
      <formula>5</formula>
    </cfRule>
    <cfRule type="containsBlanks" dxfId="7396" priority="1389" stopIfTrue="1">
      <formula>LEN(TRIM(E18))=0</formula>
    </cfRule>
  </conditionalFormatting>
  <conditionalFormatting sqref="K61:K62">
    <cfRule type="containsBlanks" dxfId="7395" priority="1369" stopIfTrue="1">
      <formula>LEN(TRIM(K61))=0</formula>
    </cfRule>
    <cfRule type="cellIs" dxfId="7394" priority="1370" stopIfTrue="1" operator="between">
      <formula>79.1</formula>
      <formula>100</formula>
    </cfRule>
    <cfRule type="cellIs" dxfId="7393" priority="1371" stopIfTrue="1" operator="between">
      <formula>34.1</formula>
      <formula>79</formula>
    </cfRule>
    <cfRule type="cellIs" dxfId="7392" priority="1372" stopIfTrue="1" operator="between">
      <formula>13.1</formula>
      <formula>34</formula>
    </cfRule>
    <cfRule type="cellIs" dxfId="7391" priority="1373" stopIfTrue="1" operator="between">
      <formula>5.1</formula>
      <formula>13</formula>
    </cfRule>
    <cfRule type="cellIs" dxfId="7390" priority="1374" stopIfTrue="1" operator="between">
      <formula>0</formula>
      <formula>5</formula>
    </cfRule>
    <cfRule type="containsBlanks" dxfId="7389" priority="1375" stopIfTrue="1">
      <formula>LEN(TRIM(K61))=0</formula>
    </cfRule>
  </conditionalFormatting>
  <conditionalFormatting sqref="E87:J88 E96:J96">
    <cfRule type="containsBlanks" dxfId="7388" priority="1362" stopIfTrue="1">
      <formula>LEN(TRIM(E87))=0</formula>
    </cfRule>
    <cfRule type="cellIs" dxfId="7387" priority="1363" stopIfTrue="1" operator="between">
      <formula>79.1</formula>
      <formula>100</formula>
    </cfRule>
    <cfRule type="cellIs" dxfId="7386" priority="1364" stopIfTrue="1" operator="between">
      <formula>34.1</formula>
      <formula>79</formula>
    </cfRule>
    <cfRule type="cellIs" dxfId="7385" priority="1365" stopIfTrue="1" operator="between">
      <formula>13.1</formula>
      <formula>34</formula>
    </cfRule>
    <cfRule type="cellIs" dxfId="7384" priority="1366" stopIfTrue="1" operator="between">
      <formula>5.1</formula>
      <formula>13</formula>
    </cfRule>
    <cfRule type="cellIs" dxfId="7383" priority="1367" stopIfTrue="1" operator="between">
      <formula>0</formula>
      <formula>5</formula>
    </cfRule>
    <cfRule type="containsBlanks" dxfId="7382" priority="1368" stopIfTrue="1">
      <formula>LEN(TRIM(E87))=0</formula>
    </cfRule>
  </conditionalFormatting>
  <conditionalFormatting sqref="K97:O99">
    <cfRule type="containsBlanks" dxfId="7381" priority="1341" stopIfTrue="1">
      <formula>LEN(TRIM(K97))=0</formula>
    </cfRule>
    <cfRule type="cellIs" dxfId="7380" priority="1342" stopIfTrue="1" operator="between">
      <formula>80.1</formula>
      <formula>100</formula>
    </cfRule>
    <cfRule type="cellIs" dxfId="7379" priority="1343" stopIfTrue="1" operator="between">
      <formula>35.1</formula>
      <formula>80</formula>
    </cfRule>
    <cfRule type="cellIs" dxfId="7378" priority="1344" stopIfTrue="1" operator="between">
      <formula>14.1</formula>
      <formula>35</formula>
    </cfRule>
    <cfRule type="cellIs" dxfId="7377" priority="1345" stopIfTrue="1" operator="between">
      <formula>5.1</formula>
      <formula>14</formula>
    </cfRule>
    <cfRule type="cellIs" dxfId="7376" priority="1346" stopIfTrue="1" operator="between">
      <formula>0</formula>
      <formula>5</formula>
    </cfRule>
    <cfRule type="containsBlanks" dxfId="7375" priority="1347" stopIfTrue="1">
      <formula>LEN(TRIM(K97))=0</formula>
    </cfRule>
  </conditionalFormatting>
  <conditionalFormatting sqref="L100">
    <cfRule type="containsBlanks" dxfId="7374" priority="1320" stopIfTrue="1">
      <formula>LEN(TRIM(L100))=0</formula>
    </cfRule>
    <cfRule type="cellIs" dxfId="7373" priority="1321" stopIfTrue="1" operator="between">
      <formula>80.1</formula>
      <formula>100</formula>
    </cfRule>
    <cfRule type="cellIs" dxfId="7372" priority="1322" stopIfTrue="1" operator="between">
      <formula>35.1</formula>
      <formula>80</formula>
    </cfRule>
    <cfRule type="cellIs" dxfId="7371" priority="1323" stopIfTrue="1" operator="between">
      <formula>14.1</formula>
      <formula>35</formula>
    </cfRule>
    <cfRule type="cellIs" dxfId="7370" priority="1324" stopIfTrue="1" operator="between">
      <formula>5.1</formula>
      <formula>14</formula>
    </cfRule>
    <cfRule type="cellIs" dxfId="7369" priority="1325" stopIfTrue="1" operator="between">
      <formula>0</formula>
      <formula>5</formula>
    </cfRule>
    <cfRule type="containsBlanks" dxfId="7368" priority="1326" stopIfTrue="1">
      <formula>LEN(TRIM(L100))=0</formula>
    </cfRule>
  </conditionalFormatting>
  <conditionalFormatting sqref="I98">
    <cfRule type="containsBlanks" dxfId="7367" priority="1313" stopIfTrue="1">
      <formula>LEN(TRIM(I98))=0</formula>
    </cfRule>
    <cfRule type="cellIs" dxfId="7366" priority="1314" stopIfTrue="1" operator="between">
      <formula>80.1</formula>
      <formula>100</formula>
    </cfRule>
    <cfRule type="cellIs" dxfId="7365" priority="1315" stopIfTrue="1" operator="between">
      <formula>35.1</formula>
      <formula>80</formula>
    </cfRule>
    <cfRule type="cellIs" dxfId="7364" priority="1316" stopIfTrue="1" operator="between">
      <formula>14.1</formula>
      <formula>35</formula>
    </cfRule>
    <cfRule type="cellIs" dxfId="7363" priority="1317" stopIfTrue="1" operator="between">
      <formula>5.1</formula>
      <formula>14</formula>
    </cfRule>
    <cfRule type="cellIs" dxfId="7362" priority="1318" stopIfTrue="1" operator="between">
      <formula>0</formula>
      <formula>5</formula>
    </cfRule>
    <cfRule type="containsBlanks" dxfId="7361" priority="1319" stopIfTrue="1">
      <formula>LEN(TRIM(I98))=0</formula>
    </cfRule>
  </conditionalFormatting>
  <conditionalFormatting sqref="H100">
    <cfRule type="containsBlanks" dxfId="7360" priority="1299" stopIfTrue="1">
      <formula>LEN(TRIM(H100))=0</formula>
    </cfRule>
    <cfRule type="cellIs" dxfId="7359" priority="1300" stopIfTrue="1" operator="between">
      <formula>80.1</formula>
      <formula>100</formula>
    </cfRule>
    <cfRule type="cellIs" dxfId="7358" priority="1301" stopIfTrue="1" operator="between">
      <formula>35.1</formula>
      <formula>80</formula>
    </cfRule>
    <cfRule type="cellIs" dxfId="7357" priority="1302" stopIfTrue="1" operator="between">
      <formula>14.1</formula>
      <formula>35</formula>
    </cfRule>
    <cfRule type="cellIs" dxfId="7356" priority="1303" stopIfTrue="1" operator="between">
      <formula>5.1</formula>
      <formula>14</formula>
    </cfRule>
    <cfRule type="cellIs" dxfId="7355" priority="1304" stopIfTrue="1" operator="between">
      <formula>0</formula>
      <formula>5</formula>
    </cfRule>
    <cfRule type="containsBlanks" dxfId="7354" priority="1305" stopIfTrue="1">
      <formula>LEN(TRIM(H100))=0</formula>
    </cfRule>
  </conditionalFormatting>
  <conditionalFormatting sqref="E99">
    <cfRule type="containsBlanks" dxfId="7353" priority="1292" stopIfTrue="1">
      <formula>LEN(TRIM(E99))=0</formula>
    </cfRule>
    <cfRule type="cellIs" dxfId="7352" priority="1293" stopIfTrue="1" operator="between">
      <formula>80.1</formula>
      <formula>100</formula>
    </cfRule>
    <cfRule type="cellIs" dxfId="7351" priority="1294" stopIfTrue="1" operator="between">
      <formula>35.1</formula>
      <formula>80</formula>
    </cfRule>
    <cfRule type="cellIs" dxfId="7350" priority="1295" stopIfTrue="1" operator="between">
      <formula>14.1</formula>
      <formula>35</formula>
    </cfRule>
    <cfRule type="cellIs" dxfId="7349" priority="1296" stopIfTrue="1" operator="between">
      <formula>5.1</formula>
      <formula>14</formula>
    </cfRule>
    <cfRule type="cellIs" dxfId="7348" priority="1297" stopIfTrue="1" operator="between">
      <formula>0</formula>
      <formula>5</formula>
    </cfRule>
    <cfRule type="containsBlanks" dxfId="7347" priority="1298" stopIfTrue="1">
      <formula>LEN(TRIM(E99))=0</formula>
    </cfRule>
  </conditionalFormatting>
  <conditionalFormatting sqref="Q32">
    <cfRule type="containsBlanks" dxfId="7346" priority="1285" stopIfTrue="1">
      <formula>LEN(TRIM(Q32))=0</formula>
    </cfRule>
    <cfRule type="cellIs" dxfId="7345" priority="1286" stopIfTrue="1" operator="between">
      <formula>80.1</formula>
      <formula>100</formula>
    </cfRule>
    <cfRule type="cellIs" dxfId="7344" priority="1287" stopIfTrue="1" operator="between">
      <formula>35.1</formula>
      <formula>80</formula>
    </cfRule>
    <cfRule type="cellIs" dxfId="7343" priority="1288" stopIfTrue="1" operator="between">
      <formula>14.1</formula>
      <formula>35</formula>
    </cfRule>
    <cfRule type="cellIs" dxfId="7342" priority="1289" stopIfTrue="1" operator="between">
      <formula>5.1</formula>
      <formula>14</formula>
    </cfRule>
    <cfRule type="cellIs" dxfId="7341" priority="1290" stopIfTrue="1" operator="between">
      <formula>0</formula>
      <formula>5</formula>
    </cfRule>
    <cfRule type="containsBlanks" dxfId="7340" priority="1291" stopIfTrue="1">
      <formula>LEN(TRIM(Q32))=0</formula>
    </cfRule>
  </conditionalFormatting>
  <conditionalFormatting sqref="E13:P13">
    <cfRule type="containsBlanks" dxfId="7339" priority="1278" stopIfTrue="1">
      <formula>LEN(TRIM(E13))=0</formula>
    </cfRule>
    <cfRule type="cellIs" dxfId="7338" priority="1279" stopIfTrue="1" operator="between">
      <formula>79.1</formula>
      <formula>100</formula>
    </cfRule>
    <cfRule type="cellIs" dxfId="7337" priority="1280" stopIfTrue="1" operator="between">
      <formula>34.1</formula>
      <formula>79</formula>
    </cfRule>
    <cfRule type="cellIs" dxfId="7336" priority="1281" stopIfTrue="1" operator="between">
      <formula>13.1</formula>
      <formula>34</formula>
    </cfRule>
    <cfRule type="cellIs" dxfId="7335" priority="1282" stopIfTrue="1" operator="between">
      <formula>5.1</formula>
      <formula>13</formula>
    </cfRule>
    <cfRule type="cellIs" dxfId="7334" priority="1283" stopIfTrue="1" operator="between">
      <formula>0</formula>
      <formula>5</formula>
    </cfRule>
    <cfRule type="containsBlanks" dxfId="7333" priority="1284" stopIfTrue="1">
      <formula>LEN(TRIM(E13))=0</formula>
    </cfRule>
  </conditionalFormatting>
  <conditionalFormatting sqref="E14:P14">
    <cfRule type="containsBlanks" dxfId="7332" priority="1271" stopIfTrue="1">
      <formula>LEN(TRIM(E14))=0</formula>
    </cfRule>
    <cfRule type="cellIs" dxfId="7331" priority="1272" stopIfTrue="1" operator="between">
      <formula>79.1</formula>
      <formula>100</formula>
    </cfRule>
    <cfRule type="cellIs" dxfId="7330" priority="1273" stopIfTrue="1" operator="between">
      <formula>34.1</formula>
      <formula>79</formula>
    </cfRule>
    <cfRule type="cellIs" dxfId="7329" priority="1274" stopIfTrue="1" operator="between">
      <formula>13.1</formula>
      <formula>34</formula>
    </cfRule>
    <cfRule type="cellIs" dxfId="7328" priority="1275" stopIfTrue="1" operator="between">
      <formula>5.1</formula>
      <formula>13</formula>
    </cfRule>
    <cfRule type="cellIs" dxfId="7327" priority="1276" stopIfTrue="1" operator="between">
      <formula>0</formula>
      <formula>5</formula>
    </cfRule>
    <cfRule type="containsBlanks" dxfId="7326" priority="1277" stopIfTrue="1">
      <formula>LEN(TRIM(E14))=0</formula>
    </cfRule>
  </conditionalFormatting>
  <conditionalFormatting sqref="E15:P15">
    <cfRule type="containsBlanks" dxfId="7325" priority="1264" stopIfTrue="1">
      <formula>LEN(TRIM(E15))=0</formula>
    </cfRule>
    <cfRule type="cellIs" dxfId="7324" priority="1265" stopIfTrue="1" operator="between">
      <formula>79.1</formula>
      <formula>100</formula>
    </cfRule>
    <cfRule type="cellIs" dxfId="7323" priority="1266" stopIfTrue="1" operator="between">
      <formula>34.1</formula>
      <formula>79</formula>
    </cfRule>
    <cfRule type="cellIs" dxfId="7322" priority="1267" stopIfTrue="1" operator="between">
      <formula>13.1</formula>
      <formula>34</formula>
    </cfRule>
    <cfRule type="cellIs" dxfId="7321" priority="1268" stopIfTrue="1" operator="between">
      <formula>5.1</formula>
      <formula>13</formula>
    </cfRule>
    <cfRule type="cellIs" dxfId="7320" priority="1269" stopIfTrue="1" operator="between">
      <formula>0</formula>
      <formula>5</formula>
    </cfRule>
    <cfRule type="containsBlanks" dxfId="7319" priority="1270" stopIfTrue="1">
      <formula>LEN(TRIM(E15))=0</formula>
    </cfRule>
  </conditionalFormatting>
  <conditionalFormatting sqref="E44:P44">
    <cfRule type="containsBlanks" dxfId="7318" priority="1250" stopIfTrue="1">
      <formula>LEN(TRIM(E44))=0</formula>
    </cfRule>
    <cfRule type="cellIs" dxfId="7317" priority="1251" stopIfTrue="1" operator="between">
      <formula>80.1</formula>
      <formula>100</formula>
    </cfRule>
    <cfRule type="cellIs" dxfId="7316" priority="1252" stopIfTrue="1" operator="between">
      <formula>35.1</formula>
      <formula>80</formula>
    </cfRule>
    <cfRule type="cellIs" dxfId="7315" priority="1253" stopIfTrue="1" operator="between">
      <formula>14.1</formula>
      <formula>35</formula>
    </cfRule>
    <cfRule type="cellIs" dxfId="7314" priority="1254" stopIfTrue="1" operator="between">
      <formula>5.1</formula>
      <formula>14</formula>
    </cfRule>
    <cfRule type="cellIs" dxfId="7313" priority="1255" stopIfTrue="1" operator="between">
      <formula>0</formula>
      <formula>5</formula>
    </cfRule>
    <cfRule type="containsBlanks" dxfId="7312" priority="1256" stopIfTrue="1">
      <formula>LEN(TRIM(E44))=0</formula>
    </cfRule>
  </conditionalFormatting>
  <conditionalFormatting sqref="E45:P45">
    <cfRule type="containsBlanks" dxfId="7311" priority="1243" stopIfTrue="1">
      <formula>LEN(TRIM(E45))=0</formula>
    </cfRule>
    <cfRule type="cellIs" dxfId="7310" priority="1244" stopIfTrue="1" operator="between">
      <formula>80.1</formula>
      <formula>100</formula>
    </cfRule>
    <cfRule type="cellIs" dxfId="7309" priority="1245" stopIfTrue="1" operator="between">
      <formula>35.1</formula>
      <formula>80</formula>
    </cfRule>
    <cfRule type="cellIs" dxfId="7308" priority="1246" stopIfTrue="1" operator="between">
      <formula>14.1</formula>
      <formula>35</formula>
    </cfRule>
    <cfRule type="cellIs" dxfId="7307" priority="1247" stopIfTrue="1" operator="between">
      <formula>5.1</formula>
      <formula>14</formula>
    </cfRule>
    <cfRule type="cellIs" dxfId="7306" priority="1248" stopIfTrue="1" operator="between">
      <formula>0</formula>
      <formula>5</formula>
    </cfRule>
    <cfRule type="containsBlanks" dxfId="7305" priority="1249" stopIfTrue="1">
      <formula>LEN(TRIM(E45))=0</formula>
    </cfRule>
  </conditionalFormatting>
  <conditionalFormatting sqref="E46:P46">
    <cfRule type="containsBlanks" dxfId="7304" priority="1236" stopIfTrue="1">
      <formula>LEN(TRIM(E46))=0</formula>
    </cfRule>
    <cfRule type="cellIs" dxfId="7303" priority="1237" stopIfTrue="1" operator="between">
      <formula>80.1</formula>
      <formula>100</formula>
    </cfRule>
    <cfRule type="cellIs" dxfId="7302" priority="1238" stopIfTrue="1" operator="between">
      <formula>35.1</formula>
      <formula>80</formula>
    </cfRule>
    <cfRule type="cellIs" dxfId="7301" priority="1239" stopIfTrue="1" operator="between">
      <formula>14.1</formula>
      <formula>35</formula>
    </cfRule>
    <cfRule type="cellIs" dxfId="7300" priority="1240" stopIfTrue="1" operator="between">
      <formula>5.1</formula>
      <formula>14</formula>
    </cfRule>
    <cfRule type="cellIs" dxfId="7299" priority="1241" stopIfTrue="1" operator="between">
      <formula>0</formula>
      <formula>5</formula>
    </cfRule>
    <cfRule type="containsBlanks" dxfId="7298" priority="1242" stopIfTrue="1">
      <formula>LEN(TRIM(E46))=0</formula>
    </cfRule>
  </conditionalFormatting>
  <conditionalFormatting sqref="E47:P47">
    <cfRule type="containsBlanks" dxfId="7297" priority="1229" stopIfTrue="1">
      <formula>LEN(TRIM(E47))=0</formula>
    </cfRule>
    <cfRule type="cellIs" dxfId="7296" priority="1230" stopIfTrue="1" operator="between">
      <formula>80.1</formula>
      <formula>100</formula>
    </cfRule>
    <cfRule type="cellIs" dxfId="7295" priority="1231" stopIfTrue="1" operator="between">
      <formula>35.1</formula>
      <formula>80</formula>
    </cfRule>
    <cfRule type="cellIs" dxfId="7294" priority="1232" stopIfTrue="1" operator="between">
      <formula>14.1</formula>
      <formula>35</formula>
    </cfRule>
    <cfRule type="cellIs" dxfId="7293" priority="1233" stopIfTrue="1" operator="between">
      <formula>5.1</formula>
      <formula>14</formula>
    </cfRule>
    <cfRule type="cellIs" dxfId="7292" priority="1234" stopIfTrue="1" operator="between">
      <formula>0</formula>
      <formula>5</formula>
    </cfRule>
    <cfRule type="containsBlanks" dxfId="7291" priority="1235" stopIfTrue="1">
      <formula>LEN(TRIM(E47))=0</formula>
    </cfRule>
  </conditionalFormatting>
  <conditionalFormatting sqref="E49:P49">
    <cfRule type="containsBlanks" dxfId="7290" priority="1222" stopIfTrue="1">
      <formula>LEN(TRIM(E49))=0</formula>
    </cfRule>
    <cfRule type="cellIs" dxfId="7289" priority="1223" stopIfTrue="1" operator="between">
      <formula>80.1</formula>
      <formula>100</formula>
    </cfRule>
    <cfRule type="cellIs" dxfId="7288" priority="1224" stopIfTrue="1" operator="between">
      <formula>35.1</formula>
      <formula>80</formula>
    </cfRule>
    <cfRule type="cellIs" dxfId="7287" priority="1225" stopIfTrue="1" operator="between">
      <formula>14.1</formula>
      <formula>35</formula>
    </cfRule>
    <cfRule type="cellIs" dxfId="7286" priority="1226" stopIfTrue="1" operator="between">
      <formula>5.1</formula>
      <formula>14</formula>
    </cfRule>
    <cfRule type="cellIs" dxfId="7285" priority="1227" stopIfTrue="1" operator="between">
      <formula>0</formula>
      <formula>5</formula>
    </cfRule>
    <cfRule type="containsBlanks" dxfId="7284" priority="1228" stopIfTrue="1">
      <formula>LEN(TRIM(E49))=0</formula>
    </cfRule>
  </conditionalFormatting>
  <conditionalFormatting sqref="E51:P51">
    <cfRule type="containsBlanks" dxfId="7283" priority="1215" stopIfTrue="1">
      <formula>LEN(TRIM(E51))=0</formula>
    </cfRule>
    <cfRule type="cellIs" dxfId="7282" priority="1216" stopIfTrue="1" operator="between">
      <formula>80.1</formula>
      <formula>100</formula>
    </cfRule>
    <cfRule type="cellIs" dxfId="7281" priority="1217" stopIfTrue="1" operator="between">
      <formula>35.1</formula>
      <formula>80</formula>
    </cfRule>
    <cfRule type="cellIs" dxfId="7280" priority="1218" stopIfTrue="1" operator="between">
      <formula>14.1</formula>
      <formula>35</formula>
    </cfRule>
    <cfRule type="cellIs" dxfId="7279" priority="1219" stopIfTrue="1" operator="between">
      <formula>5.1</formula>
      <formula>14</formula>
    </cfRule>
    <cfRule type="cellIs" dxfId="7278" priority="1220" stopIfTrue="1" operator="between">
      <formula>0</formula>
      <formula>5</formula>
    </cfRule>
    <cfRule type="containsBlanks" dxfId="7277" priority="1221" stopIfTrue="1">
      <formula>LEN(TRIM(E51))=0</formula>
    </cfRule>
  </conditionalFormatting>
  <conditionalFormatting sqref="E52:P52">
    <cfRule type="containsBlanks" dxfId="7276" priority="1208" stopIfTrue="1">
      <formula>LEN(TRIM(E52))=0</formula>
    </cfRule>
    <cfRule type="cellIs" dxfId="7275" priority="1209" stopIfTrue="1" operator="between">
      <formula>80.1</formula>
      <formula>100</formula>
    </cfRule>
    <cfRule type="cellIs" dxfId="7274" priority="1210" stopIfTrue="1" operator="between">
      <formula>35.1</formula>
      <formula>80</formula>
    </cfRule>
    <cfRule type="cellIs" dxfId="7273" priority="1211" stopIfTrue="1" operator="between">
      <formula>14.1</formula>
      <formula>35</formula>
    </cfRule>
    <cfRule type="cellIs" dxfId="7272" priority="1212" stopIfTrue="1" operator="between">
      <formula>5.1</formula>
      <formula>14</formula>
    </cfRule>
    <cfRule type="cellIs" dxfId="7271" priority="1213" stopIfTrue="1" operator="between">
      <formula>0</formula>
      <formula>5</formula>
    </cfRule>
    <cfRule type="containsBlanks" dxfId="7270" priority="1214" stopIfTrue="1">
      <formula>LEN(TRIM(E52))=0</formula>
    </cfRule>
  </conditionalFormatting>
  <conditionalFormatting sqref="E53:P53">
    <cfRule type="containsBlanks" dxfId="7269" priority="1201" stopIfTrue="1">
      <formula>LEN(TRIM(E53))=0</formula>
    </cfRule>
    <cfRule type="cellIs" dxfId="7268" priority="1202" stopIfTrue="1" operator="between">
      <formula>80.1</formula>
      <formula>100</formula>
    </cfRule>
    <cfRule type="cellIs" dxfId="7267" priority="1203" stopIfTrue="1" operator="between">
      <formula>35.1</formula>
      <formula>80</formula>
    </cfRule>
    <cfRule type="cellIs" dxfId="7266" priority="1204" stopIfTrue="1" operator="between">
      <formula>14.1</formula>
      <formula>35</formula>
    </cfRule>
    <cfRule type="cellIs" dxfId="7265" priority="1205" stopIfTrue="1" operator="between">
      <formula>5.1</formula>
      <formula>14</formula>
    </cfRule>
    <cfRule type="cellIs" dxfId="7264" priority="1206" stopIfTrue="1" operator="between">
      <formula>0</formula>
      <formula>5</formula>
    </cfRule>
    <cfRule type="containsBlanks" dxfId="7263" priority="1207" stopIfTrue="1">
      <formula>LEN(TRIM(E53))=0</formula>
    </cfRule>
  </conditionalFormatting>
  <conditionalFormatting sqref="E54:P54">
    <cfRule type="containsBlanks" dxfId="7262" priority="1194" stopIfTrue="1">
      <formula>LEN(TRIM(E54))=0</formula>
    </cfRule>
    <cfRule type="cellIs" dxfId="7261" priority="1195" stopIfTrue="1" operator="between">
      <formula>80.1</formula>
      <formula>100</formula>
    </cfRule>
    <cfRule type="cellIs" dxfId="7260" priority="1196" stopIfTrue="1" operator="between">
      <formula>35.1</formula>
      <formula>80</formula>
    </cfRule>
    <cfRule type="cellIs" dxfId="7259" priority="1197" stopIfTrue="1" operator="between">
      <formula>14.1</formula>
      <formula>35</formula>
    </cfRule>
    <cfRule type="cellIs" dxfId="7258" priority="1198" stopIfTrue="1" operator="between">
      <formula>5.1</formula>
      <formula>14</formula>
    </cfRule>
    <cfRule type="cellIs" dxfId="7257" priority="1199" stopIfTrue="1" operator="between">
      <formula>0</formula>
      <formula>5</formula>
    </cfRule>
    <cfRule type="containsBlanks" dxfId="7256" priority="1200" stopIfTrue="1">
      <formula>LEN(TRIM(E54))=0</formula>
    </cfRule>
  </conditionalFormatting>
  <conditionalFormatting sqref="E57:P57">
    <cfRule type="containsBlanks" dxfId="7255" priority="1187" stopIfTrue="1">
      <formula>LEN(TRIM(E57))=0</formula>
    </cfRule>
    <cfRule type="cellIs" dxfId="7254" priority="1188" stopIfTrue="1" operator="between">
      <formula>80.1</formula>
      <formula>100</formula>
    </cfRule>
    <cfRule type="cellIs" dxfId="7253" priority="1189" stopIfTrue="1" operator="between">
      <formula>35.1</formula>
      <formula>80</formula>
    </cfRule>
    <cfRule type="cellIs" dxfId="7252" priority="1190" stopIfTrue="1" operator="between">
      <formula>14.1</formula>
      <formula>35</formula>
    </cfRule>
    <cfRule type="cellIs" dxfId="7251" priority="1191" stopIfTrue="1" operator="between">
      <formula>5.1</formula>
      <formula>14</formula>
    </cfRule>
    <cfRule type="cellIs" dxfId="7250" priority="1192" stopIfTrue="1" operator="between">
      <formula>0</formula>
      <formula>5</formula>
    </cfRule>
    <cfRule type="containsBlanks" dxfId="7249" priority="1193" stopIfTrue="1">
      <formula>LEN(TRIM(E57))=0</formula>
    </cfRule>
  </conditionalFormatting>
  <conditionalFormatting sqref="Q56">
    <cfRule type="containsBlanks" dxfId="7248" priority="1180" stopIfTrue="1">
      <formula>LEN(TRIM(Q56))=0</formula>
    </cfRule>
    <cfRule type="cellIs" dxfId="7247" priority="1181" stopIfTrue="1" operator="between">
      <formula>80.1</formula>
      <formula>100</formula>
    </cfRule>
    <cfRule type="cellIs" dxfId="7246" priority="1182" stopIfTrue="1" operator="between">
      <formula>35.1</formula>
      <formula>80</formula>
    </cfRule>
    <cfRule type="cellIs" dxfId="7245" priority="1183" stopIfTrue="1" operator="between">
      <formula>14.1</formula>
      <formula>35</formula>
    </cfRule>
    <cfRule type="cellIs" dxfId="7244" priority="1184" stopIfTrue="1" operator="between">
      <formula>5.1</formula>
      <formula>14</formula>
    </cfRule>
    <cfRule type="cellIs" dxfId="7243" priority="1185" stopIfTrue="1" operator="between">
      <formula>0</formula>
      <formula>5</formula>
    </cfRule>
    <cfRule type="containsBlanks" dxfId="7242" priority="1186" stopIfTrue="1">
      <formula>LEN(TRIM(Q56))=0</formula>
    </cfRule>
  </conditionalFormatting>
  <conditionalFormatting sqref="E56:P56">
    <cfRule type="containsBlanks" dxfId="7241" priority="1173" stopIfTrue="1">
      <formula>LEN(TRIM(E56))=0</formula>
    </cfRule>
    <cfRule type="cellIs" dxfId="7240" priority="1174" stopIfTrue="1" operator="between">
      <formula>80.1</formula>
      <formula>100</formula>
    </cfRule>
    <cfRule type="cellIs" dxfId="7239" priority="1175" stopIfTrue="1" operator="between">
      <formula>35.1</formula>
      <formula>80</formula>
    </cfRule>
    <cfRule type="cellIs" dxfId="7238" priority="1176" stopIfTrue="1" operator="between">
      <formula>14.1</formula>
      <formula>35</formula>
    </cfRule>
    <cfRule type="cellIs" dxfId="7237" priority="1177" stopIfTrue="1" operator="between">
      <formula>5.1</formula>
      <formula>14</formula>
    </cfRule>
    <cfRule type="cellIs" dxfId="7236" priority="1178" stopIfTrue="1" operator="between">
      <formula>0</formula>
      <formula>5</formula>
    </cfRule>
    <cfRule type="containsBlanks" dxfId="7235" priority="1179" stopIfTrue="1">
      <formula>LEN(TRIM(E56))=0</formula>
    </cfRule>
  </conditionalFormatting>
  <conditionalFormatting sqref="E55:P55">
    <cfRule type="containsBlanks" dxfId="7234" priority="1152" stopIfTrue="1">
      <formula>LEN(TRIM(E55))=0</formula>
    </cfRule>
    <cfRule type="cellIs" dxfId="7233" priority="1153" stopIfTrue="1" operator="between">
      <formula>80.1</formula>
      <formula>100</formula>
    </cfRule>
    <cfRule type="cellIs" dxfId="7232" priority="1154" stopIfTrue="1" operator="between">
      <formula>35.1</formula>
      <formula>80</formula>
    </cfRule>
    <cfRule type="cellIs" dxfId="7231" priority="1155" stopIfTrue="1" operator="between">
      <formula>14.1</formula>
      <formula>35</formula>
    </cfRule>
    <cfRule type="cellIs" dxfId="7230" priority="1156" stopIfTrue="1" operator="between">
      <formula>5.1</formula>
      <formula>14</formula>
    </cfRule>
    <cfRule type="cellIs" dxfId="7229" priority="1157" stopIfTrue="1" operator="between">
      <formula>0</formula>
      <formula>5</formula>
    </cfRule>
    <cfRule type="containsBlanks" dxfId="7228" priority="1158" stopIfTrue="1">
      <formula>LEN(TRIM(E55))=0</formula>
    </cfRule>
  </conditionalFormatting>
  <conditionalFormatting sqref="E66:P66">
    <cfRule type="containsBlanks" dxfId="7227" priority="1145" stopIfTrue="1">
      <formula>LEN(TRIM(E66))=0</formula>
    </cfRule>
    <cfRule type="cellIs" dxfId="7226" priority="1146" stopIfTrue="1" operator="between">
      <formula>79.1</formula>
      <formula>100</formula>
    </cfRule>
    <cfRule type="cellIs" dxfId="7225" priority="1147" stopIfTrue="1" operator="between">
      <formula>34.1</formula>
      <formula>79</formula>
    </cfRule>
    <cfRule type="cellIs" dxfId="7224" priority="1148" stopIfTrue="1" operator="between">
      <formula>13.1</formula>
      <formula>34</formula>
    </cfRule>
    <cfRule type="cellIs" dxfId="7223" priority="1149" stopIfTrue="1" operator="between">
      <formula>5.1</formula>
      <formula>13</formula>
    </cfRule>
    <cfRule type="cellIs" dxfId="7222" priority="1150" stopIfTrue="1" operator="between">
      <formula>0</formula>
      <formula>5</formula>
    </cfRule>
    <cfRule type="containsBlanks" dxfId="7221" priority="1151" stopIfTrue="1">
      <formula>LEN(TRIM(E66))=0</formula>
    </cfRule>
  </conditionalFormatting>
  <conditionalFormatting sqref="E78:P78">
    <cfRule type="containsBlanks" dxfId="7220" priority="1138" stopIfTrue="1">
      <formula>LEN(TRIM(E78))=0</formula>
    </cfRule>
    <cfRule type="cellIs" dxfId="7219" priority="1139" stopIfTrue="1" operator="between">
      <formula>79.1</formula>
      <formula>100</formula>
    </cfRule>
    <cfRule type="cellIs" dxfId="7218" priority="1140" stopIfTrue="1" operator="between">
      <formula>34.1</formula>
      <formula>79</formula>
    </cfRule>
    <cfRule type="cellIs" dxfId="7217" priority="1141" stopIfTrue="1" operator="between">
      <formula>13.1</formula>
      <formula>34</formula>
    </cfRule>
    <cfRule type="cellIs" dxfId="7216" priority="1142" stopIfTrue="1" operator="between">
      <formula>5.1</formula>
      <formula>13</formula>
    </cfRule>
    <cfRule type="cellIs" dxfId="7215" priority="1143" stopIfTrue="1" operator="between">
      <formula>0</formula>
      <formula>5</formula>
    </cfRule>
    <cfRule type="containsBlanks" dxfId="7214" priority="1144" stopIfTrue="1">
      <formula>LEN(TRIM(E78))=0</formula>
    </cfRule>
  </conditionalFormatting>
  <conditionalFormatting sqref="E79:P79">
    <cfRule type="containsBlanks" dxfId="7213" priority="1131" stopIfTrue="1">
      <formula>LEN(TRIM(E79))=0</formula>
    </cfRule>
    <cfRule type="cellIs" dxfId="7212" priority="1132" stopIfTrue="1" operator="between">
      <formula>79.1</formula>
      <formula>100</formula>
    </cfRule>
    <cfRule type="cellIs" dxfId="7211" priority="1133" stopIfTrue="1" operator="between">
      <formula>34.1</formula>
      <formula>79</formula>
    </cfRule>
    <cfRule type="cellIs" dxfId="7210" priority="1134" stopIfTrue="1" operator="between">
      <formula>13.1</formula>
      <formula>34</formula>
    </cfRule>
    <cfRule type="cellIs" dxfId="7209" priority="1135" stopIfTrue="1" operator="between">
      <formula>5.1</formula>
      <formula>13</formula>
    </cfRule>
    <cfRule type="cellIs" dxfId="7208" priority="1136" stopIfTrue="1" operator="between">
      <formula>0</formula>
      <formula>5</formula>
    </cfRule>
    <cfRule type="containsBlanks" dxfId="7207" priority="1137" stopIfTrue="1">
      <formula>LEN(TRIM(E79))=0</formula>
    </cfRule>
  </conditionalFormatting>
  <conditionalFormatting sqref="E80:P80">
    <cfRule type="containsBlanks" dxfId="7206" priority="1124" stopIfTrue="1">
      <formula>LEN(TRIM(E80))=0</formula>
    </cfRule>
    <cfRule type="cellIs" dxfId="7205" priority="1125" stopIfTrue="1" operator="between">
      <formula>79.1</formula>
      <formula>100</formula>
    </cfRule>
    <cfRule type="cellIs" dxfId="7204" priority="1126" stopIfTrue="1" operator="between">
      <formula>34.1</formula>
      <formula>79</formula>
    </cfRule>
    <cfRule type="cellIs" dxfId="7203" priority="1127" stopIfTrue="1" operator="between">
      <formula>13.1</formula>
      <formula>34</formula>
    </cfRule>
    <cfRule type="cellIs" dxfId="7202" priority="1128" stopIfTrue="1" operator="between">
      <formula>5.1</formula>
      <formula>13</formula>
    </cfRule>
    <cfRule type="cellIs" dxfId="7201" priority="1129" stopIfTrue="1" operator="between">
      <formula>0</formula>
      <formula>5</formula>
    </cfRule>
    <cfRule type="containsBlanks" dxfId="7200" priority="1130" stopIfTrue="1">
      <formula>LEN(TRIM(E80))=0</formula>
    </cfRule>
  </conditionalFormatting>
  <conditionalFormatting sqref="E81:P81">
    <cfRule type="containsBlanks" dxfId="7199" priority="1117" stopIfTrue="1">
      <formula>LEN(TRIM(E81))=0</formula>
    </cfRule>
    <cfRule type="cellIs" dxfId="7198" priority="1118" stopIfTrue="1" operator="between">
      <formula>79.1</formula>
      <formula>100</formula>
    </cfRule>
    <cfRule type="cellIs" dxfId="7197" priority="1119" stopIfTrue="1" operator="between">
      <formula>34.1</formula>
      <formula>79</formula>
    </cfRule>
    <cfRule type="cellIs" dxfId="7196" priority="1120" stopIfTrue="1" operator="between">
      <formula>13.1</formula>
      <formula>34</formula>
    </cfRule>
    <cfRule type="cellIs" dxfId="7195" priority="1121" stopIfTrue="1" operator="between">
      <formula>5.1</formula>
      <formula>13</formula>
    </cfRule>
    <cfRule type="cellIs" dxfId="7194" priority="1122" stopIfTrue="1" operator="between">
      <formula>0</formula>
      <formula>5</formula>
    </cfRule>
    <cfRule type="containsBlanks" dxfId="7193" priority="1123" stopIfTrue="1">
      <formula>LEN(TRIM(E81))=0</formula>
    </cfRule>
  </conditionalFormatting>
  <conditionalFormatting sqref="E82:P82">
    <cfRule type="containsBlanks" dxfId="7192" priority="1110" stopIfTrue="1">
      <formula>LEN(TRIM(E82))=0</formula>
    </cfRule>
    <cfRule type="cellIs" dxfId="7191" priority="1111" stopIfTrue="1" operator="between">
      <formula>79.1</formula>
      <formula>100</formula>
    </cfRule>
    <cfRule type="cellIs" dxfId="7190" priority="1112" stopIfTrue="1" operator="between">
      <formula>34.1</formula>
      <formula>79</formula>
    </cfRule>
    <cfRule type="cellIs" dxfId="7189" priority="1113" stopIfTrue="1" operator="between">
      <formula>13.1</formula>
      <formula>34</formula>
    </cfRule>
    <cfRule type="cellIs" dxfId="7188" priority="1114" stopIfTrue="1" operator="between">
      <formula>5.1</formula>
      <formula>13</formula>
    </cfRule>
    <cfRule type="cellIs" dxfId="7187" priority="1115" stopIfTrue="1" operator="between">
      <formula>0</formula>
      <formula>5</formula>
    </cfRule>
    <cfRule type="containsBlanks" dxfId="7186" priority="1116" stopIfTrue="1">
      <formula>LEN(TRIM(E82))=0</formula>
    </cfRule>
  </conditionalFormatting>
  <conditionalFormatting sqref="E83:P83">
    <cfRule type="containsBlanks" dxfId="7185" priority="1103" stopIfTrue="1">
      <formula>LEN(TRIM(E83))=0</formula>
    </cfRule>
    <cfRule type="cellIs" dxfId="7184" priority="1104" stopIfTrue="1" operator="between">
      <formula>79.1</formula>
      <formula>100</formula>
    </cfRule>
    <cfRule type="cellIs" dxfId="7183" priority="1105" stopIfTrue="1" operator="between">
      <formula>34.1</formula>
      <formula>79</formula>
    </cfRule>
    <cfRule type="cellIs" dxfId="7182" priority="1106" stopIfTrue="1" operator="between">
      <formula>13.1</formula>
      <formula>34</formula>
    </cfRule>
    <cfRule type="cellIs" dxfId="7181" priority="1107" stopIfTrue="1" operator="between">
      <formula>5.1</formula>
      <formula>13</formula>
    </cfRule>
    <cfRule type="cellIs" dxfId="7180" priority="1108" stopIfTrue="1" operator="between">
      <formula>0</formula>
      <formula>5</formula>
    </cfRule>
    <cfRule type="containsBlanks" dxfId="7179" priority="1109" stopIfTrue="1">
      <formula>LEN(TRIM(E83))=0</formula>
    </cfRule>
  </conditionalFormatting>
  <conditionalFormatting sqref="E89:P89">
    <cfRule type="containsBlanks" dxfId="7178" priority="1096" stopIfTrue="1">
      <formula>LEN(TRIM(E89))=0</formula>
    </cfRule>
    <cfRule type="cellIs" dxfId="7177" priority="1097" stopIfTrue="1" operator="between">
      <formula>79.1</formula>
      <formula>100</formula>
    </cfRule>
    <cfRule type="cellIs" dxfId="7176" priority="1098" stopIfTrue="1" operator="between">
      <formula>34.1</formula>
      <formula>79</formula>
    </cfRule>
    <cfRule type="cellIs" dxfId="7175" priority="1099" stopIfTrue="1" operator="between">
      <formula>13.1</formula>
      <formula>34</formula>
    </cfRule>
    <cfRule type="cellIs" dxfId="7174" priority="1100" stopIfTrue="1" operator="between">
      <formula>5.1</formula>
      <formula>13</formula>
    </cfRule>
    <cfRule type="cellIs" dxfId="7173" priority="1101" stopIfTrue="1" operator="between">
      <formula>0</formula>
      <formula>5</formula>
    </cfRule>
    <cfRule type="containsBlanks" dxfId="7172" priority="1102" stopIfTrue="1">
      <formula>LEN(TRIM(E89))=0</formula>
    </cfRule>
  </conditionalFormatting>
  <conditionalFormatting sqref="E91:P91">
    <cfRule type="containsBlanks" dxfId="7171" priority="1089" stopIfTrue="1">
      <formula>LEN(TRIM(E91))=0</formula>
    </cfRule>
    <cfRule type="cellIs" dxfId="7170" priority="1090" stopIfTrue="1" operator="between">
      <formula>79.1</formula>
      <formula>100</formula>
    </cfRule>
    <cfRule type="cellIs" dxfId="7169" priority="1091" stopIfTrue="1" operator="between">
      <formula>34.1</formula>
      <formula>79</formula>
    </cfRule>
    <cfRule type="cellIs" dxfId="7168" priority="1092" stopIfTrue="1" operator="between">
      <formula>13.1</formula>
      <formula>34</formula>
    </cfRule>
    <cfRule type="cellIs" dxfId="7167" priority="1093" stopIfTrue="1" operator="between">
      <formula>5.1</formula>
      <formula>13</formula>
    </cfRule>
    <cfRule type="cellIs" dxfId="7166" priority="1094" stopIfTrue="1" operator="between">
      <formula>0</formula>
      <formula>5</formula>
    </cfRule>
    <cfRule type="containsBlanks" dxfId="7165" priority="1095" stopIfTrue="1">
      <formula>LEN(TRIM(E91))=0</formula>
    </cfRule>
  </conditionalFormatting>
  <conditionalFormatting sqref="E92:P92">
    <cfRule type="containsBlanks" dxfId="7164" priority="1082" stopIfTrue="1">
      <formula>LEN(TRIM(E92))=0</formula>
    </cfRule>
    <cfRule type="cellIs" dxfId="7163" priority="1083" stopIfTrue="1" operator="between">
      <formula>79.1</formula>
      <formula>100</formula>
    </cfRule>
    <cfRule type="cellIs" dxfId="7162" priority="1084" stopIfTrue="1" operator="between">
      <formula>34.1</formula>
      <formula>79</formula>
    </cfRule>
    <cfRule type="cellIs" dxfId="7161" priority="1085" stopIfTrue="1" operator="between">
      <formula>13.1</formula>
      <formula>34</formula>
    </cfRule>
    <cfRule type="cellIs" dxfId="7160" priority="1086" stopIfTrue="1" operator="between">
      <formula>5.1</formula>
      <formula>13</formula>
    </cfRule>
    <cfRule type="cellIs" dxfId="7159" priority="1087" stopIfTrue="1" operator="between">
      <formula>0</formula>
      <formula>5</formula>
    </cfRule>
    <cfRule type="containsBlanks" dxfId="7158" priority="1088" stopIfTrue="1">
      <formula>LEN(TRIM(E92))=0</formula>
    </cfRule>
  </conditionalFormatting>
  <conditionalFormatting sqref="E93:P93">
    <cfRule type="containsBlanks" dxfId="7157" priority="1075" stopIfTrue="1">
      <formula>LEN(TRIM(E93))=0</formula>
    </cfRule>
    <cfRule type="cellIs" dxfId="7156" priority="1076" stopIfTrue="1" operator="between">
      <formula>79.1</formula>
      <formula>100</formula>
    </cfRule>
    <cfRule type="cellIs" dxfId="7155" priority="1077" stopIfTrue="1" operator="between">
      <formula>34.1</formula>
      <formula>79</formula>
    </cfRule>
    <cfRule type="cellIs" dxfId="7154" priority="1078" stopIfTrue="1" operator="between">
      <formula>13.1</formula>
      <formula>34</formula>
    </cfRule>
    <cfRule type="cellIs" dxfId="7153" priority="1079" stopIfTrue="1" operator="between">
      <formula>5.1</formula>
      <formula>13</formula>
    </cfRule>
    <cfRule type="cellIs" dxfId="7152" priority="1080" stopIfTrue="1" operator="between">
      <formula>0</formula>
      <formula>5</formula>
    </cfRule>
    <cfRule type="containsBlanks" dxfId="7151" priority="1081" stopIfTrue="1">
      <formula>LEN(TRIM(E93))=0</formula>
    </cfRule>
  </conditionalFormatting>
  <conditionalFormatting sqref="E77:P77">
    <cfRule type="containsBlanks" dxfId="7150" priority="1068" stopIfTrue="1">
      <formula>LEN(TRIM(E77))=0</formula>
    </cfRule>
    <cfRule type="cellIs" dxfId="7149" priority="1069" stopIfTrue="1" operator="between">
      <formula>79.1</formula>
      <formula>100</formula>
    </cfRule>
    <cfRule type="cellIs" dxfId="7148" priority="1070" stopIfTrue="1" operator="between">
      <formula>34.1</formula>
      <formula>79</formula>
    </cfRule>
    <cfRule type="cellIs" dxfId="7147" priority="1071" stopIfTrue="1" operator="between">
      <formula>13.1</formula>
      <formula>34</formula>
    </cfRule>
    <cfRule type="cellIs" dxfId="7146" priority="1072" stopIfTrue="1" operator="between">
      <formula>5.1</formula>
      <formula>13</formula>
    </cfRule>
    <cfRule type="cellIs" dxfId="7145" priority="1073" stopIfTrue="1" operator="between">
      <formula>0</formula>
      <formula>5</formula>
    </cfRule>
    <cfRule type="containsBlanks" dxfId="7144" priority="1074" stopIfTrue="1">
      <formula>LEN(TRIM(E77))=0</formula>
    </cfRule>
  </conditionalFormatting>
  <conditionalFormatting sqref="E103:P103">
    <cfRule type="containsBlanks" dxfId="7143" priority="1012" stopIfTrue="1">
      <formula>LEN(TRIM(E103))=0</formula>
    </cfRule>
    <cfRule type="cellIs" dxfId="7142" priority="1013" stopIfTrue="1" operator="between">
      <formula>79.1</formula>
      <formula>100</formula>
    </cfRule>
    <cfRule type="cellIs" dxfId="7141" priority="1014" stopIfTrue="1" operator="between">
      <formula>34.1</formula>
      <formula>79</formula>
    </cfRule>
    <cfRule type="cellIs" dxfId="7140" priority="1015" stopIfTrue="1" operator="between">
      <formula>13.1</formula>
      <formula>34</formula>
    </cfRule>
    <cfRule type="cellIs" dxfId="7139" priority="1016" stopIfTrue="1" operator="between">
      <formula>5.1</formula>
      <formula>13</formula>
    </cfRule>
    <cfRule type="cellIs" dxfId="7138" priority="1017" stopIfTrue="1" operator="between">
      <formula>0</formula>
      <formula>5</formula>
    </cfRule>
    <cfRule type="containsBlanks" dxfId="7137" priority="1018" stopIfTrue="1">
      <formula>LEN(TRIM(E103))=0</formula>
    </cfRule>
  </conditionalFormatting>
  <conditionalFormatting sqref="Q94">
    <cfRule type="containsBlanks" dxfId="7136" priority="1061" stopIfTrue="1">
      <formula>LEN(TRIM(Q94))=0</formula>
    </cfRule>
    <cfRule type="cellIs" dxfId="7135" priority="1062" stopIfTrue="1" operator="between">
      <formula>80.1</formula>
      <formula>100</formula>
    </cfRule>
    <cfRule type="cellIs" dxfId="7134" priority="1063" stopIfTrue="1" operator="between">
      <formula>35.1</formula>
      <formula>80</formula>
    </cfRule>
    <cfRule type="cellIs" dxfId="7133" priority="1064" stopIfTrue="1" operator="between">
      <formula>14.1</formula>
      <formula>35</formula>
    </cfRule>
    <cfRule type="cellIs" dxfId="7132" priority="1065" stopIfTrue="1" operator="between">
      <formula>5.1</formula>
      <formula>14</formula>
    </cfRule>
    <cfRule type="cellIs" dxfId="7131" priority="1066" stopIfTrue="1" operator="between">
      <formula>0</formula>
      <formula>5</formula>
    </cfRule>
    <cfRule type="containsBlanks" dxfId="7130" priority="1067" stopIfTrue="1">
      <formula>LEN(TRIM(Q94))=0</formula>
    </cfRule>
  </conditionalFormatting>
  <conditionalFormatting sqref="E94:P94">
    <cfRule type="containsBlanks" dxfId="7129" priority="1054" stopIfTrue="1">
      <formula>LEN(TRIM(E94))=0</formula>
    </cfRule>
    <cfRule type="cellIs" dxfId="7128" priority="1055" stopIfTrue="1" operator="between">
      <formula>79.1</formula>
      <formula>100</formula>
    </cfRule>
    <cfRule type="cellIs" dxfId="7127" priority="1056" stopIfTrue="1" operator="between">
      <formula>34.1</formula>
      <formula>79</formula>
    </cfRule>
    <cfRule type="cellIs" dxfId="7126" priority="1057" stopIfTrue="1" operator="between">
      <formula>13.1</formula>
      <formula>34</formula>
    </cfRule>
    <cfRule type="cellIs" dxfId="7125" priority="1058" stopIfTrue="1" operator="between">
      <formula>5.1</formula>
      <formula>13</formula>
    </cfRule>
    <cfRule type="cellIs" dxfId="7124" priority="1059" stopIfTrue="1" operator="between">
      <formula>0</formula>
      <formula>5</formula>
    </cfRule>
    <cfRule type="containsBlanks" dxfId="7123" priority="1060" stopIfTrue="1">
      <formula>LEN(TRIM(E94))=0</formula>
    </cfRule>
  </conditionalFormatting>
  <conditionalFormatting sqref="Q95">
    <cfRule type="containsBlanks" dxfId="7122" priority="1047" stopIfTrue="1">
      <formula>LEN(TRIM(Q95))=0</formula>
    </cfRule>
    <cfRule type="cellIs" dxfId="7121" priority="1048" stopIfTrue="1" operator="between">
      <formula>80.1</formula>
      <formula>100</formula>
    </cfRule>
    <cfRule type="cellIs" dxfId="7120" priority="1049" stopIfTrue="1" operator="between">
      <formula>35.1</formula>
      <formula>80</formula>
    </cfRule>
    <cfRule type="cellIs" dxfId="7119" priority="1050" stopIfTrue="1" operator="between">
      <formula>14.1</formula>
      <formula>35</formula>
    </cfRule>
    <cfRule type="cellIs" dxfId="7118" priority="1051" stopIfTrue="1" operator="between">
      <formula>5.1</formula>
      <formula>14</formula>
    </cfRule>
    <cfRule type="cellIs" dxfId="7117" priority="1052" stopIfTrue="1" operator="between">
      <formula>0</formula>
      <formula>5</formula>
    </cfRule>
    <cfRule type="containsBlanks" dxfId="7116" priority="1053" stopIfTrue="1">
      <formula>LEN(TRIM(Q95))=0</formula>
    </cfRule>
  </conditionalFormatting>
  <conditionalFormatting sqref="E95:P95">
    <cfRule type="containsBlanks" dxfId="7115" priority="1040" stopIfTrue="1">
      <formula>LEN(TRIM(E95))=0</formula>
    </cfRule>
    <cfRule type="cellIs" dxfId="7114" priority="1041" stopIfTrue="1" operator="between">
      <formula>79.1</formula>
      <formula>100</formula>
    </cfRule>
    <cfRule type="cellIs" dxfId="7113" priority="1042" stopIfTrue="1" operator="between">
      <formula>34.1</formula>
      <formula>79</formula>
    </cfRule>
    <cfRule type="cellIs" dxfId="7112" priority="1043" stopIfTrue="1" operator="between">
      <formula>13.1</formula>
      <formula>34</formula>
    </cfRule>
    <cfRule type="cellIs" dxfId="7111" priority="1044" stopIfTrue="1" operator="between">
      <formula>5.1</formula>
      <formula>13</formula>
    </cfRule>
    <cfRule type="cellIs" dxfId="7110" priority="1045" stopIfTrue="1" operator="between">
      <formula>0</formula>
      <formula>5</formula>
    </cfRule>
    <cfRule type="containsBlanks" dxfId="7109" priority="1046" stopIfTrue="1">
      <formula>LEN(TRIM(E95))=0</formula>
    </cfRule>
  </conditionalFormatting>
  <conditionalFormatting sqref="E101:P101">
    <cfRule type="containsBlanks" dxfId="7108" priority="1026" stopIfTrue="1">
      <formula>LEN(TRIM(E101))=0</formula>
    </cfRule>
    <cfRule type="cellIs" dxfId="7107" priority="1027" stopIfTrue="1" operator="between">
      <formula>79.1</formula>
      <formula>100</formula>
    </cfRule>
    <cfRule type="cellIs" dxfId="7106" priority="1028" stopIfTrue="1" operator="between">
      <formula>34.1</formula>
      <formula>79</formula>
    </cfRule>
    <cfRule type="cellIs" dxfId="7105" priority="1029" stopIfTrue="1" operator="between">
      <formula>13.1</formula>
      <formula>34</formula>
    </cfRule>
    <cfRule type="cellIs" dxfId="7104" priority="1030" stopIfTrue="1" operator="between">
      <formula>5.1</formula>
      <formula>13</formula>
    </cfRule>
    <cfRule type="cellIs" dxfId="7103" priority="1031" stopIfTrue="1" operator="between">
      <formula>0</formula>
      <formula>5</formula>
    </cfRule>
    <cfRule type="containsBlanks" dxfId="7102" priority="1032" stopIfTrue="1">
      <formula>LEN(TRIM(E101))=0</formula>
    </cfRule>
  </conditionalFormatting>
  <conditionalFormatting sqref="E102:P102">
    <cfRule type="containsBlanks" dxfId="7101" priority="1019" stopIfTrue="1">
      <formula>LEN(TRIM(E102))=0</formula>
    </cfRule>
    <cfRule type="cellIs" dxfId="7100" priority="1020" stopIfTrue="1" operator="between">
      <formula>79.1</formula>
      <formula>100</formula>
    </cfRule>
    <cfRule type="cellIs" dxfId="7099" priority="1021" stopIfTrue="1" operator="between">
      <formula>34.1</formula>
      <formula>79</formula>
    </cfRule>
    <cfRule type="cellIs" dxfId="7098" priority="1022" stopIfTrue="1" operator="between">
      <formula>13.1</formula>
      <formula>34</formula>
    </cfRule>
    <cfRule type="cellIs" dxfId="7097" priority="1023" stopIfTrue="1" operator="between">
      <formula>5.1</formula>
      <formula>13</formula>
    </cfRule>
    <cfRule type="cellIs" dxfId="7096" priority="1024" stopIfTrue="1" operator="between">
      <formula>0</formula>
      <formula>5</formula>
    </cfRule>
    <cfRule type="containsBlanks" dxfId="7095" priority="1025" stopIfTrue="1">
      <formula>LEN(TRIM(E102))=0</formula>
    </cfRule>
  </conditionalFormatting>
  <conditionalFormatting sqref="Q105">
    <cfRule type="containsBlanks" dxfId="7094" priority="998" stopIfTrue="1">
      <formula>LEN(TRIM(Q105))=0</formula>
    </cfRule>
    <cfRule type="cellIs" dxfId="7093" priority="999" stopIfTrue="1" operator="between">
      <formula>80.1</formula>
      <formula>100</formula>
    </cfRule>
    <cfRule type="cellIs" dxfId="7092" priority="1000" stopIfTrue="1" operator="between">
      <formula>35.1</formula>
      <formula>80</formula>
    </cfRule>
    <cfRule type="cellIs" dxfId="7091" priority="1001" stopIfTrue="1" operator="between">
      <formula>14.1</formula>
      <formula>35</formula>
    </cfRule>
    <cfRule type="cellIs" dxfId="7090" priority="1002" stopIfTrue="1" operator="between">
      <formula>5.1</formula>
      <formula>14</formula>
    </cfRule>
    <cfRule type="cellIs" dxfId="7089" priority="1003" stopIfTrue="1" operator="between">
      <formula>0</formula>
      <formula>5</formula>
    </cfRule>
    <cfRule type="containsBlanks" dxfId="7088" priority="1004" stopIfTrue="1">
      <formula>LEN(TRIM(Q105))=0</formula>
    </cfRule>
  </conditionalFormatting>
  <conditionalFormatting sqref="Q104">
    <cfRule type="containsBlanks" dxfId="7087" priority="991" stopIfTrue="1">
      <formula>LEN(TRIM(Q104))=0</formula>
    </cfRule>
    <cfRule type="cellIs" dxfId="7086" priority="992" stopIfTrue="1" operator="between">
      <formula>80.1</formula>
      <formula>100</formula>
    </cfRule>
    <cfRule type="cellIs" dxfId="7085" priority="993" stopIfTrue="1" operator="between">
      <formula>35.1</formula>
      <formula>80</formula>
    </cfRule>
    <cfRule type="cellIs" dxfId="7084" priority="994" stopIfTrue="1" operator="between">
      <formula>14.1</formula>
      <formula>35</formula>
    </cfRule>
    <cfRule type="cellIs" dxfId="7083" priority="995" stopIfTrue="1" operator="between">
      <formula>5.1</formula>
      <formula>14</formula>
    </cfRule>
    <cfRule type="cellIs" dxfId="7082" priority="996" stopIfTrue="1" operator="between">
      <formula>0</formula>
      <formula>5</formula>
    </cfRule>
    <cfRule type="containsBlanks" dxfId="7081" priority="997" stopIfTrue="1">
      <formula>LEN(TRIM(Q104))=0</formula>
    </cfRule>
  </conditionalFormatting>
  <conditionalFormatting sqref="E104:P104">
    <cfRule type="containsBlanks" dxfId="7080" priority="984" stopIfTrue="1">
      <formula>LEN(TRIM(E104))=0</formula>
    </cfRule>
    <cfRule type="cellIs" dxfId="7079" priority="985" stopIfTrue="1" operator="between">
      <formula>79.1</formula>
      <formula>100</formula>
    </cfRule>
    <cfRule type="cellIs" dxfId="7078" priority="986" stopIfTrue="1" operator="between">
      <formula>34.1</formula>
      <formula>79</formula>
    </cfRule>
    <cfRule type="cellIs" dxfId="7077" priority="987" stopIfTrue="1" operator="between">
      <formula>13.1</formula>
      <formula>34</formula>
    </cfRule>
    <cfRule type="cellIs" dxfId="7076" priority="988" stopIfTrue="1" operator="between">
      <formula>5.1</formula>
      <formula>13</formula>
    </cfRule>
    <cfRule type="cellIs" dxfId="7075" priority="989" stopIfTrue="1" operator="between">
      <formula>0</formula>
      <formula>5</formula>
    </cfRule>
    <cfRule type="containsBlanks" dxfId="7074" priority="990" stopIfTrue="1">
      <formula>LEN(TRIM(E104))=0</formula>
    </cfRule>
  </conditionalFormatting>
  <conditionalFormatting sqref="E105:P105">
    <cfRule type="containsBlanks" dxfId="7073" priority="977" stopIfTrue="1">
      <formula>LEN(TRIM(E105))=0</formula>
    </cfRule>
    <cfRule type="cellIs" dxfId="7072" priority="978" stopIfTrue="1" operator="between">
      <formula>79.1</formula>
      <formula>100</formula>
    </cfRule>
    <cfRule type="cellIs" dxfId="7071" priority="979" stopIfTrue="1" operator="between">
      <formula>34.1</formula>
      <formula>79</formula>
    </cfRule>
    <cfRule type="cellIs" dxfId="7070" priority="980" stopIfTrue="1" operator="between">
      <formula>13.1</formula>
      <formula>34</formula>
    </cfRule>
    <cfRule type="cellIs" dxfId="7069" priority="981" stopIfTrue="1" operator="between">
      <formula>5.1</formula>
      <formula>13</formula>
    </cfRule>
    <cfRule type="cellIs" dxfId="7068" priority="982" stopIfTrue="1" operator="between">
      <formula>0</formula>
      <formula>5</formula>
    </cfRule>
    <cfRule type="containsBlanks" dxfId="7067" priority="983" stopIfTrue="1">
      <formula>LEN(TRIM(E105))=0</formula>
    </cfRule>
  </conditionalFormatting>
  <conditionalFormatting sqref="E106:P106">
    <cfRule type="containsBlanks" dxfId="7066" priority="963" stopIfTrue="1">
      <formula>LEN(TRIM(E106))=0</formula>
    </cfRule>
    <cfRule type="cellIs" dxfId="7065" priority="964" stopIfTrue="1" operator="between">
      <formula>79.1</formula>
      <formula>100</formula>
    </cfRule>
    <cfRule type="cellIs" dxfId="7064" priority="965" stopIfTrue="1" operator="between">
      <formula>34.1</formula>
      <formula>79</formula>
    </cfRule>
    <cfRule type="cellIs" dxfId="7063" priority="966" stopIfTrue="1" operator="between">
      <formula>13.1</formula>
      <formula>34</formula>
    </cfRule>
    <cfRule type="cellIs" dxfId="7062" priority="967" stopIfTrue="1" operator="between">
      <formula>5.1</formula>
      <formula>13</formula>
    </cfRule>
    <cfRule type="cellIs" dxfId="7061" priority="968" stopIfTrue="1" operator="between">
      <formula>0</formula>
      <formula>5</formula>
    </cfRule>
    <cfRule type="containsBlanks" dxfId="7060" priority="969" stopIfTrue="1">
      <formula>LEN(TRIM(E106))=0</formula>
    </cfRule>
  </conditionalFormatting>
  <conditionalFormatting sqref="E108:P108">
    <cfRule type="containsBlanks" dxfId="7059" priority="956" stopIfTrue="1">
      <formula>LEN(TRIM(E108))=0</formula>
    </cfRule>
    <cfRule type="cellIs" dxfId="7058" priority="957" stopIfTrue="1" operator="between">
      <formula>79.1</formula>
      <formula>100</formula>
    </cfRule>
    <cfRule type="cellIs" dxfId="7057" priority="958" stopIfTrue="1" operator="between">
      <formula>34.1</formula>
      <formula>79</formula>
    </cfRule>
    <cfRule type="cellIs" dxfId="7056" priority="959" stopIfTrue="1" operator="between">
      <formula>13.1</formula>
      <formula>34</formula>
    </cfRule>
    <cfRule type="cellIs" dxfId="7055" priority="960" stopIfTrue="1" operator="between">
      <formula>5.1</formula>
      <formula>13</formula>
    </cfRule>
    <cfRule type="cellIs" dxfId="7054" priority="961" stopIfTrue="1" operator="between">
      <formula>0</formula>
      <formula>5</formula>
    </cfRule>
    <cfRule type="containsBlanks" dxfId="7053" priority="962" stopIfTrue="1">
      <formula>LEN(TRIM(E108))=0</formula>
    </cfRule>
  </conditionalFormatting>
  <conditionalFormatting sqref="E109:P109">
    <cfRule type="containsBlanks" dxfId="7052" priority="949" stopIfTrue="1">
      <formula>LEN(TRIM(E109))=0</formula>
    </cfRule>
    <cfRule type="cellIs" dxfId="7051" priority="950" stopIfTrue="1" operator="between">
      <formula>79.1</formula>
      <formula>100</formula>
    </cfRule>
    <cfRule type="cellIs" dxfId="7050" priority="951" stopIfTrue="1" operator="between">
      <formula>34.1</formula>
      <formula>79</formula>
    </cfRule>
    <cfRule type="cellIs" dxfId="7049" priority="952" stopIfTrue="1" operator="between">
      <formula>13.1</formula>
      <formula>34</formula>
    </cfRule>
    <cfRule type="cellIs" dxfId="7048" priority="953" stopIfTrue="1" operator="between">
      <formula>5.1</formula>
      <formula>13</formula>
    </cfRule>
    <cfRule type="cellIs" dxfId="7047" priority="954" stopIfTrue="1" operator="between">
      <formula>0</formula>
      <formula>5</formula>
    </cfRule>
    <cfRule type="containsBlanks" dxfId="7046" priority="955" stopIfTrue="1">
      <formula>LEN(TRIM(E109))=0</formula>
    </cfRule>
  </conditionalFormatting>
  <conditionalFormatting sqref="E110:P111">
    <cfRule type="containsBlanks" dxfId="7045" priority="942" stopIfTrue="1">
      <formula>LEN(TRIM(E110))=0</formula>
    </cfRule>
    <cfRule type="cellIs" dxfId="7044" priority="943" stopIfTrue="1" operator="between">
      <formula>79.1</formula>
      <formula>100</formula>
    </cfRule>
    <cfRule type="cellIs" dxfId="7043" priority="944" stopIfTrue="1" operator="between">
      <formula>34.1</formula>
      <formula>79</formula>
    </cfRule>
    <cfRule type="cellIs" dxfId="7042" priority="945" stopIfTrue="1" operator="between">
      <formula>13.1</formula>
      <formula>34</formula>
    </cfRule>
    <cfRule type="cellIs" dxfId="7041" priority="946" stopIfTrue="1" operator="between">
      <formula>5.1</formula>
      <formula>13</formula>
    </cfRule>
    <cfRule type="cellIs" dxfId="7040" priority="947" stopIfTrue="1" operator="between">
      <formula>0</formula>
      <formula>5</formula>
    </cfRule>
    <cfRule type="containsBlanks" dxfId="7039" priority="948" stopIfTrue="1">
      <formula>LEN(TRIM(E110))=0</formula>
    </cfRule>
  </conditionalFormatting>
  <conditionalFormatting sqref="E112:P112">
    <cfRule type="containsBlanks" dxfId="7038" priority="935" stopIfTrue="1">
      <formula>LEN(TRIM(E112))=0</formula>
    </cfRule>
    <cfRule type="cellIs" dxfId="7037" priority="936" stopIfTrue="1" operator="between">
      <formula>79.1</formula>
      <formula>100</formula>
    </cfRule>
    <cfRule type="cellIs" dxfId="7036" priority="937" stopIfTrue="1" operator="between">
      <formula>34.1</formula>
      <formula>79</formula>
    </cfRule>
    <cfRule type="cellIs" dxfId="7035" priority="938" stopIfTrue="1" operator="between">
      <formula>13.1</formula>
      <formula>34</formula>
    </cfRule>
    <cfRule type="cellIs" dxfId="7034" priority="939" stopIfTrue="1" operator="between">
      <formula>5.1</formula>
      <formula>13</formula>
    </cfRule>
    <cfRule type="cellIs" dxfId="7033" priority="940" stopIfTrue="1" operator="between">
      <formula>0</formula>
      <formula>5</formula>
    </cfRule>
    <cfRule type="containsBlanks" dxfId="7032" priority="941" stopIfTrue="1">
      <formula>LEN(TRIM(E112))=0</formula>
    </cfRule>
  </conditionalFormatting>
  <conditionalFormatting sqref="E113:P113">
    <cfRule type="containsBlanks" dxfId="7031" priority="928" stopIfTrue="1">
      <formula>LEN(TRIM(E113))=0</formula>
    </cfRule>
    <cfRule type="cellIs" dxfId="7030" priority="929" stopIfTrue="1" operator="between">
      <formula>79.1</formula>
      <formula>100</formula>
    </cfRule>
    <cfRule type="cellIs" dxfId="7029" priority="930" stopIfTrue="1" operator="between">
      <formula>34.1</formula>
      <formula>79</formula>
    </cfRule>
    <cfRule type="cellIs" dxfId="7028" priority="931" stopIfTrue="1" operator="between">
      <formula>13.1</formula>
      <formula>34</formula>
    </cfRule>
    <cfRule type="cellIs" dxfId="7027" priority="932" stopIfTrue="1" operator="between">
      <formula>5.1</formula>
      <formula>13</formula>
    </cfRule>
    <cfRule type="cellIs" dxfId="7026" priority="933" stopIfTrue="1" operator="between">
      <formula>0</formula>
      <formula>5</formula>
    </cfRule>
    <cfRule type="containsBlanks" dxfId="7025" priority="934" stopIfTrue="1">
      <formula>LEN(TRIM(E113))=0</formula>
    </cfRule>
  </conditionalFormatting>
  <conditionalFormatting sqref="E114:P114">
    <cfRule type="containsBlanks" dxfId="7024" priority="921" stopIfTrue="1">
      <formula>LEN(TRIM(E114))=0</formula>
    </cfRule>
    <cfRule type="cellIs" dxfId="7023" priority="922" stopIfTrue="1" operator="between">
      <formula>79.1</formula>
      <formula>100</formula>
    </cfRule>
    <cfRule type="cellIs" dxfId="7022" priority="923" stopIfTrue="1" operator="between">
      <formula>34.1</formula>
      <formula>79</formula>
    </cfRule>
    <cfRule type="cellIs" dxfId="7021" priority="924" stopIfTrue="1" operator="between">
      <formula>13.1</formula>
      <formula>34</formula>
    </cfRule>
    <cfRule type="cellIs" dxfId="7020" priority="925" stopIfTrue="1" operator="between">
      <formula>5.1</formula>
      <formula>13</formula>
    </cfRule>
    <cfRule type="cellIs" dxfId="7019" priority="926" stopIfTrue="1" operator="between">
      <formula>0</formula>
      <formula>5</formula>
    </cfRule>
    <cfRule type="containsBlanks" dxfId="7018" priority="927" stopIfTrue="1">
      <formula>LEN(TRIM(E114))=0</formula>
    </cfRule>
  </conditionalFormatting>
  <conditionalFormatting sqref="E115:P115">
    <cfRule type="containsBlanks" dxfId="7017" priority="914" stopIfTrue="1">
      <formula>LEN(TRIM(E115))=0</formula>
    </cfRule>
    <cfRule type="cellIs" dxfId="7016" priority="915" stopIfTrue="1" operator="between">
      <formula>79.1</formula>
      <formula>100</formula>
    </cfRule>
    <cfRule type="cellIs" dxfId="7015" priority="916" stopIfTrue="1" operator="between">
      <formula>34.1</formula>
      <formula>79</formula>
    </cfRule>
    <cfRule type="cellIs" dxfId="7014" priority="917" stopIfTrue="1" operator="between">
      <formula>13.1</formula>
      <formula>34</formula>
    </cfRule>
    <cfRule type="cellIs" dxfId="7013" priority="918" stopIfTrue="1" operator="between">
      <formula>5.1</formula>
      <formula>13</formula>
    </cfRule>
    <cfRule type="cellIs" dxfId="7012" priority="919" stopIfTrue="1" operator="between">
      <formula>0</formula>
      <formula>5</formula>
    </cfRule>
    <cfRule type="containsBlanks" dxfId="7011" priority="920" stopIfTrue="1">
      <formula>LEN(TRIM(E115))=0</formula>
    </cfRule>
  </conditionalFormatting>
  <conditionalFormatting sqref="E116:P116">
    <cfRule type="containsBlanks" dxfId="7010" priority="907" stopIfTrue="1">
      <formula>LEN(TRIM(E116))=0</formula>
    </cfRule>
    <cfRule type="cellIs" dxfId="7009" priority="908" stopIfTrue="1" operator="between">
      <formula>79.1</formula>
      <formula>100</formula>
    </cfRule>
    <cfRule type="cellIs" dxfId="7008" priority="909" stopIfTrue="1" operator="between">
      <formula>34.1</formula>
      <formula>79</formula>
    </cfRule>
    <cfRule type="cellIs" dxfId="7007" priority="910" stopIfTrue="1" operator="between">
      <formula>13.1</formula>
      <formula>34</formula>
    </cfRule>
    <cfRule type="cellIs" dxfId="7006" priority="911" stopIfTrue="1" operator="between">
      <formula>5.1</formula>
      <formula>13</formula>
    </cfRule>
    <cfRule type="cellIs" dxfId="7005" priority="912" stopIfTrue="1" operator="between">
      <formula>0</formula>
      <formula>5</formula>
    </cfRule>
    <cfRule type="containsBlanks" dxfId="7004" priority="913" stopIfTrue="1">
      <formula>LEN(TRIM(E116))=0</formula>
    </cfRule>
  </conditionalFormatting>
  <conditionalFormatting sqref="Q118">
    <cfRule type="containsBlanks" dxfId="7003" priority="886" stopIfTrue="1">
      <formula>LEN(TRIM(Q118))=0</formula>
    </cfRule>
    <cfRule type="cellIs" dxfId="7002" priority="887" stopIfTrue="1" operator="between">
      <formula>80.1</formula>
      <formula>100</formula>
    </cfRule>
    <cfRule type="cellIs" dxfId="7001" priority="888" stopIfTrue="1" operator="between">
      <formula>35.1</formula>
      <formula>80</formula>
    </cfRule>
    <cfRule type="cellIs" dxfId="7000" priority="889" stopIfTrue="1" operator="between">
      <formula>14.1</formula>
      <formula>35</formula>
    </cfRule>
    <cfRule type="cellIs" dxfId="6999" priority="890" stopIfTrue="1" operator="between">
      <formula>5.1</formula>
      <formula>14</formula>
    </cfRule>
    <cfRule type="cellIs" dxfId="6998" priority="891" stopIfTrue="1" operator="between">
      <formula>0</formula>
      <formula>5</formula>
    </cfRule>
    <cfRule type="containsBlanks" dxfId="6997" priority="892" stopIfTrue="1">
      <formula>LEN(TRIM(Q118))=0</formula>
    </cfRule>
  </conditionalFormatting>
  <conditionalFormatting sqref="E118:K118">
    <cfRule type="containsBlanks" dxfId="6996" priority="851" stopIfTrue="1">
      <formula>LEN(TRIM(E118))=0</formula>
    </cfRule>
    <cfRule type="cellIs" dxfId="6995" priority="852" stopIfTrue="1" operator="between">
      <formula>79.1</formula>
      <formula>100</formula>
    </cfRule>
    <cfRule type="cellIs" dxfId="6994" priority="853" stopIfTrue="1" operator="between">
      <formula>34.1</formula>
      <formula>79</formula>
    </cfRule>
    <cfRule type="cellIs" dxfId="6993" priority="854" stopIfTrue="1" operator="between">
      <formula>13.1</formula>
      <formula>34</formula>
    </cfRule>
    <cfRule type="cellIs" dxfId="6992" priority="855" stopIfTrue="1" operator="between">
      <formula>5.1</formula>
      <formula>13</formula>
    </cfRule>
    <cfRule type="cellIs" dxfId="6991" priority="856" stopIfTrue="1" operator="between">
      <formula>0</formula>
      <formula>5</formula>
    </cfRule>
    <cfRule type="containsBlanks" dxfId="6990" priority="857" stopIfTrue="1">
      <formula>LEN(TRIM(E118))=0</formula>
    </cfRule>
  </conditionalFormatting>
  <conditionalFormatting sqref="E117:K117">
    <cfRule type="containsBlanks" dxfId="6989" priority="865" stopIfTrue="1">
      <formula>LEN(TRIM(E117))=0</formula>
    </cfRule>
    <cfRule type="cellIs" dxfId="6988" priority="866" stopIfTrue="1" operator="between">
      <formula>79.1</formula>
      <formula>100</formula>
    </cfRule>
    <cfRule type="cellIs" dxfId="6987" priority="867" stopIfTrue="1" operator="between">
      <formula>34.1</formula>
      <formula>79</formula>
    </cfRule>
    <cfRule type="cellIs" dxfId="6986" priority="868" stopIfTrue="1" operator="between">
      <formula>13.1</formula>
      <formula>34</formula>
    </cfRule>
    <cfRule type="cellIs" dxfId="6985" priority="869" stopIfTrue="1" operator="between">
      <formula>5.1</formula>
      <formula>13</formula>
    </cfRule>
    <cfRule type="cellIs" dxfId="6984" priority="870" stopIfTrue="1" operator="between">
      <formula>0</formula>
      <formula>5</formula>
    </cfRule>
    <cfRule type="containsBlanks" dxfId="6983" priority="871" stopIfTrue="1">
      <formula>LEN(TRIM(E117))=0</formula>
    </cfRule>
  </conditionalFormatting>
  <conditionalFormatting sqref="Q117">
    <cfRule type="containsBlanks" dxfId="6982" priority="879" stopIfTrue="1">
      <formula>LEN(TRIM(Q117))=0</formula>
    </cfRule>
    <cfRule type="cellIs" dxfId="6981" priority="880" stopIfTrue="1" operator="between">
      <formula>80.1</formula>
      <formula>100</formula>
    </cfRule>
    <cfRule type="cellIs" dxfId="6980" priority="881" stopIfTrue="1" operator="between">
      <formula>35.1</formula>
      <formula>80</formula>
    </cfRule>
    <cfRule type="cellIs" dxfId="6979" priority="882" stopIfTrue="1" operator="between">
      <formula>14.1</formula>
      <formula>35</formula>
    </cfRule>
    <cfRule type="cellIs" dxfId="6978" priority="883" stopIfTrue="1" operator="between">
      <formula>5.1</formula>
      <formula>14</formula>
    </cfRule>
    <cfRule type="cellIs" dxfId="6977" priority="884" stopIfTrue="1" operator="between">
      <formula>0</formula>
      <formula>5</formula>
    </cfRule>
    <cfRule type="containsBlanks" dxfId="6976" priority="885" stopIfTrue="1">
      <formula>LEN(TRIM(Q117))=0</formula>
    </cfRule>
  </conditionalFormatting>
  <conditionalFormatting sqref="L117:P117">
    <cfRule type="containsBlanks" dxfId="6975" priority="872" stopIfTrue="1">
      <formula>LEN(TRIM(L117))=0</formula>
    </cfRule>
    <cfRule type="cellIs" dxfId="6974" priority="873" stopIfTrue="1" operator="between">
      <formula>79.1</formula>
      <formula>100</formula>
    </cfRule>
    <cfRule type="cellIs" dxfId="6973" priority="874" stopIfTrue="1" operator="between">
      <formula>34.1</formula>
      <formula>79</formula>
    </cfRule>
    <cfRule type="cellIs" dxfId="6972" priority="875" stopIfTrue="1" operator="between">
      <formula>13.1</formula>
      <formula>34</formula>
    </cfRule>
    <cfRule type="cellIs" dxfId="6971" priority="876" stopIfTrue="1" operator="between">
      <formula>5.1</formula>
      <formula>13</formula>
    </cfRule>
    <cfRule type="cellIs" dxfId="6970" priority="877" stopIfTrue="1" operator="between">
      <formula>0</formula>
      <formula>5</formula>
    </cfRule>
    <cfRule type="containsBlanks" dxfId="6969" priority="878" stopIfTrue="1">
      <formula>LEN(TRIM(L117))=0</formula>
    </cfRule>
  </conditionalFormatting>
  <conditionalFormatting sqref="L118:P118">
    <cfRule type="containsBlanks" dxfId="6968" priority="858" stopIfTrue="1">
      <formula>LEN(TRIM(L118))=0</formula>
    </cfRule>
    <cfRule type="cellIs" dxfId="6967" priority="859" stopIfTrue="1" operator="between">
      <formula>79.1</formula>
      <formula>100</formula>
    </cfRule>
    <cfRule type="cellIs" dxfId="6966" priority="860" stopIfTrue="1" operator="between">
      <formula>34.1</formula>
      <formula>79</formula>
    </cfRule>
    <cfRule type="cellIs" dxfId="6965" priority="861" stopIfTrue="1" operator="between">
      <formula>13.1</formula>
      <formula>34</formula>
    </cfRule>
    <cfRule type="cellIs" dxfId="6964" priority="862" stopIfTrue="1" operator="between">
      <formula>5.1</formula>
      <formula>13</formula>
    </cfRule>
    <cfRule type="cellIs" dxfId="6963" priority="863" stopIfTrue="1" operator="between">
      <formula>0</formula>
      <formula>5</formula>
    </cfRule>
    <cfRule type="containsBlanks" dxfId="6962" priority="864" stopIfTrue="1">
      <formula>LEN(TRIM(L118))=0</formula>
    </cfRule>
  </conditionalFormatting>
  <conditionalFormatting sqref="F27:Q27">
    <cfRule type="containsBlanks" dxfId="6961" priority="830" stopIfTrue="1">
      <formula>LEN(TRIM(F27))=0</formula>
    </cfRule>
    <cfRule type="cellIs" dxfId="6960" priority="831" stopIfTrue="1" operator="between">
      <formula>80.1</formula>
      <formula>100</formula>
    </cfRule>
    <cfRule type="cellIs" dxfId="6959" priority="832" stopIfTrue="1" operator="between">
      <formula>35.1</formula>
      <formula>80</formula>
    </cfRule>
    <cfRule type="cellIs" dxfId="6958" priority="833" stopIfTrue="1" operator="between">
      <formula>14.1</formula>
      <formula>35</formula>
    </cfRule>
    <cfRule type="cellIs" dxfId="6957" priority="834" stopIfTrue="1" operator="between">
      <formula>5.1</formula>
      <formula>14</formula>
    </cfRule>
    <cfRule type="cellIs" dxfId="6956" priority="835" stopIfTrue="1" operator="between">
      <formula>0</formula>
      <formula>5</formula>
    </cfRule>
    <cfRule type="containsBlanks" dxfId="6955" priority="836" stopIfTrue="1">
      <formula>LEN(TRIM(F27))=0</formula>
    </cfRule>
  </conditionalFormatting>
  <conditionalFormatting sqref="E27">
    <cfRule type="containsBlanks" dxfId="6954" priority="823" stopIfTrue="1">
      <formula>LEN(TRIM(E27))=0</formula>
    </cfRule>
    <cfRule type="cellIs" dxfId="6953" priority="824" stopIfTrue="1" operator="between">
      <formula>80.1</formula>
      <formula>100</formula>
    </cfRule>
    <cfRule type="cellIs" dxfId="6952" priority="825" stopIfTrue="1" operator="between">
      <formula>35.1</formula>
      <formula>80</formula>
    </cfRule>
    <cfRule type="cellIs" dxfId="6951" priority="826" stopIfTrue="1" operator="between">
      <formula>14.1</formula>
      <formula>35</formula>
    </cfRule>
    <cfRule type="cellIs" dxfId="6950" priority="827" stopIfTrue="1" operator="between">
      <formula>5.1</formula>
      <formula>14</formula>
    </cfRule>
    <cfRule type="cellIs" dxfId="6949" priority="828" stopIfTrue="1" operator="between">
      <formula>0</formula>
      <formula>5</formula>
    </cfRule>
    <cfRule type="containsBlanks" dxfId="6948" priority="829" stopIfTrue="1">
      <formula>LEN(TRIM(E27))=0</formula>
    </cfRule>
  </conditionalFormatting>
  <conditionalFormatting sqref="F31:Q31">
    <cfRule type="containsBlanks" dxfId="6947" priority="816" stopIfTrue="1">
      <formula>LEN(TRIM(F31))=0</formula>
    </cfRule>
    <cfRule type="cellIs" dxfId="6946" priority="817" stopIfTrue="1" operator="between">
      <formula>80.1</formula>
      <formula>100</formula>
    </cfRule>
    <cfRule type="cellIs" dxfId="6945" priority="818" stopIfTrue="1" operator="between">
      <formula>35.1</formula>
      <formula>80</formula>
    </cfRule>
    <cfRule type="cellIs" dxfId="6944" priority="819" stopIfTrue="1" operator="between">
      <formula>14.1</formula>
      <formula>35</formula>
    </cfRule>
    <cfRule type="cellIs" dxfId="6943" priority="820" stopIfTrue="1" operator="between">
      <formula>5.1</formula>
      <formula>14</formula>
    </cfRule>
    <cfRule type="cellIs" dxfId="6942" priority="821" stopIfTrue="1" operator="between">
      <formula>0</formula>
      <formula>5</formula>
    </cfRule>
    <cfRule type="containsBlanks" dxfId="6941" priority="822" stopIfTrue="1">
      <formula>LEN(TRIM(F31))=0</formula>
    </cfRule>
  </conditionalFormatting>
  <conditionalFormatting sqref="E31">
    <cfRule type="containsBlanks" dxfId="6940" priority="809" stopIfTrue="1">
      <formula>LEN(TRIM(E31))=0</formula>
    </cfRule>
    <cfRule type="cellIs" dxfId="6939" priority="810" stopIfTrue="1" operator="between">
      <formula>80.1</formula>
      <formula>100</formula>
    </cfRule>
    <cfRule type="cellIs" dxfId="6938" priority="811" stopIfTrue="1" operator="between">
      <formula>35.1</formula>
      <formula>80</formula>
    </cfRule>
    <cfRule type="cellIs" dxfId="6937" priority="812" stopIfTrue="1" operator="between">
      <formula>14.1</formula>
      <formula>35</formula>
    </cfRule>
    <cfRule type="cellIs" dxfId="6936" priority="813" stopIfTrue="1" operator="between">
      <formula>5.1</formula>
      <formula>14</formula>
    </cfRule>
    <cfRule type="cellIs" dxfId="6935" priority="814" stopIfTrue="1" operator="between">
      <formula>0</formula>
      <formula>5</formula>
    </cfRule>
    <cfRule type="containsBlanks" dxfId="6934" priority="815" stopIfTrue="1">
      <formula>LEN(TRIM(E31))=0</formula>
    </cfRule>
  </conditionalFormatting>
  <conditionalFormatting sqref="F22:Q22">
    <cfRule type="containsBlanks" dxfId="6933" priority="802" stopIfTrue="1">
      <formula>LEN(TRIM(F22))=0</formula>
    </cfRule>
    <cfRule type="cellIs" dxfId="6932" priority="803" stopIfTrue="1" operator="between">
      <formula>80.1</formula>
      <formula>100</formula>
    </cfRule>
    <cfRule type="cellIs" dxfId="6931" priority="804" stopIfTrue="1" operator="between">
      <formula>35.1</formula>
      <formula>80</formula>
    </cfRule>
    <cfRule type="cellIs" dxfId="6930" priority="805" stopIfTrue="1" operator="between">
      <formula>14.1</formula>
      <formula>35</formula>
    </cfRule>
    <cfRule type="cellIs" dxfId="6929" priority="806" stopIfTrue="1" operator="between">
      <formula>5.1</formula>
      <formula>14</formula>
    </cfRule>
    <cfRule type="cellIs" dxfId="6928" priority="807" stopIfTrue="1" operator="between">
      <formula>0</formula>
      <formula>5</formula>
    </cfRule>
    <cfRule type="containsBlanks" dxfId="6927" priority="808" stopIfTrue="1">
      <formula>LEN(TRIM(F22))=0</formula>
    </cfRule>
  </conditionalFormatting>
  <conditionalFormatting sqref="E22">
    <cfRule type="containsBlanks" dxfId="6926" priority="795" stopIfTrue="1">
      <formula>LEN(TRIM(E22))=0</formula>
    </cfRule>
    <cfRule type="cellIs" dxfId="6925" priority="796" stopIfTrue="1" operator="between">
      <formula>80.1</formula>
      <formula>100</formula>
    </cfRule>
    <cfRule type="cellIs" dxfId="6924" priority="797" stopIfTrue="1" operator="between">
      <formula>35.1</formula>
      <formula>80</formula>
    </cfRule>
    <cfRule type="cellIs" dxfId="6923" priority="798" stopIfTrue="1" operator="between">
      <formula>14.1</formula>
      <formula>35</formula>
    </cfRule>
    <cfRule type="cellIs" dxfId="6922" priority="799" stopIfTrue="1" operator="between">
      <formula>5.1</formula>
      <formula>14</formula>
    </cfRule>
    <cfRule type="cellIs" dxfId="6921" priority="800" stopIfTrue="1" operator="between">
      <formula>0</formula>
      <formula>5</formula>
    </cfRule>
    <cfRule type="containsBlanks" dxfId="6920" priority="801" stopIfTrue="1">
      <formula>LEN(TRIM(E22))=0</formula>
    </cfRule>
  </conditionalFormatting>
  <conditionalFormatting sqref="F23:Q23">
    <cfRule type="containsBlanks" dxfId="6919" priority="788" stopIfTrue="1">
      <formula>LEN(TRIM(F23))=0</formula>
    </cfRule>
    <cfRule type="cellIs" dxfId="6918" priority="789" stopIfTrue="1" operator="between">
      <formula>80.1</formula>
      <formula>100</formula>
    </cfRule>
    <cfRule type="cellIs" dxfId="6917" priority="790" stopIfTrue="1" operator="between">
      <formula>35.1</formula>
      <formula>80</formula>
    </cfRule>
    <cfRule type="cellIs" dxfId="6916" priority="791" stopIfTrue="1" operator="between">
      <formula>14.1</formula>
      <formula>35</formula>
    </cfRule>
    <cfRule type="cellIs" dxfId="6915" priority="792" stopIfTrue="1" operator="between">
      <formula>5.1</formula>
      <formula>14</formula>
    </cfRule>
    <cfRule type="cellIs" dxfId="6914" priority="793" stopIfTrue="1" operator="between">
      <formula>0</formula>
      <formula>5</formula>
    </cfRule>
    <cfRule type="containsBlanks" dxfId="6913" priority="794" stopIfTrue="1">
      <formula>LEN(TRIM(F23))=0</formula>
    </cfRule>
  </conditionalFormatting>
  <conditionalFormatting sqref="E23">
    <cfRule type="containsBlanks" dxfId="6912" priority="781" stopIfTrue="1">
      <formula>LEN(TRIM(E23))=0</formula>
    </cfRule>
    <cfRule type="cellIs" dxfId="6911" priority="782" stopIfTrue="1" operator="between">
      <formula>80.1</formula>
      <formula>100</formula>
    </cfRule>
    <cfRule type="cellIs" dxfId="6910" priority="783" stopIfTrue="1" operator="between">
      <formula>35.1</formula>
      <formula>80</formula>
    </cfRule>
    <cfRule type="cellIs" dxfId="6909" priority="784" stopIfTrue="1" operator="between">
      <formula>14.1</formula>
      <formula>35</formula>
    </cfRule>
    <cfRule type="cellIs" dxfId="6908" priority="785" stopIfTrue="1" operator="between">
      <formula>5.1</formula>
      <formula>14</formula>
    </cfRule>
    <cfRule type="cellIs" dxfId="6907" priority="786" stopIfTrue="1" operator="between">
      <formula>0</formula>
      <formula>5</formula>
    </cfRule>
    <cfRule type="containsBlanks" dxfId="6906" priority="787" stopIfTrue="1">
      <formula>LEN(TRIM(E23))=0</formula>
    </cfRule>
  </conditionalFormatting>
  <conditionalFormatting sqref="F24:Q24">
    <cfRule type="containsBlanks" dxfId="6905" priority="774" stopIfTrue="1">
      <formula>LEN(TRIM(F24))=0</formula>
    </cfRule>
    <cfRule type="cellIs" dxfId="6904" priority="775" stopIfTrue="1" operator="between">
      <formula>80.1</formula>
      <formula>100</formula>
    </cfRule>
    <cfRule type="cellIs" dxfId="6903" priority="776" stopIfTrue="1" operator="between">
      <formula>35.1</formula>
      <formula>80</formula>
    </cfRule>
    <cfRule type="cellIs" dxfId="6902" priority="777" stopIfTrue="1" operator="between">
      <formula>14.1</formula>
      <formula>35</formula>
    </cfRule>
    <cfRule type="cellIs" dxfId="6901" priority="778" stopIfTrue="1" operator="between">
      <formula>5.1</formula>
      <formula>14</formula>
    </cfRule>
    <cfRule type="cellIs" dxfId="6900" priority="779" stopIfTrue="1" operator="between">
      <formula>0</formula>
      <formula>5</formula>
    </cfRule>
    <cfRule type="containsBlanks" dxfId="6899" priority="780" stopIfTrue="1">
      <formula>LEN(TRIM(F24))=0</formula>
    </cfRule>
  </conditionalFormatting>
  <conditionalFormatting sqref="E24">
    <cfRule type="containsBlanks" dxfId="6898" priority="767" stopIfTrue="1">
      <formula>LEN(TRIM(E24))=0</formula>
    </cfRule>
    <cfRule type="cellIs" dxfId="6897" priority="768" stopIfTrue="1" operator="between">
      <formula>80.1</formula>
      <formula>100</formula>
    </cfRule>
    <cfRule type="cellIs" dxfId="6896" priority="769" stopIfTrue="1" operator="between">
      <formula>35.1</formula>
      <formula>80</formula>
    </cfRule>
    <cfRule type="cellIs" dxfId="6895" priority="770" stopIfTrue="1" operator="between">
      <formula>14.1</formula>
      <formula>35</formula>
    </cfRule>
    <cfRule type="cellIs" dxfId="6894" priority="771" stopIfTrue="1" operator="between">
      <formula>5.1</formula>
      <formula>14</formula>
    </cfRule>
    <cfRule type="cellIs" dxfId="6893" priority="772" stopIfTrue="1" operator="between">
      <formula>0</formula>
      <formula>5</formula>
    </cfRule>
    <cfRule type="containsBlanks" dxfId="6892" priority="773" stopIfTrue="1">
      <formula>LEN(TRIM(E24))=0</formula>
    </cfRule>
  </conditionalFormatting>
  <conditionalFormatting sqref="F25:Q25">
    <cfRule type="containsBlanks" dxfId="6891" priority="760" stopIfTrue="1">
      <formula>LEN(TRIM(F25))=0</formula>
    </cfRule>
    <cfRule type="cellIs" dxfId="6890" priority="761" stopIfTrue="1" operator="between">
      <formula>80.1</formula>
      <formula>100</formula>
    </cfRule>
    <cfRule type="cellIs" dxfId="6889" priority="762" stopIfTrue="1" operator="between">
      <formula>35.1</formula>
      <formula>80</formula>
    </cfRule>
    <cfRule type="cellIs" dxfId="6888" priority="763" stopIfTrue="1" operator="between">
      <formula>14.1</formula>
      <formula>35</formula>
    </cfRule>
    <cfRule type="cellIs" dxfId="6887" priority="764" stopIfTrue="1" operator="between">
      <formula>5.1</formula>
      <formula>14</formula>
    </cfRule>
    <cfRule type="cellIs" dxfId="6886" priority="765" stopIfTrue="1" operator="between">
      <formula>0</formula>
      <formula>5</formula>
    </cfRule>
    <cfRule type="containsBlanks" dxfId="6885" priority="766" stopIfTrue="1">
      <formula>LEN(TRIM(F25))=0</formula>
    </cfRule>
  </conditionalFormatting>
  <conditionalFormatting sqref="E25">
    <cfRule type="containsBlanks" dxfId="6884" priority="753" stopIfTrue="1">
      <formula>LEN(TRIM(E25))=0</formula>
    </cfRule>
    <cfRule type="cellIs" dxfId="6883" priority="754" stopIfTrue="1" operator="between">
      <formula>80.1</formula>
      <formula>100</formula>
    </cfRule>
    <cfRule type="cellIs" dxfId="6882" priority="755" stopIfTrue="1" operator="between">
      <formula>35.1</formula>
      <formula>80</formula>
    </cfRule>
    <cfRule type="cellIs" dxfId="6881" priority="756" stopIfTrue="1" operator="between">
      <formula>14.1</formula>
      <formula>35</formula>
    </cfRule>
    <cfRule type="cellIs" dxfId="6880" priority="757" stopIfTrue="1" operator="between">
      <formula>5.1</formula>
      <formula>14</formula>
    </cfRule>
    <cfRule type="cellIs" dxfId="6879" priority="758" stopIfTrue="1" operator="between">
      <formula>0</formula>
      <formula>5</formula>
    </cfRule>
    <cfRule type="containsBlanks" dxfId="6878" priority="759" stopIfTrue="1">
      <formula>LEN(TRIM(E25))=0</formula>
    </cfRule>
  </conditionalFormatting>
  <conditionalFormatting sqref="E67:Q67">
    <cfRule type="containsBlanks" dxfId="6877" priority="746" stopIfTrue="1">
      <formula>LEN(TRIM(E67))=0</formula>
    </cfRule>
    <cfRule type="cellIs" dxfId="6876" priority="747" stopIfTrue="1" operator="between">
      <formula>80.1</formula>
      <formula>100</formula>
    </cfRule>
    <cfRule type="cellIs" dxfId="6875" priority="748" stopIfTrue="1" operator="between">
      <formula>35.1</formula>
      <formula>80</formula>
    </cfRule>
    <cfRule type="cellIs" dxfId="6874" priority="749" stopIfTrue="1" operator="between">
      <formula>14.1</formula>
      <formula>35</formula>
    </cfRule>
    <cfRule type="cellIs" dxfId="6873" priority="750" stopIfTrue="1" operator="between">
      <formula>5.1</formula>
      <formula>14</formula>
    </cfRule>
    <cfRule type="cellIs" dxfId="6872" priority="751" stopIfTrue="1" operator="between">
      <formula>0</formula>
      <formula>5</formula>
    </cfRule>
    <cfRule type="containsBlanks" dxfId="6871" priority="752" stopIfTrue="1">
      <formula>LEN(TRIM(E67))=0</formula>
    </cfRule>
  </conditionalFormatting>
  <conditionalFormatting sqref="Q84">
    <cfRule type="containsBlanks" dxfId="6870" priority="655" stopIfTrue="1">
      <formula>LEN(TRIM(Q84))=0</formula>
    </cfRule>
    <cfRule type="cellIs" dxfId="6869" priority="656" stopIfTrue="1" operator="between">
      <formula>80.1</formula>
      <formula>100</formula>
    </cfRule>
    <cfRule type="cellIs" dxfId="6868" priority="657" stopIfTrue="1" operator="between">
      <formula>35.1</formula>
      <formula>80</formula>
    </cfRule>
    <cfRule type="cellIs" dxfId="6867" priority="658" stopIfTrue="1" operator="between">
      <formula>14.1</formula>
      <formula>35</formula>
    </cfRule>
    <cfRule type="cellIs" dxfId="6866" priority="659" stopIfTrue="1" operator="between">
      <formula>5.1</formula>
      <formula>14</formula>
    </cfRule>
    <cfRule type="cellIs" dxfId="6865" priority="660" stopIfTrue="1" operator="between">
      <formula>0</formula>
      <formula>5</formula>
    </cfRule>
    <cfRule type="containsBlanks" dxfId="6864" priority="661" stopIfTrue="1">
      <formula>LEN(TRIM(Q84))=0</formula>
    </cfRule>
  </conditionalFormatting>
  <conditionalFormatting sqref="E84:J84">
    <cfRule type="containsBlanks" dxfId="6863" priority="648" stopIfTrue="1">
      <formula>LEN(TRIM(E84))=0</formula>
    </cfRule>
    <cfRule type="cellIs" dxfId="6862" priority="649" stopIfTrue="1" operator="between">
      <formula>79.1</formula>
      <formula>100</formula>
    </cfRule>
    <cfRule type="cellIs" dxfId="6861" priority="650" stopIfTrue="1" operator="between">
      <formula>34.1</formula>
      <formula>79</formula>
    </cfRule>
    <cfRule type="cellIs" dxfId="6860" priority="651" stopIfTrue="1" operator="between">
      <formula>13.1</formula>
      <formula>34</formula>
    </cfRule>
    <cfRule type="cellIs" dxfId="6859" priority="652" stopIfTrue="1" operator="between">
      <formula>5.1</formula>
      <formula>13</formula>
    </cfRule>
    <cfRule type="cellIs" dxfId="6858" priority="653" stopIfTrue="1" operator="between">
      <formula>0</formula>
      <formula>5</formula>
    </cfRule>
    <cfRule type="containsBlanks" dxfId="6857" priority="654" stopIfTrue="1">
      <formula>LEN(TRIM(E84))=0</formula>
    </cfRule>
  </conditionalFormatting>
  <conditionalFormatting sqref="Q85">
    <cfRule type="containsBlanks" dxfId="6856" priority="641" stopIfTrue="1">
      <formula>LEN(TRIM(Q85))=0</formula>
    </cfRule>
    <cfRule type="cellIs" dxfId="6855" priority="642" stopIfTrue="1" operator="between">
      <formula>80.1</formula>
      <formula>100</formula>
    </cfRule>
    <cfRule type="cellIs" dxfId="6854" priority="643" stopIfTrue="1" operator="between">
      <formula>35.1</formula>
      <formula>80</formula>
    </cfRule>
    <cfRule type="cellIs" dxfId="6853" priority="644" stopIfTrue="1" operator="between">
      <formula>14.1</formula>
      <formula>35</formula>
    </cfRule>
    <cfRule type="cellIs" dxfId="6852" priority="645" stopIfTrue="1" operator="between">
      <formula>5.1</formula>
      <formula>14</formula>
    </cfRule>
    <cfRule type="cellIs" dxfId="6851" priority="646" stopIfTrue="1" operator="between">
      <formula>0</formula>
      <formula>5</formula>
    </cfRule>
    <cfRule type="containsBlanks" dxfId="6850" priority="647" stopIfTrue="1">
      <formula>LEN(TRIM(Q85))=0</formula>
    </cfRule>
  </conditionalFormatting>
  <conditionalFormatting sqref="E85:J85">
    <cfRule type="containsBlanks" dxfId="6849" priority="634" stopIfTrue="1">
      <formula>LEN(TRIM(E85))=0</formula>
    </cfRule>
    <cfRule type="cellIs" dxfId="6848" priority="635" stopIfTrue="1" operator="between">
      <formula>79.1</formula>
      <formula>100</formula>
    </cfRule>
    <cfRule type="cellIs" dxfId="6847" priority="636" stopIfTrue="1" operator="between">
      <formula>34.1</formula>
      <formula>79</formula>
    </cfRule>
    <cfRule type="cellIs" dxfId="6846" priority="637" stopIfTrue="1" operator="between">
      <formula>13.1</formula>
      <formula>34</formula>
    </cfRule>
    <cfRule type="cellIs" dxfId="6845" priority="638" stopIfTrue="1" operator="between">
      <formula>5.1</formula>
      <formula>13</formula>
    </cfRule>
    <cfRule type="cellIs" dxfId="6844" priority="639" stopIfTrue="1" operator="between">
      <formula>0</formula>
      <formula>5</formula>
    </cfRule>
    <cfRule type="containsBlanks" dxfId="6843" priority="640" stopIfTrue="1">
      <formula>LEN(TRIM(E85))=0</formula>
    </cfRule>
  </conditionalFormatting>
  <conditionalFormatting sqref="Q86">
    <cfRule type="containsBlanks" dxfId="6842" priority="627" stopIfTrue="1">
      <formula>LEN(TRIM(Q86))=0</formula>
    </cfRule>
    <cfRule type="cellIs" dxfId="6841" priority="628" stopIfTrue="1" operator="between">
      <formula>80.1</formula>
      <formula>100</formula>
    </cfRule>
    <cfRule type="cellIs" dxfId="6840" priority="629" stopIfTrue="1" operator="between">
      <formula>35.1</formula>
      <formula>80</formula>
    </cfRule>
    <cfRule type="cellIs" dxfId="6839" priority="630" stopIfTrue="1" operator="between">
      <formula>14.1</formula>
      <formula>35</formula>
    </cfRule>
    <cfRule type="cellIs" dxfId="6838" priority="631" stopIfTrue="1" operator="between">
      <formula>5.1</formula>
      <formula>14</formula>
    </cfRule>
    <cfRule type="cellIs" dxfId="6837" priority="632" stopIfTrue="1" operator="between">
      <formula>0</formula>
      <formula>5</formula>
    </cfRule>
    <cfRule type="containsBlanks" dxfId="6836" priority="633" stopIfTrue="1">
      <formula>LEN(TRIM(Q86))=0</formula>
    </cfRule>
  </conditionalFormatting>
  <conditionalFormatting sqref="E86:J86">
    <cfRule type="containsBlanks" dxfId="6835" priority="620" stopIfTrue="1">
      <formula>LEN(TRIM(E86))=0</formula>
    </cfRule>
    <cfRule type="cellIs" dxfId="6834" priority="621" stopIfTrue="1" operator="between">
      <formula>79.1</formula>
      <formula>100</formula>
    </cfRule>
    <cfRule type="cellIs" dxfId="6833" priority="622" stopIfTrue="1" operator="between">
      <formula>34.1</formula>
      <formula>79</formula>
    </cfRule>
    <cfRule type="cellIs" dxfId="6832" priority="623" stopIfTrue="1" operator="between">
      <formula>13.1</formula>
      <formula>34</formula>
    </cfRule>
    <cfRule type="cellIs" dxfId="6831" priority="624" stopIfTrue="1" operator="between">
      <formula>5.1</formula>
      <formula>13</formula>
    </cfRule>
    <cfRule type="cellIs" dxfId="6830" priority="625" stopIfTrue="1" operator="between">
      <formula>0</formula>
      <formula>5</formula>
    </cfRule>
    <cfRule type="containsBlanks" dxfId="6829" priority="626" stopIfTrue="1">
      <formula>LEN(TRIM(E86))=0</formula>
    </cfRule>
  </conditionalFormatting>
  <conditionalFormatting sqref="E70:Q70">
    <cfRule type="containsBlanks" dxfId="6828" priority="613" stopIfTrue="1">
      <formula>LEN(TRIM(E70))=0</formula>
    </cfRule>
    <cfRule type="cellIs" dxfId="6827" priority="614" stopIfTrue="1" operator="between">
      <formula>80.1</formula>
      <formula>100</formula>
    </cfRule>
    <cfRule type="cellIs" dxfId="6826" priority="615" stopIfTrue="1" operator="between">
      <formula>35.1</formula>
      <formula>80</formula>
    </cfRule>
    <cfRule type="cellIs" dxfId="6825" priority="616" stopIfTrue="1" operator="between">
      <formula>14.1</formula>
      <formula>35</formula>
    </cfRule>
    <cfRule type="cellIs" dxfId="6824" priority="617" stopIfTrue="1" operator="between">
      <formula>5.1</formula>
      <formula>14</formula>
    </cfRule>
    <cfRule type="cellIs" dxfId="6823" priority="618" stopIfTrue="1" operator="between">
      <formula>0</formula>
      <formula>5</formula>
    </cfRule>
    <cfRule type="containsBlanks" dxfId="6822" priority="619" stopIfTrue="1">
      <formula>LEN(TRIM(E70))=0</formula>
    </cfRule>
  </conditionalFormatting>
  <conditionalFormatting sqref="Q76">
    <cfRule type="containsBlanks" dxfId="6821" priority="592" stopIfTrue="1">
      <formula>LEN(TRIM(Q76))=0</formula>
    </cfRule>
    <cfRule type="cellIs" dxfId="6820" priority="593" stopIfTrue="1" operator="between">
      <formula>80.1</formula>
      <formula>100</formula>
    </cfRule>
    <cfRule type="cellIs" dxfId="6819" priority="594" stopIfTrue="1" operator="between">
      <formula>35.1</formula>
      <formula>80</formula>
    </cfRule>
    <cfRule type="cellIs" dxfId="6818" priority="595" stopIfTrue="1" operator="between">
      <formula>14.1</formula>
      <formula>35</formula>
    </cfRule>
    <cfRule type="cellIs" dxfId="6817" priority="596" stopIfTrue="1" operator="between">
      <formula>5.1</formula>
      <formula>14</formula>
    </cfRule>
    <cfRule type="cellIs" dxfId="6816" priority="597" stopIfTrue="1" operator="between">
      <formula>0</formula>
      <formula>5</formula>
    </cfRule>
    <cfRule type="containsBlanks" dxfId="6815" priority="598" stopIfTrue="1">
      <formula>LEN(TRIM(Q76))=0</formula>
    </cfRule>
  </conditionalFormatting>
  <conditionalFormatting sqref="E76:P76">
    <cfRule type="containsBlanks" dxfId="6814" priority="585" stopIfTrue="1">
      <formula>LEN(TRIM(E76))=0</formula>
    </cfRule>
    <cfRule type="cellIs" dxfId="6813" priority="586" stopIfTrue="1" operator="between">
      <formula>79.1</formula>
      <formula>100</formula>
    </cfRule>
    <cfRule type="cellIs" dxfId="6812" priority="587" stopIfTrue="1" operator="between">
      <formula>34.1</formula>
      <formula>79</formula>
    </cfRule>
    <cfRule type="cellIs" dxfId="6811" priority="588" stopIfTrue="1" operator="between">
      <formula>13.1</formula>
      <formula>34</formula>
    </cfRule>
    <cfRule type="cellIs" dxfId="6810" priority="589" stopIfTrue="1" operator="between">
      <formula>5.1</formula>
      <formula>13</formula>
    </cfRule>
    <cfRule type="cellIs" dxfId="6809" priority="590" stopIfTrue="1" operator="between">
      <formula>0</formula>
      <formula>5</formula>
    </cfRule>
    <cfRule type="containsBlanks" dxfId="6808" priority="591" stopIfTrue="1">
      <formula>LEN(TRIM(E76))=0</formula>
    </cfRule>
  </conditionalFormatting>
  <conditionalFormatting sqref="Q119">
    <cfRule type="containsBlanks" dxfId="6807" priority="578" stopIfTrue="1">
      <formula>LEN(TRIM(Q119))=0</formula>
    </cfRule>
    <cfRule type="cellIs" dxfId="6806" priority="579" stopIfTrue="1" operator="between">
      <formula>80.1</formula>
      <formula>100</formula>
    </cfRule>
    <cfRule type="cellIs" dxfId="6805" priority="580" stopIfTrue="1" operator="between">
      <formula>35.1</formula>
      <formula>80</formula>
    </cfRule>
    <cfRule type="cellIs" dxfId="6804" priority="581" stopIfTrue="1" operator="between">
      <formula>14.1</formula>
      <formula>35</formula>
    </cfRule>
    <cfRule type="cellIs" dxfId="6803" priority="582" stopIfTrue="1" operator="between">
      <formula>5.1</formula>
      <formula>14</formula>
    </cfRule>
    <cfRule type="cellIs" dxfId="6802" priority="583" stopIfTrue="1" operator="between">
      <formula>0</formula>
      <formula>5</formula>
    </cfRule>
    <cfRule type="containsBlanks" dxfId="6801" priority="584" stopIfTrue="1">
      <formula>LEN(TRIM(Q119))=0</formula>
    </cfRule>
  </conditionalFormatting>
  <conditionalFormatting sqref="E119:K119">
    <cfRule type="containsBlanks" dxfId="6800" priority="564" stopIfTrue="1">
      <formula>LEN(TRIM(E119))=0</formula>
    </cfRule>
    <cfRule type="cellIs" dxfId="6799" priority="565" stopIfTrue="1" operator="between">
      <formula>79.1</formula>
      <formula>100</formula>
    </cfRule>
    <cfRule type="cellIs" dxfId="6798" priority="566" stopIfTrue="1" operator="between">
      <formula>34.1</formula>
      <formula>79</formula>
    </cfRule>
    <cfRule type="cellIs" dxfId="6797" priority="567" stopIfTrue="1" operator="between">
      <formula>13.1</formula>
      <formula>34</formula>
    </cfRule>
    <cfRule type="cellIs" dxfId="6796" priority="568" stopIfTrue="1" operator="between">
      <formula>5.1</formula>
      <formula>13</formula>
    </cfRule>
    <cfRule type="cellIs" dxfId="6795" priority="569" stopIfTrue="1" operator="between">
      <formula>0</formula>
      <formula>5</formula>
    </cfRule>
    <cfRule type="containsBlanks" dxfId="6794" priority="570" stopIfTrue="1">
      <formula>LEN(TRIM(E119))=0</formula>
    </cfRule>
  </conditionalFormatting>
  <conditionalFormatting sqref="L119:P119">
    <cfRule type="containsBlanks" dxfId="6793" priority="571" stopIfTrue="1">
      <formula>LEN(TRIM(L119))=0</formula>
    </cfRule>
    <cfRule type="cellIs" dxfId="6792" priority="572" stopIfTrue="1" operator="between">
      <formula>79.1</formula>
      <formula>100</formula>
    </cfRule>
    <cfRule type="cellIs" dxfId="6791" priority="573" stopIfTrue="1" operator="between">
      <formula>34.1</formula>
      <formula>79</formula>
    </cfRule>
    <cfRule type="cellIs" dxfId="6790" priority="574" stopIfTrue="1" operator="between">
      <formula>13.1</formula>
      <formula>34</formula>
    </cfRule>
    <cfRule type="cellIs" dxfId="6789" priority="575" stopIfTrue="1" operator="between">
      <formula>5.1</formula>
      <formula>13</formula>
    </cfRule>
    <cfRule type="cellIs" dxfId="6788" priority="576" stopIfTrue="1" operator="between">
      <formula>0</formula>
      <formula>5</formula>
    </cfRule>
    <cfRule type="containsBlanks" dxfId="6787" priority="577" stopIfTrue="1">
      <formula>LEN(TRIM(L119))=0</formula>
    </cfRule>
  </conditionalFormatting>
  <conditionalFormatting sqref="R101">
    <cfRule type="containsBlanks" dxfId="6786" priority="535" stopIfTrue="1">
      <formula>LEN(TRIM(R101))=0</formula>
    </cfRule>
    <cfRule type="cellIs" dxfId="6785" priority="536" stopIfTrue="1" operator="between">
      <formula>80.1</formula>
      <formula>100</formula>
    </cfRule>
    <cfRule type="cellIs" dxfId="6784" priority="537" stopIfTrue="1" operator="between">
      <formula>35.1</formula>
      <formula>80</formula>
    </cfRule>
    <cfRule type="cellIs" dxfId="6783" priority="538" stopIfTrue="1" operator="between">
      <formula>14.1</formula>
      <formula>35</formula>
    </cfRule>
    <cfRule type="cellIs" dxfId="6782" priority="539" stopIfTrue="1" operator="between">
      <formula>5.1</formula>
      <formula>14</formula>
    </cfRule>
    <cfRule type="cellIs" dxfId="6781" priority="540" stopIfTrue="1" operator="between">
      <formula>0</formula>
      <formula>5</formula>
    </cfRule>
    <cfRule type="containsBlanks" dxfId="6780" priority="541" stopIfTrue="1">
      <formula>LEN(TRIM(R101))=0</formula>
    </cfRule>
  </conditionalFormatting>
  <conditionalFormatting sqref="R100">
    <cfRule type="containsBlanks" dxfId="6779" priority="542" stopIfTrue="1">
      <formula>LEN(TRIM(R100))=0</formula>
    </cfRule>
    <cfRule type="cellIs" dxfId="6778" priority="543" stopIfTrue="1" operator="between">
      <formula>80.1</formula>
      <formula>100</formula>
    </cfRule>
    <cfRule type="cellIs" dxfId="6777" priority="544" stopIfTrue="1" operator="between">
      <formula>35.1</formula>
      <formula>80</formula>
    </cfRule>
    <cfRule type="cellIs" dxfId="6776" priority="545" stopIfTrue="1" operator="between">
      <formula>14.1</formula>
      <formula>35</formula>
    </cfRule>
    <cfRule type="cellIs" dxfId="6775" priority="546" stopIfTrue="1" operator="between">
      <formula>5.1</formula>
      <formula>14</formula>
    </cfRule>
    <cfRule type="cellIs" dxfId="6774" priority="547" stopIfTrue="1" operator="between">
      <formula>0</formula>
      <formula>5</formula>
    </cfRule>
    <cfRule type="containsBlanks" dxfId="6773" priority="548" stopIfTrue="1">
      <formula>LEN(TRIM(R100))=0</formula>
    </cfRule>
  </conditionalFormatting>
  <conditionalFormatting sqref="Q96">
    <cfRule type="containsBlanks" dxfId="6772" priority="528" stopIfTrue="1">
      <formula>LEN(TRIM(Q96))=0</formula>
    </cfRule>
    <cfRule type="cellIs" dxfId="6771" priority="529" stopIfTrue="1" operator="between">
      <formula>80.1</formula>
      <formula>100</formula>
    </cfRule>
    <cfRule type="cellIs" dxfId="6770" priority="530" stopIfTrue="1" operator="between">
      <formula>35.1</formula>
      <formula>80</formula>
    </cfRule>
    <cfRule type="cellIs" dxfId="6769" priority="531" stopIfTrue="1" operator="between">
      <formula>14.1</formula>
      <formula>35</formula>
    </cfRule>
    <cfRule type="cellIs" dxfId="6768" priority="532" stopIfTrue="1" operator="between">
      <formula>5.1</formula>
      <formula>14</formula>
    </cfRule>
    <cfRule type="cellIs" dxfId="6767" priority="533" stopIfTrue="1" operator="between">
      <formula>0</formula>
      <formula>5</formula>
    </cfRule>
    <cfRule type="containsBlanks" dxfId="6766" priority="534" stopIfTrue="1">
      <formula>LEN(TRIM(Q96))=0</formula>
    </cfRule>
  </conditionalFormatting>
  <conditionalFormatting sqref="S272">
    <cfRule type="cellIs" dxfId="6765" priority="524" stopIfTrue="1" operator="equal">
      <formula>"INVIABLE SANITARIAMENTE"</formula>
    </cfRule>
  </conditionalFormatting>
  <conditionalFormatting sqref="S272">
    <cfRule type="containsText" dxfId="6764" priority="519" stopIfTrue="1" operator="containsText" text="INVIABLE SANITARIAMENTE">
      <formula>NOT(ISERROR(SEARCH("INVIABLE SANITARIAMENTE",S272)))</formula>
    </cfRule>
    <cfRule type="containsText" dxfId="6763" priority="520" stopIfTrue="1" operator="containsText" text="ALTO">
      <formula>NOT(ISERROR(SEARCH("ALTO",S272)))</formula>
    </cfRule>
    <cfRule type="containsText" dxfId="6762" priority="521" stopIfTrue="1" operator="containsText" text="MEDIO">
      <formula>NOT(ISERROR(SEARCH("MEDIO",S272)))</formula>
    </cfRule>
    <cfRule type="containsText" dxfId="6761" priority="522" stopIfTrue="1" operator="containsText" text="BAJO">
      <formula>NOT(ISERROR(SEARCH("BAJO",S272)))</formula>
    </cfRule>
    <cfRule type="containsText" dxfId="6760" priority="523" stopIfTrue="1" operator="containsText" text="SIN RIESGO">
      <formula>NOT(ISERROR(SEARCH("SIN RIESGO",S272)))</formula>
    </cfRule>
  </conditionalFormatting>
  <conditionalFormatting sqref="S272">
    <cfRule type="containsText" dxfId="6759" priority="518" stopIfTrue="1" operator="containsText" text="SIN RIESGO">
      <formula>NOT(ISERROR(SEARCH("SIN RIESGO",S272)))</formula>
    </cfRule>
  </conditionalFormatting>
  <conditionalFormatting sqref="E269:P269">
    <cfRule type="containsBlanks" dxfId="6758" priority="504" stopIfTrue="1">
      <formula>LEN(TRIM(E269))=0</formula>
    </cfRule>
    <cfRule type="cellIs" dxfId="6757" priority="505" stopIfTrue="1" operator="between">
      <formula>79.1</formula>
      <formula>100</formula>
    </cfRule>
    <cfRule type="cellIs" dxfId="6756" priority="506" stopIfTrue="1" operator="between">
      <formula>34.1</formula>
      <formula>79</formula>
    </cfRule>
    <cfRule type="cellIs" dxfId="6755" priority="507" stopIfTrue="1" operator="between">
      <formula>13.1</formula>
      <formula>34</formula>
    </cfRule>
    <cfRule type="cellIs" dxfId="6754" priority="508" stopIfTrue="1" operator="between">
      <formula>5.1</formula>
      <formula>13</formula>
    </cfRule>
    <cfRule type="cellIs" dxfId="6753" priority="509" stopIfTrue="1" operator="between">
      <formula>0</formula>
      <formula>5</formula>
    </cfRule>
    <cfRule type="containsBlanks" dxfId="6752" priority="510" stopIfTrue="1">
      <formula>LEN(TRIM(E269))=0</formula>
    </cfRule>
  </conditionalFormatting>
  <conditionalFormatting sqref="E271:P271">
    <cfRule type="containsBlanks" dxfId="6751" priority="490" stopIfTrue="1">
      <formula>LEN(TRIM(E271))=0</formula>
    </cfRule>
    <cfRule type="cellIs" dxfId="6750" priority="491" stopIfTrue="1" operator="between">
      <formula>79.1</formula>
      <formula>100</formula>
    </cfRule>
    <cfRule type="cellIs" dxfId="6749" priority="492" stopIfTrue="1" operator="between">
      <formula>34.1</formula>
      <formula>79</formula>
    </cfRule>
    <cfRule type="cellIs" dxfId="6748" priority="493" stopIfTrue="1" operator="between">
      <formula>13.1</formula>
      <formula>34</formula>
    </cfRule>
    <cfRule type="cellIs" dxfId="6747" priority="494" stopIfTrue="1" operator="between">
      <formula>5.1</formula>
      <formula>13</formula>
    </cfRule>
    <cfRule type="cellIs" dxfId="6746" priority="495" stopIfTrue="1" operator="between">
      <formula>0</formula>
      <formula>5</formula>
    </cfRule>
    <cfRule type="containsBlanks" dxfId="6745" priority="496" stopIfTrue="1">
      <formula>LEN(TRIM(E271))=0</formula>
    </cfRule>
  </conditionalFormatting>
  <conditionalFormatting sqref="E272:P272">
    <cfRule type="containsBlanks" dxfId="6744" priority="483" stopIfTrue="1">
      <formula>LEN(TRIM(E272))=0</formula>
    </cfRule>
    <cfRule type="cellIs" dxfId="6743" priority="484" stopIfTrue="1" operator="between">
      <formula>79.1</formula>
      <formula>100</formula>
    </cfRule>
    <cfRule type="cellIs" dxfId="6742" priority="485" stopIfTrue="1" operator="between">
      <formula>34.1</formula>
      <formula>79</formula>
    </cfRule>
    <cfRule type="cellIs" dxfId="6741" priority="486" stopIfTrue="1" operator="between">
      <formula>13.1</formula>
      <formula>34</formula>
    </cfRule>
    <cfRule type="cellIs" dxfId="6740" priority="487" stopIfTrue="1" operator="between">
      <formula>5.1</formula>
      <formula>13</formula>
    </cfRule>
    <cfRule type="cellIs" dxfId="6739" priority="488" stopIfTrue="1" operator="between">
      <formula>0</formula>
      <formula>5</formula>
    </cfRule>
    <cfRule type="containsBlanks" dxfId="6738" priority="489" stopIfTrue="1">
      <formula>LEN(TRIM(E272))=0</formula>
    </cfRule>
  </conditionalFormatting>
  <conditionalFormatting sqref="S277">
    <cfRule type="containsText" dxfId="6737" priority="322" stopIfTrue="1" operator="containsText" text="SIN RIESGO">
      <formula>NOT(ISERROR(SEARCH("SIN RIESGO",S277)))</formula>
    </cfRule>
  </conditionalFormatting>
  <conditionalFormatting sqref="R273">
    <cfRule type="cellIs" dxfId="6736" priority="475" stopIfTrue="1" operator="equal">
      <formula>"NO"</formula>
    </cfRule>
  </conditionalFormatting>
  <conditionalFormatting sqref="R273">
    <cfRule type="cellIs" dxfId="6735" priority="474" stopIfTrue="1" operator="equal">
      <formula>"NO"</formula>
    </cfRule>
  </conditionalFormatting>
  <conditionalFormatting sqref="R273">
    <cfRule type="cellIs" dxfId="6734" priority="473" stopIfTrue="1" operator="equal">
      <formula>"NO"</formula>
    </cfRule>
  </conditionalFormatting>
  <conditionalFormatting sqref="S273">
    <cfRule type="cellIs" dxfId="6733" priority="472" stopIfTrue="1" operator="equal">
      <formula>"INVIABLE SANITARIAMENTE"</formula>
    </cfRule>
  </conditionalFormatting>
  <conditionalFormatting sqref="S273">
    <cfRule type="containsText" dxfId="6732" priority="467" stopIfTrue="1" operator="containsText" text="INVIABLE SANITARIAMENTE">
      <formula>NOT(ISERROR(SEARCH("INVIABLE SANITARIAMENTE",S273)))</formula>
    </cfRule>
    <cfRule type="containsText" dxfId="6731" priority="468" stopIfTrue="1" operator="containsText" text="ALTO">
      <formula>NOT(ISERROR(SEARCH("ALTO",S273)))</formula>
    </cfRule>
    <cfRule type="containsText" dxfId="6730" priority="469" stopIfTrue="1" operator="containsText" text="MEDIO">
      <formula>NOT(ISERROR(SEARCH("MEDIO",S273)))</formula>
    </cfRule>
    <cfRule type="containsText" dxfId="6729" priority="470" stopIfTrue="1" operator="containsText" text="BAJO">
      <formula>NOT(ISERROR(SEARCH("BAJO",S273)))</formula>
    </cfRule>
    <cfRule type="containsText" dxfId="6728" priority="471" stopIfTrue="1" operator="containsText" text="SIN RIESGO">
      <formula>NOT(ISERROR(SEARCH("SIN RIESGO",S273)))</formula>
    </cfRule>
  </conditionalFormatting>
  <conditionalFormatting sqref="S273">
    <cfRule type="containsText" dxfId="6727" priority="466" stopIfTrue="1" operator="containsText" text="SIN RIESGO">
      <formula>NOT(ISERROR(SEARCH("SIN RIESGO",S273)))</formula>
    </cfRule>
  </conditionalFormatting>
  <conditionalFormatting sqref="Q278:Q286">
    <cfRule type="containsBlanks" dxfId="6726" priority="459" stopIfTrue="1">
      <formula>LEN(TRIM(Q278))=0</formula>
    </cfRule>
    <cfRule type="cellIs" dxfId="6725" priority="460" stopIfTrue="1" operator="between">
      <formula>80.1</formula>
      <formula>100</formula>
    </cfRule>
    <cfRule type="cellIs" dxfId="6724" priority="461" stopIfTrue="1" operator="between">
      <formula>35.1</formula>
      <formula>80</formula>
    </cfRule>
    <cfRule type="cellIs" dxfId="6723" priority="462" stopIfTrue="1" operator="between">
      <formula>14.1</formula>
      <formula>35</formula>
    </cfRule>
    <cfRule type="cellIs" dxfId="6722" priority="463" stopIfTrue="1" operator="between">
      <formula>5.1</formula>
      <formula>14</formula>
    </cfRule>
    <cfRule type="cellIs" dxfId="6721" priority="464" stopIfTrue="1" operator="between">
      <formula>0</formula>
      <formula>5</formula>
    </cfRule>
    <cfRule type="containsBlanks" dxfId="6720" priority="465" stopIfTrue="1">
      <formula>LEN(TRIM(Q278))=0</formula>
    </cfRule>
  </conditionalFormatting>
  <conditionalFormatting sqref="Q284">
    <cfRule type="containsBlanks" dxfId="6719" priority="452" stopIfTrue="1">
      <formula>LEN(TRIM(Q284))=0</formula>
    </cfRule>
    <cfRule type="cellIs" dxfId="6718" priority="453" stopIfTrue="1" operator="between">
      <formula>80.1</formula>
      <formula>100</formula>
    </cfRule>
    <cfRule type="cellIs" dxfId="6717" priority="454" stopIfTrue="1" operator="between">
      <formula>35.1</formula>
      <formula>80</formula>
    </cfRule>
    <cfRule type="cellIs" dxfId="6716" priority="455" stopIfTrue="1" operator="between">
      <formula>14.1</formula>
      <formula>35</formula>
    </cfRule>
    <cfRule type="cellIs" dxfId="6715" priority="456" stopIfTrue="1" operator="between">
      <formula>5.1</formula>
      <formula>14</formula>
    </cfRule>
    <cfRule type="cellIs" dxfId="6714" priority="457" stopIfTrue="1" operator="between">
      <formula>0</formula>
      <formula>5</formula>
    </cfRule>
    <cfRule type="containsBlanks" dxfId="6713" priority="458" stopIfTrue="1">
      <formula>LEN(TRIM(Q284))=0</formula>
    </cfRule>
  </conditionalFormatting>
  <conditionalFormatting sqref="Q283">
    <cfRule type="containsBlanks" dxfId="6712" priority="445" stopIfTrue="1">
      <formula>LEN(TRIM(Q283))=0</formula>
    </cfRule>
    <cfRule type="cellIs" dxfId="6711" priority="446" stopIfTrue="1" operator="between">
      <formula>80.1</formula>
      <formula>100</formula>
    </cfRule>
    <cfRule type="cellIs" dxfId="6710" priority="447" stopIfTrue="1" operator="between">
      <formula>35.1</formula>
      <formula>80</formula>
    </cfRule>
    <cfRule type="cellIs" dxfId="6709" priority="448" stopIfTrue="1" operator="between">
      <formula>14.1</formula>
      <formula>35</formula>
    </cfRule>
    <cfRule type="cellIs" dxfId="6708" priority="449" stopIfTrue="1" operator="between">
      <formula>5.1</formula>
      <formula>14</formula>
    </cfRule>
    <cfRule type="cellIs" dxfId="6707" priority="450" stopIfTrue="1" operator="between">
      <formula>0</formula>
      <formula>5</formula>
    </cfRule>
    <cfRule type="containsBlanks" dxfId="6706" priority="451" stopIfTrue="1">
      <formula>LEN(TRIM(Q283))=0</formula>
    </cfRule>
  </conditionalFormatting>
  <conditionalFormatting sqref="Q285">
    <cfRule type="containsBlanks" dxfId="6705" priority="438" stopIfTrue="1">
      <formula>LEN(TRIM(Q285))=0</formula>
    </cfRule>
    <cfRule type="cellIs" dxfId="6704" priority="439" stopIfTrue="1" operator="between">
      <formula>80.1</formula>
      <formula>100</formula>
    </cfRule>
    <cfRule type="cellIs" dxfId="6703" priority="440" stopIfTrue="1" operator="between">
      <formula>35.1</formula>
      <formula>80</formula>
    </cfRule>
    <cfRule type="cellIs" dxfId="6702" priority="441" stopIfTrue="1" operator="between">
      <formula>14.1</formula>
      <formula>35</formula>
    </cfRule>
    <cfRule type="cellIs" dxfId="6701" priority="442" stopIfTrue="1" operator="between">
      <formula>5.1</formula>
      <formula>14</formula>
    </cfRule>
    <cfRule type="cellIs" dxfId="6700" priority="443" stopIfTrue="1" operator="between">
      <formula>0</formula>
      <formula>5</formula>
    </cfRule>
    <cfRule type="containsBlanks" dxfId="6699" priority="444" stopIfTrue="1">
      <formula>LEN(TRIM(Q285))=0</formula>
    </cfRule>
  </conditionalFormatting>
  <conditionalFormatting sqref="Q273">
    <cfRule type="containsBlanks" dxfId="6698" priority="431" stopIfTrue="1">
      <formula>LEN(TRIM(Q273))=0</formula>
    </cfRule>
    <cfRule type="cellIs" dxfId="6697" priority="432" stopIfTrue="1" operator="between">
      <formula>80.1</formula>
      <formula>100</formula>
    </cfRule>
    <cfRule type="cellIs" dxfId="6696" priority="433" stopIfTrue="1" operator="between">
      <formula>35.1</formula>
      <formula>80</formula>
    </cfRule>
    <cfRule type="cellIs" dxfId="6695" priority="434" stopIfTrue="1" operator="between">
      <formula>14.1</formula>
      <formula>35</formula>
    </cfRule>
    <cfRule type="cellIs" dxfId="6694" priority="435" stopIfTrue="1" operator="between">
      <formula>5.1</formula>
      <formula>14</formula>
    </cfRule>
    <cfRule type="cellIs" dxfId="6693" priority="436" stopIfTrue="1" operator="between">
      <formula>0</formula>
      <formula>5</formula>
    </cfRule>
    <cfRule type="containsBlanks" dxfId="6692" priority="437" stopIfTrue="1">
      <formula>LEN(TRIM(Q273))=0</formula>
    </cfRule>
  </conditionalFormatting>
  <conditionalFormatting sqref="R435:R439">
    <cfRule type="cellIs" dxfId="6691" priority="430" stopIfTrue="1" operator="equal">
      <formula>"NO"</formula>
    </cfRule>
  </conditionalFormatting>
  <conditionalFormatting sqref="R435:R439">
    <cfRule type="cellIs" dxfId="6690" priority="429" stopIfTrue="1" operator="equal">
      <formula>"NO"</formula>
    </cfRule>
  </conditionalFormatting>
  <conditionalFormatting sqref="R435:R439">
    <cfRule type="cellIs" dxfId="6689" priority="428" stopIfTrue="1" operator="equal">
      <formula>"NO"</formula>
    </cfRule>
  </conditionalFormatting>
  <conditionalFormatting sqref="S435:S439">
    <cfRule type="cellIs" dxfId="6688" priority="427" stopIfTrue="1" operator="equal">
      <formula>"INVIABLE SANITARIAMENTE"</formula>
    </cfRule>
  </conditionalFormatting>
  <conditionalFormatting sqref="S435:S439">
    <cfRule type="containsText" dxfId="6687" priority="422" stopIfTrue="1" operator="containsText" text="INVIABLE SANITARIAMENTE">
      <formula>NOT(ISERROR(SEARCH("INVIABLE SANITARIAMENTE",S435)))</formula>
    </cfRule>
    <cfRule type="containsText" dxfId="6686" priority="423" stopIfTrue="1" operator="containsText" text="ALTO">
      <formula>NOT(ISERROR(SEARCH("ALTO",S435)))</formula>
    </cfRule>
    <cfRule type="containsText" dxfId="6685" priority="424" stopIfTrue="1" operator="containsText" text="MEDIO">
      <formula>NOT(ISERROR(SEARCH("MEDIO",S435)))</formula>
    </cfRule>
    <cfRule type="containsText" dxfId="6684" priority="425" stopIfTrue="1" operator="containsText" text="BAJO">
      <formula>NOT(ISERROR(SEARCH("BAJO",S435)))</formula>
    </cfRule>
    <cfRule type="containsText" dxfId="6683" priority="426" stopIfTrue="1" operator="containsText" text="SIN RIESGO">
      <formula>NOT(ISERROR(SEARCH("SIN RIESGO",S435)))</formula>
    </cfRule>
  </conditionalFormatting>
  <conditionalFormatting sqref="S435:S439">
    <cfRule type="containsText" dxfId="6682" priority="421" stopIfTrue="1" operator="containsText" text="SIN RIESGO">
      <formula>NOT(ISERROR(SEARCH("SIN RIESGO",S435)))</formula>
    </cfRule>
  </conditionalFormatting>
  <conditionalFormatting sqref="Q435:Q439">
    <cfRule type="containsBlanks" dxfId="6681" priority="414" stopIfTrue="1">
      <formula>LEN(TRIM(Q435))=0</formula>
    </cfRule>
    <cfRule type="cellIs" dxfId="6680" priority="415" stopIfTrue="1" operator="between">
      <formula>80.1</formula>
      <formula>100</formula>
    </cfRule>
    <cfRule type="cellIs" dxfId="6679" priority="416" stopIfTrue="1" operator="between">
      <formula>35.1</formula>
      <formula>80</formula>
    </cfRule>
    <cfRule type="cellIs" dxfId="6678" priority="417" stopIfTrue="1" operator="between">
      <formula>14.1</formula>
      <formula>35</formula>
    </cfRule>
    <cfRule type="cellIs" dxfId="6677" priority="418" stopIfTrue="1" operator="between">
      <formula>5.1</formula>
      <formula>14</formula>
    </cfRule>
    <cfRule type="cellIs" dxfId="6676" priority="419" stopIfTrue="1" operator="between">
      <formula>0</formula>
      <formula>5</formula>
    </cfRule>
    <cfRule type="containsBlanks" dxfId="6675" priority="420" stopIfTrue="1">
      <formula>LEN(TRIM(Q435))=0</formula>
    </cfRule>
  </conditionalFormatting>
  <conditionalFormatting sqref="Q274">
    <cfRule type="containsBlanks" dxfId="6674" priority="407" stopIfTrue="1">
      <formula>LEN(TRIM(Q274))=0</formula>
    </cfRule>
    <cfRule type="cellIs" dxfId="6673" priority="408" stopIfTrue="1" operator="between">
      <formula>80.1</formula>
      <formula>100</formula>
    </cfRule>
    <cfRule type="cellIs" dxfId="6672" priority="409" stopIfTrue="1" operator="between">
      <formula>35.1</formula>
      <formula>80</formula>
    </cfRule>
    <cfRule type="cellIs" dxfId="6671" priority="410" stopIfTrue="1" operator="between">
      <formula>14.1</formula>
      <formula>35</formula>
    </cfRule>
    <cfRule type="cellIs" dxfId="6670" priority="411" stopIfTrue="1" operator="between">
      <formula>5.1</formula>
      <formula>14</formula>
    </cfRule>
    <cfRule type="cellIs" dxfId="6669" priority="412" stopIfTrue="1" operator="between">
      <formula>0</formula>
      <formula>5</formula>
    </cfRule>
    <cfRule type="containsBlanks" dxfId="6668" priority="413" stopIfTrue="1">
      <formula>LEN(TRIM(Q274))=0</formula>
    </cfRule>
  </conditionalFormatting>
  <conditionalFormatting sqref="Q275">
    <cfRule type="containsBlanks" dxfId="6667" priority="393" stopIfTrue="1">
      <formula>LEN(TRIM(Q275))=0</formula>
    </cfRule>
    <cfRule type="cellIs" dxfId="6666" priority="394" stopIfTrue="1" operator="between">
      <formula>80.1</formula>
      <formula>100</formula>
    </cfRule>
    <cfRule type="cellIs" dxfId="6665" priority="395" stopIfTrue="1" operator="between">
      <formula>35.1</formula>
      <formula>80</formula>
    </cfRule>
    <cfRule type="cellIs" dxfId="6664" priority="396" stopIfTrue="1" operator="between">
      <formula>14.1</formula>
      <formula>35</formula>
    </cfRule>
    <cfRule type="cellIs" dxfId="6663" priority="397" stopIfTrue="1" operator="between">
      <formula>5.1</formula>
      <formula>14</formula>
    </cfRule>
    <cfRule type="cellIs" dxfId="6662" priority="398" stopIfTrue="1" operator="between">
      <formula>0</formula>
      <formula>5</formula>
    </cfRule>
    <cfRule type="containsBlanks" dxfId="6661" priority="399" stopIfTrue="1">
      <formula>LEN(TRIM(Q275))=0</formula>
    </cfRule>
  </conditionalFormatting>
  <conditionalFormatting sqref="Q276">
    <cfRule type="containsBlanks" dxfId="6660" priority="386" stopIfTrue="1">
      <formula>LEN(TRIM(Q276))=0</formula>
    </cfRule>
    <cfRule type="cellIs" dxfId="6659" priority="387" stopIfTrue="1" operator="between">
      <formula>80.1</formula>
      <formula>100</formula>
    </cfRule>
    <cfRule type="cellIs" dxfId="6658" priority="388" stopIfTrue="1" operator="between">
      <formula>35.1</formula>
      <formula>80</formula>
    </cfRule>
    <cfRule type="cellIs" dxfId="6657" priority="389" stopIfTrue="1" operator="between">
      <formula>14.1</formula>
      <formula>35</formula>
    </cfRule>
    <cfRule type="cellIs" dxfId="6656" priority="390" stopIfTrue="1" operator="between">
      <formula>5.1</formula>
      <formula>14</formula>
    </cfRule>
    <cfRule type="cellIs" dxfId="6655" priority="391" stopIfTrue="1" operator="between">
      <formula>0</formula>
      <formula>5</formula>
    </cfRule>
    <cfRule type="containsBlanks" dxfId="6654" priority="392" stopIfTrue="1">
      <formula>LEN(TRIM(Q276))=0</formula>
    </cfRule>
  </conditionalFormatting>
  <conditionalFormatting sqref="Q277">
    <cfRule type="containsBlanks" dxfId="6653" priority="379" stopIfTrue="1">
      <formula>LEN(TRIM(Q277))=0</formula>
    </cfRule>
    <cfRule type="cellIs" dxfId="6652" priority="380" stopIfTrue="1" operator="between">
      <formula>80.1</formula>
      <formula>100</formula>
    </cfRule>
    <cfRule type="cellIs" dxfId="6651" priority="381" stopIfTrue="1" operator="between">
      <formula>35.1</formula>
      <formula>80</formula>
    </cfRule>
    <cfRule type="cellIs" dxfId="6650" priority="382" stopIfTrue="1" operator="between">
      <formula>14.1</formula>
      <formula>35</formula>
    </cfRule>
    <cfRule type="cellIs" dxfId="6649" priority="383" stopIfTrue="1" operator="between">
      <formula>5.1</formula>
      <formula>14</formula>
    </cfRule>
    <cfRule type="cellIs" dxfId="6648" priority="384" stopIfTrue="1" operator="between">
      <formula>0</formula>
      <formula>5</formula>
    </cfRule>
    <cfRule type="containsBlanks" dxfId="6647" priority="385" stopIfTrue="1">
      <formula>LEN(TRIM(Q277))=0</formula>
    </cfRule>
  </conditionalFormatting>
  <conditionalFormatting sqref="R274">
    <cfRule type="cellIs" dxfId="6646" priority="378" stopIfTrue="1" operator="equal">
      <formula>"NO"</formula>
    </cfRule>
  </conditionalFormatting>
  <conditionalFormatting sqref="R274">
    <cfRule type="cellIs" dxfId="6645" priority="377" stopIfTrue="1" operator="equal">
      <formula>"NO"</formula>
    </cfRule>
  </conditionalFormatting>
  <conditionalFormatting sqref="R274">
    <cfRule type="cellIs" dxfId="6644" priority="376" stopIfTrue="1" operator="equal">
      <formula>"NO"</formula>
    </cfRule>
  </conditionalFormatting>
  <conditionalFormatting sqref="R275">
    <cfRule type="cellIs" dxfId="6643" priority="372" stopIfTrue="1" operator="equal">
      <formula>"NO"</formula>
    </cfRule>
  </conditionalFormatting>
  <conditionalFormatting sqref="R275">
    <cfRule type="cellIs" dxfId="6642" priority="371" stopIfTrue="1" operator="equal">
      <formula>"NO"</formula>
    </cfRule>
  </conditionalFormatting>
  <conditionalFormatting sqref="R275">
    <cfRule type="cellIs" dxfId="6641" priority="370" stopIfTrue="1" operator="equal">
      <formula>"NO"</formula>
    </cfRule>
  </conditionalFormatting>
  <conditionalFormatting sqref="R276">
    <cfRule type="cellIs" dxfId="6640" priority="369" stopIfTrue="1" operator="equal">
      <formula>"NO"</formula>
    </cfRule>
  </conditionalFormatting>
  <conditionalFormatting sqref="R276">
    <cfRule type="cellIs" dxfId="6639" priority="368" stopIfTrue="1" operator="equal">
      <formula>"NO"</formula>
    </cfRule>
  </conditionalFormatting>
  <conditionalFormatting sqref="R276">
    <cfRule type="cellIs" dxfId="6638" priority="367" stopIfTrue="1" operator="equal">
      <formula>"NO"</formula>
    </cfRule>
  </conditionalFormatting>
  <conditionalFormatting sqref="R277">
    <cfRule type="cellIs" dxfId="6637" priority="366" stopIfTrue="1" operator="equal">
      <formula>"NO"</formula>
    </cfRule>
  </conditionalFormatting>
  <conditionalFormatting sqref="R277">
    <cfRule type="cellIs" dxfId="6636" priority="365" stopIfTrue="1" operator="equal">
      <formula>"NO"</formula>
    </cfRule>
  </conditionalFormatting>
  <conditionalFormatting sqref="R277">
    <cfRule type="cellIs" dxfId="6635" priority="364" stopIfTrue="1" operator="equal">
      <formula>"NO"</formula>
    </cfRule>
  </conditionalFormatting>
  <conditionalFormatting sqref="S271">
    <cfRule type="cellIs" dxfId="6634" priority="363" stopIfTrue="1" operator="equal">
      <formula>"INVIABLE SANITARIAMENTE"</formula>
    </cfRule>
  </conditionalFormatting>
  <conditionalFormatting sqref="S271">
    <cfRule type="containsText" dxfId="6633" priority="358" stopIfTrue="1" operator="containsText" text="INVIABLE SANITARIAMENTE">
      <formula>NOT(ISERROR(SEARCH("INVIABLE SANITARIAMENTE",S271)))</formula>
    </cfRule>
    <cfRule type="containsText" dxfId="6632" priority="359" stopIfTrue="1" operator="containsText" text="ALTO">
      <formula>NOT(ISERROR(SEARCH("ALTO",S271)))</formula>
    </cfRule>
    <cfRule type="containsText" dxfId="6631" priority="360" stopIfTrue="1" operator="containsText" text="MEDIO">
      <formula>NOT(ISERROR(SEARCH("MEDIO",S271)))</formula>
    </cfRule>
    <cfRule type="containsText" dxfId="6630" priority="361" stopIfTrue="1" operator="containsText" text="BAJO">
      <formula>NOT(ISERROR(SEARCH("BAJO",S271)))</formula>
    </cfRule>
    <cfRule type="containsText" dxfId="6629" priority="362" stopIfTrue="1" operator="containsText" text="SIN RIESGO">
      <formula>NOT(ISERROR(SEARCH("SIN RIESGO",S271)))</formula>
    </cfRule>
  </conditionalFormatting>
  <conditionalFormatting sqref="S271">
    <cfRule type="containsText" dxfId="6628" priority="357" stopIfTrue="1" operator="containsText" text="SIN RIESGO">
      <formula>NOT(ISERROR(SEARCH("SIN RIESGO",S271)))</formula>
    </cfRule>
  </conditionalFormatting>
  <conditionalFormatting sqref="S274">
    <cfRule type="cellIs" dxfId="6627" priority="356" stopIfTrue="1" operator="equal">
      <formula>"INVIABLE SANITARIAMENTE"</formula>
    </cfRule>
  </conditionalFormatting>
  <conditionalFormatting sqref="S274">
    <cfRule type="containsText" dxfId="6626" priority="351" stopIfTrue="1" operator="containsText" text="INVIABLE SANITARIAMENTE">
      <formula>NOT(ISERROR(SEARCH("INVIABLE SANITARIAMENTE",S274)))</formula>
    </cfRule>
    <cfRule type="containsText" dxfId="6625" priority="352" stopIfTrue="1" operator="containsText" text="ALTO">
      <formula>NOT(ISERROR(SEARCH("ALTO",S274)))</formula>
    </cfRule>
    <cfRule type="containsText" dxfId="6624" priority="353" stopIfTrue="1" operator="containsText" text="MEDIO">
      <formula>NOT(ISERROR(SEARCH("MEDIO",S274)))</formula>
    </cfRule>
    <cfRule type="containsText" dxfId="6623" priority="354" stopIfTrue="1" operator="containsText" text="BAJO">
      <formula>NOT(ISERROR(SEARCH("BAJO",S274)))</formula>
    </cfRule>
    <cfRule type="containsText" dxfId="6622" priority="355" stopIfTrue="1" operator="containsText" text="SIN RIESGO">
      <formula>NOT(ISERROR(SEARCH("SIN RIESGO",S274)))</formula>
    </cfRule>
  </conditionalFormatting>
  <conditionalFormatting sqref="S274">
    <cfRule type="containsText" dxfId="6621" priority="350" stopIfTrue="1" operator="containsText" text="SIN RIESGO">
      <formula>NOT(ISERROR(SEARCH("SIN RIESGO",S274)))</formula>
    </cfRule>
  </conditionalFormatting>
  <conditionalFormatting sqref="S275">
    <cfRule type="cellIs" dxfId="6620" priority="342" stopIfTrue="1" operator="equal">
      <formula>"INVIABLE SANITARIAMENTE"</formula>
    </cfRule>
  </conditionalFormatting>
  <conditionalFormatting sqref="S275">
    <cfRule type="containsText" dxfId="6619" priority="337" stopIfTrue="1" operator="containsText" text="INVIABLE SANITARIAMENTE">
      <formula>NOT(ISERROR(SEARCH("INVIABLE SANITARIAMENTE",S275)))</formula>
    </cfRule>
    <cfRule type="containsText" dxfId="6618" priority="338" stopIfTrue="1" operator="containsText" text="ALTO">
      <formula>NOT(ISERROR(SEARCH("ALTO",S275)))</formula>
    </cfRule>
    <cfRule type="containsText" dxfId="6617" priority="339" stopIfTrue="1" operator="containsText" text="MEDIO">
      <formula>NOT(ISERROR(SEARCH("MEDIO",S275)))</formula>
    </cfRule>
    <cfRule type="containsText" dxfId="6616" priority="340" stopIfTrue="1" operator="containsText" text="BAJO">
      <formula>NOT(ISERROR(SEARCH("BAJO",S275)))</formula>
    </cfRule>
    <cfRule type="containsText" dxfId="6615" priority="341" stopIfTrue="1" operator="containsText" text="SIN RIESGO">
      <formula>NOT(ISERROR(SEARCH("SIN RIESGO",S275)))</formula>
    </cfRule>
  </conditionalFormatting>
  <conditionalFormatting sqref="S275">
    <cfRule type="containsText" dxfId="6614" priority="336" stopIfTrue="1" operator="containsText" text="SIN RIESGO">
      <formula>NOT(ISERROR(SEARCH("SIN RIESGO",S275)))</formula>
    </cfRule>
  </conditionalFormatting>
  <conditionalFormatting sqref="S276">
    <cfRule type="cellIs" dxfId="6613" priority="335" stopIfTrue="1" operator="equal">
      <formula>"INVIABLE SANITARIAMENTE"</formula>
    </cfRule>
  </conditionalFormatting>
  <conditionalFormatting sqref="S276">
    <cfRule type="containsText" dxfId="6612" priority="330" stopIfTrue="1" operator="containsText" text="INVIABLE SANITARIAMENTE">
      <formula>NOT(ISERROR(SEARCH("INVIABLE SANITARIAMENTE",S276)))</formula>
    </cfRule>
    <cfRule type="containsText" dxfId="6611" priority="331" stopIfTrue="1" operator="containsText" text="ALTO">
      <formula>NOT(ISERROR(SEARCH("ALTO",S276)))</formula>
    </cfRule>
    <cfRule type="containsText" dxfId="6610" priority="332" stopIfTrue="1" operator="containsText" text="MEDIO">
      <formula>NOT(ISERROR(SEARCH("MEDIO",S276)))</formula>
    </cfRule>
    <cfRule type="containsText" dxfId="6609" priority="333" stopIfTrue="1" operator="containsText" text="BAJO">
      <formula>NOT(ISERROR(SEARCH("BAJO",S276)))</formula>
    </cfRule>
    <cfRule type="containsText" dxfId="6608" priority="334" stopIfTrue="1" operator="containsText" text="SIN RIESGO">
      <formula>NOT(ISERROR(SEARCH("SIN RIESGO",S276)))</formula>
    </cfRule>
  </conditionalFormatting>
  <conditionalFormatting sqref="S276">
    <cfRule type="containsText" dxfId="6607" priority="329" stopIfTrue="1" operator="containsText" text="SIN RIESGO">
      <formula>NOT(ISERROR(SEARCH("SIN RIESGO",S276)))</formula>
    </cfRule>
  </conditionalFormatting>
  <conditionalFormatting sqref="S277">
    <cfRule type="cellIs" dxfId="6606" priority="328" stopIfTrue="1" operator="equal">
      <formula>"INVIABLE SANITARIAMENTE"</formula>
    </cfRule>
  </conditionalFormatting>
  <conditionalFormatting sqref="S277">
    <cfRule type="containsText" dxfId="6605" priority="323" stopIfTrue="1" operator="containsText" text="INVIABLE SANITARIAMENTE">
      <formula>NOT(ISERROR(SEARCH("INVIABLE SANITARIAMENTE",S277)))</formula>
    </cfRule>
    <cfRule type="containsText" dxfId="6604" priority="324" stopIfTrue="1" operator="containsText" text="ALTO">
      <formula>NOT(ISERROR(SEARCH("ALTO",S277)))</formula>
    </cfRule>
    <cfRule type="containsText" dxfId="6603" priority="325" stopIfTrue="1" operator="containsText" text="MEDIO">
      <formula>NOT(ISERROR(SEARCH("MEDIO",S277)))</formula>
    </cfRule>
    <cfRule type="containsText" dxfId="6602" priority="326" stopIfTrue="1" operator="containsText" text="BAJO">
      <formula>NOT(ISERROR(SEARCH("BAJO",S277)))</formula>
    </cfRule>
    <cfRule type="containsText" dxfId="6601" priority="327" stopIfTrue="1" operator="containsText" text="SIN RIESGO">
      <formula>NOT(ISERROR(SEARCH("SIN RIESGO",S277)))</formula>
    </cfRule>
  </conditionalFormatting>
  <conditionalFormatting sqref="R110:R112">
    <cfRule type="cellIs" dxfId="6600" priority="320" stopIfTrue="1" operator="equal">
      <formula>"NO"</formula>
    </cfRule>
  </conditionalFormatting>
  <conditionalFormatting sqref="R113">
    <cfRule type="cellIs" dxfId="6599" priority="304" stopIfTrue="1" operator="equal">
      <formula>"NO"</formula>
    </cfRule>
  </conditionalFormatting>
  <conditionalFormatting sqref="R114:R115">
    <cfRule type="cellIs" dxfId="6598" priority="296" stopIfTrue="1" operator="equal">
      <formula>"NO"</formula>
    </cfRule>
  </conditionalFormatting>
  <conditionalFormatting sqref="R117:R118">
    <cfRule type="cellIs" dxfId="6597" priority="280" stopIfTrue="1" operator="equal">
      <formula>"NO"</formula>
    </cfRule>
  </conditionalFormatting>
  <conditionalFormatting sqref="R119">
    <cfRule type="cellIs" dxfId="6596" priority="272" stopIfTrue="1" operator="equal">
      <formula>"NO"</formula>
    </cfRule>
  </conditionalFormatting>
  <conditionalFormatting sqref="R44:R57">
    <cfRule type="cellIs" dxfId="6595" priority="265" stopIfTrue="1" operator="equal">
      <formula>"NO"</formula>
    </cfRule>
  </conditionalFormatting>
  <conditionalFormatting sqref="R10">
    <cfRule type="cellIs" dxfId="6594" priority="123" stopIfTrue="1" operator="equal">
      <formula>"NO"</formula>
    </cfRule>
  </conditionalFormatting>
  <conditionalFormatting sqref="Q10:Q41 Q43:Q57 Q60:Q126">
    <cfRule type="containsBlanks" dxfId="6593" priority="115" stopIfTrue="1">
      <formula>LEN(TRIM(Q10))=0</formula>
    </cfRule>
    <cfRule type="cellIs" dxfId="6592" priority="116" stopIfTrue="1" operator="between">
      <formula>80.1</formula>
      <formula>100</formula>
    </cfRule>
    <cfRule type="cellIs" dxfId="6591" priority="117" stopIfTrue="1" operator="between">
      <formula>35.1</formula>
      <formula>80</formula>
    </cfRule>
    <cfRule type="cellIs" dxfId="6590" priority="118" stopIfTrue="1" operator="between">
      <formula>14.1</formula>
      <formula>35</formula>
    </cfRule>
    <cfRule type="cellIs" dxfId="6589" priority="119" stopIfTrue="1" operator="between">
      <formula>5.1</formula>
      <formula>14</formula>
    </cfRule>
    <cfRule type="cellIs" dxfId="6588" priority="120" stopIfTrue="1" operator="between">
      <formula>0</formula>
      <formula>5</formula>
    </cfRule>
    <cfRule type="containsBlanks" dxfId="6587" priority="121" stopIfTrue="1">
      <formula>LEN(TRIM(Q10))=0</formula>
    </cfRule>
  </conditionalFormatting>
  <conditionalFormatting sqref="S10:S41 S43:S57 S60:S125">
    <cfRule type="cellIs" dxfId="6586" priority="108" stopIfTrue="1" operator="equal">
      <formula>"INVIABLE SANITARIAMENTE"</formula>
    </cfRule>
  </conditionalFormatting>
  <conditionalFormatting sqref="S10:S41 S43:S57 S60:S125">
    <cfRule type="containsText" dxfId="6585" priority="103" stopIfTrue="1" operator="containsText" text="INVIABLE SANITARIAMENTE">
      <formula>NOT(ISERROR(SEARCH("INVIABLE SANITARIAMENTE",S10)))</formula>
    </cfRule>
    <cfRule type="containsText" dxfId="6584" priority="104" stopIfTrue="1" operator="containsText" text="ALTO">
      <formula>NOT(ISERROR(SEARCH("ALTO",S10)))</formula>
    </cfRule>
    <cfRule type="containsText" dxfId="6583" priority="105" stopIfTrue="1" operator="containsText" text="MEDIO">
      <formula>NOT(ISERROR(SEARCH("MEDIO",S10)))</formula>
    </cfRule>
    <cfRule type="containsText" dxfId="6582" priority="106" stopIfTrue="1" operator="containsText" text="BAJO">
      <formula>NOT(ISERROR(SEARCH("BAJO",S10)))</formula>
    </cfRule>
    <cfRule type="containsText" dxfId="6581" priority="107" stopIfTrue="1" operator="containsText" text="SIN RIESGO">
      <formula>NOT(ISERROR(SEARCH("SIN RIESGO",S10)))</formula>
    </cfRule>
  </conditionalFormatting>
  <conditionalFormatting sqref="S10:S41 S43:S57 S60:S125">
    <cfRule type="containsText" dxfId="6580" priority="102" stopIfTrue="1" operator="containsText" text="SIN RIESGO">
      <formula>NOT(ISERROR(SEARCH("SIN RIESGO",S10)))</formula>
    </cfRule>
  </conditionalFormatting>
  <conditionalFormatting sqref="R42">
    <cfRule type="cellIs" dxfId="6579" priority="101" stopIfTrue="1" operator="equal">
      <formula>"NO"</formula>
    </cfRule>
  </conditionalFormatting>
  <conditionalFormatting sqref="Q42">
    <cfRule type="containsBlanks" dxfId="6578" priority="94" stopIfTrue="1">
      <formula>LEN(TRIM(Q42))=0</formula>
    </cfRule>
    <cfRule type="cellIs" dxfId="6577" priority="95" stopIfTrue="1" operator="between">
      <formula>80.1</formula>
      <formula>100</formula>
    </cfRule>
    <cfRule type="cellIs" dxfId="6576" priority="96" stopIfTrue="1" operator="between">
      <formula>35.1</formula>
      <formula>80</formula>
    </cfRule>
    <cfRule type="cellIs" dxfId="6575" priority="97" stopIfTrue="1" operator="between">
      <formula>14.1</formula>
      <formula>35</formula>
    </cfRule>
    <cfRule type="cellIs" dxfId="6574" priority="98" stopIfTrue="1" operator="between">
      <formula>5.1</formula>
      <formula>14</formula>
    </cfRule>
    <cfRule type="cellIs" dxfId="6573" priority="99" stopIfTrue="1" operator="between">
      <formula>0</formula>
      <formula>5</formula>
    </cfRule>
    <cfRule type="containsBlanks" dxfId="6572" priority="100" stopIfTrue="1">
      <formula>LEN(TRIM(Q42))=0</formula>
    </cfRule>
  </conditionalFormatting>
  <conditionalFormatting sqref="Q42">
    <cfRule type="containsBlanks" dxfId="6571" priority="87" stopIfTrue="1">
      <formula>LEN(TRIM(Q42))=0</formula>
    </cfRule>
    <cfRule type="cellIs" dxfId="6570" priority="88" stopIfTrue="1" operator="between">
      <formula>80.1</formula>
      <formula>100</formula>
    </cfRule>
    <cfRule type="cellIs" dxfId="6569" priority="89" stopIfTrue="1" operator="between">
      <formula>35.1</formula>
      <formula>80</formula>
    </cfRule>
    <cfRule type="cellIs" dxfId="6568" priority="90" stopIfTrue="1" operator="between">
      <formula>14.1</formula>
      <formula>35</formula>
    </cfRule>
    <cfRule type="cellIs" dxfId="6567" priority="91" stopIfTrue="1" operator="between">
      <formula>5.1</formula>
      <formula>14</formula>
    </cfRule>
    <cfRule type="cellIs" dxfId="6566" priority="92" stopIfTrue="1" operator="between">
      <formula>0</formula>
      <formula>5</formula>
    </cfRule>
    <cfRule type="containsBlanks" dxfId="6565" priority="93" stopIfTrue="1">
      <formula>LEN(TRIM(Q42))=0</formula>
    </cfRule>
  </conditionalFormatting>
  <conditionalFormatting sqref="E42:P42">
    <cfRule type="containsBlanks" dxfId="6564" priority="80" stopIfTrue="1">
      <formula>LEN(TRIM(E42))=0</formula>
    </cfRule>
    <cfRule type="cellIs" dxfId="6563" priority="81" stopIfTrue="1" operator="between">
      <formula>79.1</formula>
      <formula>100</formula>
    </cfRule>
    <cfRule type="cellIs" dxfId="6562" priority="82" stopIfTrue="1" operator="between">
      <formula>34.1</formula>
      <formula>79</formula>
    </cfRule>
    <cfRule type="cellIs" dxfId="6561" priority="83" stopIfTrue="1" operator="between">
      <formula>13.1</formula>
      <formula>34</formula>
    </cfRule>
    <cfRule type="cellIs" dxfId="6560" priority="84" stopIfTrue="1" operator="between">
      <formula>5.1</formula>
      <formula>13</formula>
    </cfRule>
    <cfRule type="cellIs" dxfId="6559" priority="85" stopIfTrue="1" operator="between">
      <formula>0</formula>
      <formula>5</formula>
    </cfRule>
    <cfRule type="containsBlanks" dxfId="6558" priority="86" stopIfTrue="1">
      <formula>LEN(TRIM(E42))=0</formula>
    </cfRule>
  </conditionalFormatting>
  <conditionalFormatting sqref="E42:P42">
    <cfRule type="containsBlanks" dxfId="6557" priority="73" stopIfTrue="1">
      <formula>LEN(TRIM(E42))=0</formula>
    </cfRule>
    <cfRule type="cellIs" dxfId="6556" priority="74" stopIfTrue="1" operator="between">
      <formula>79.1</formula>
      <formula>100</formula>
    </cfRule>
    <cfRule type="cellIs" dxfId="6555" priority="75" stopIfTrue="1" operator="between">
      <formula>34.1</formula>
      <formula>79</formula>
    </cfRule>
    <cfRule type="cellIs" dxfId="6554" priority="76" stopIfTrue="1" operator="between">
      <formula>13.1</formula>
      <formula>34</formula>
    </cfRule>
    <cfRule type="cellIs" dxfId="6553" priority="77" stopIfTrue="1" operator="between">
      <formula>5.1</formula>
      <formula>13</formula>
    </cfRule>
    <cfRule type="cellIs" dxfId="6552" priority="78" stopIfTrue="1" operator="between">
      <formula>0</formula>
      <formula>5</formula>
    </cfRule>
    <cfRule type="containsBlanks" dxfId="6551" priority="79" stopIfTrue="1">
      <formula>LEN(TRIM(E42))=0</formula>
    </cfRule>
  </conditionalFormatting>
  <conditionalFormatting sqref="Q42">
    <cfRule type="containsBlanks" dxfId="6550" priority="66" stopIfTrue="1">
      <formula>LEN(TRIM(Q42))=0</formula>
    </cfRule>
    <cfRule type="cellIs" dxfId="6549" priority="67" stopIfTrue="1" operator="between">
      <formula>80.1</formula>
      <formula>100</formula>
    </cfRule>
    <cfRule type="cellIs" dxfId="6548" priority="68" stopIfTrue="1" operator="between">
      <formula>35.1</formula>
      <formula>80</formula>
    </cfRule>
    <cfRule type="cellIs" dxfId="6547" priority="69" stopIfTrue="1" operator="between">
      <formula>14.1</formula>
      <formula>35</formula>
    </cfRule>
    <cfRule type="cellIs" dxfId="6546" priority="70" stopIfTrue="1" operator="between">
      <formula>5.1</formula>
      <formula>14</formula>
    </cfRule>
    <cfRule type="cellIs" dxfId="6545" priority="71" stopIfTrue="1" operator="between">
      <formula>0</formula>
      <formula>5</formula>
    </cfRule>
    <cfRule type="containsBlanks" dxfId="6544" priority="72" stopIfTrue="1">
      <formula>LEN(TRIM(Q42))=0</formula>
    </cfRule>
  </conditionalFormatting>
  <conditionalFormatting sqref="S42">
    <cfRule type="cellIs" dxfId="6543" priority="65" stopIfTrue="1" operator="equal">
      <formula>"INVIABLE SANITARIAMENTE"</formula>
    </cfRule>
  </conditionalFormatting>
  <conditionalFormatting sqref="S42">
    <cfRule type="containsText" dxfId="6542" priority="60" stopIfTrue="1" operator="containsText" text="INVIABLE SANITARIAMENTE">
      <formula>NOT(ISERROR(SEARCH("INVIABLE SANITARIAMENTE",S42)))</formula>
    </cfRule>
    <cfRule type="containsText" dxfId="6541" priority="61" stopIfTrue="1" operator="containsText" text="ALTO">
      <formula>NOT(ISERROR(SEARCH("ALTO",S42)))</formula>
    </cfRule>
    <cfRule type="containsText" dxfId="6540" priority="62" stopIfTrue="1" operator="containsText" text="MEDIO">
      <formula>NOT(ISERROR(SEARCH("MEDIO",S42)))</formula>
    </cfRule>
    <cfRule type="containsText" dxfId="6539" priority="63" stopIfTrue="1" operator="containsText" text="BAJO">
      <formula>NOT(ISERROR(SEARCH("BAJO",S42)))</formula>
    </cfRule>
    <cfRule type="containsText" dxfId="6538" priority="64" stopIfTrue="1" operator="containsText" text="SIN RIESGO">
      <formula>NOT(ISERROR(SEARCH("SIN RIESGO",S42)))</formula>
    </cfRule>
  </conditionalFormatting>
  <conditionalFormatting sqref="S42">
    <cfRule type="containsText" dxfId="6537" priority="59" stopIfTrue="1" operator="containsText" text="SIN RIESGO">
      <formula>NOT(ISERROR(SEARCH("SIN RIESGO",S42)))</formula>
    </cfRule>
  </conditionalFormatting>
  <conditionalFormatting sqref="R59">
    <cfRule type="cellIs" dxfId="6536" priority="58" stopIfTrue="1" operator="equal">
      <formula>"NO"</formula>
    </cfRule>
  </conditionalFormatting>
  <conditionalFormatting sqref="E59:Q59">
    <cfRule type="containsBlanks" dxfId="6535" priority="51" stopIfTrue="1">
      <formula>LEN(TRIM(E59))=0</formula>
    </cfRule>
    <cfRule type="cellIs" dxfId="6534" priority="52" stopIfTrue="1" operator="between">
      <formula>80.1</formula>
      <formula>100</formula>
    </cfRule>
    <cfRule type="cellIs" dxfId="6533" priority="53" stopIfTrue="1" operator="between">
      <formula>35.1</formula>
      <formula>80</formula>
    </cfRule>
    <cfRule type="cellIs" dxfId="6532" priority="54" stopIfTrue="1" operator="between">
      <formula>14.1</formula>
      <formula>35</formula>
    </cfRule>
    <cfRule type="cellIs" dxfId="6531" priority="55" stopIfTrue="1" operator="between">
      <formula>5.1</formula>
      <formula>14</formula>
    </cfRule>
    <cfRule type="cellIs" dxfId="6530" priority="56" stopIfTrue="1" operator="between">
      <formula>0</formula>
      <formula>5</formula>
    </cfRule>
    <cfRule type="containsBlanks" dxfId="6529" priority="57" stopIfTrue="1">
      <formula>LEN(TRIM(E59))=0</formula>
    </cfRule>
  </conditionalFormatting>
  <conditionalFormatting sqref="E59:P59">
    <cfRule type="containsBlanks" dxfId="6528" priority="44" stopIfTrue="1">
      <formula>LEN(TRIM(E59))=0</formula>
    </cfRule>
    <cfRule type="cellIs" dxfId="6527" priority="45" stopIfTrue="1" operator="between">
      <formula>79.1</formula>
      <formula>100</formula>
    </cfRule>
    <cfRule type="cellIs" dxfId="6526" priority="46" stopIfTrue="1" operator="between">
      <formula>34.1</formula>
      <formula>79</formula>
    </cfRule>
    <cfRule type="cellIs" dxfId="6525" priority="47" stopIfTrue="1" operator="between">
      <formula>13.1</formula>
      <formula>34</formula>
    </cfRule>
    <cfRule type="cellIs" dxfId="6524" priority="48" stopIfTrue="1" operator="between">
      <formula>5.1</formula>
      <formula>13</formula>
    </cfRule>
    <cfRule type="cellIs" dxfId="6523" priority="49" stopIfTrue="1" operator="between">
      <formula>0</formula>
      <formula>5</formula>
    </cfRule>
    <cfRule type="containsBlanks" dxfId="6522" priority="50" stopIfTrue="1">
      <formula>LEN(TRIM(E59))=0</formula>
    </cfRule>
  </conditionalFormatting>
  <conditionalFormatting sqref="Q59">
    <cfRule type="containsBlanks" dxfId="6521" priority="37" stopIfTrue="1">
      <formula>LEN(TRIM(Q59))=0</formula>
    </cfRule>
    <cfRule type="cellIs" dxfId="6520" priority="38" stopIfTrue="1" operator="between">
      <formula>80.1</formula>
      <formula>100</formula>
    </cfRule>
    <cfRule type="cellIs" dxfId="6519" priority="39" stopIfTrue="1" operator="between">
      <formula>35.1</formula>
      <formula>80</formula>
    </cfRule>
    <cfRule type="cellIs" dxfId="6518" priority="40" stopIfTrue="1" operator="between">
      <formula>14.1</formula>
      <formula>35</formula>
    </cfRule>
    <cfRule type="cellIs" dxfId="6517" priority="41" stopIfTrue="1" operator="between">
      <formula>5.1</formula>
      <formula>14</formula>
    </cfRule>
    <cfRule type="cellIs" dxfId="6516" priority="42" stopIfTrue="1" operator="between">
      <formula>0</formula>
      <formula>5</formula>
    </cfRule>
    <cfRule type="containsBlanks" dxfId="6515" priority="43" stopIfTrue="1">
      <formula>LEN(TRIM(Q59))=0</formula>
    </cfRule>
  </conditionalFormatting>
  <conditionalFormatting sqref="S59">
    <cfRule type="cellIs" dxfId="6514" priority="36" stopIfTrue="1" operator="equal">
      <formula>"INVIABLE SANITARIAMENTE"</formula>
    </cfRule>
  </conditionalFormatting>
  <conditionalFormatting sqref="S59">
    <cfRule type="containsText" dxfId="6513" priority="31" stopIfTrue="1" operator="containsText" text="INVIABLE SANITARIAMENTE">
      <formula>NOT(ISERROR(SEARCH("INVIABLE SANITARIAMENTE",S59)))</formula>
    </cfRule>
    <cfRule type="containsText" dxfId="6512" priority="32" stopIfTrue="1" operator="containsText" text="ALTO">
      <formula>NOT(ISERROR(SEARCH("ALTO",S59)))</formula>
    </cfRule>
    <cfRule type="containsText" dxfId="6511" priority="33" stopIfTrue="1" operator="containsText" text="MEDIO">
      <formula>NOT(ISERROR(SEARCH("MEDIO",S59)))</formula>
    </cfRule>
    <cfRule type="containsText" dxfId="6510" priority="34" stopIfTrue="1" operator="containsText" text="BAJO">
      <formula>NOT(ISERROR(SEARCH("BAJO",S59)))</formula>
    </cfRule>
    <cfRule type="containsText" dxfId="6509" priority="35" stopIfTrue="1" operator="containsText" text="SIN RIESGO">
      <formula>NOT(ISERROR(SEARCH("SIN RIESGO",S59)))</formula>
    </cfRule>
  </conditionalFormatting>
  <conditionalFormatting sqref="S59">
    <cfRule type="containsText" dxfId="6508" priority="30" stopIfTrue="1" operator="containsText" text="SIN RIESGO">
      <formula>NOT(ISERROR(SEARCH("SIN RIESGO",S59)))</formula>
    </cfRule>
  </conditionalFormatting>
  <conditionalFormatting sqref="R58">
    <cfRule type="cellIs" dxfId="6507" priority="29" stopIfTrue="1" operator="equal">
      <formula>"NO"</formula>
    </cfRule>
  </conditionalFormatting>
  <conditionalFormatting sqref="E58:Q58">
    <cfRule type="containsBlanks" dxfId="6506" priority="22" stopIfTrue="1">
      <formula>LEN(TRIM(E58))=0</formula>
    </cfRule>
    <cfRule type="cellIs" dxfId="6505" priority="23" stopIfTrue="1" operator="between">
      <formula>80.1</formula>
      <formula>100</formula>
    </cfRule>
    <cfRule type="cellIs" dxfId="6504" priority="24" stopIfTrue="1" operator="between">
      <formula>35.1</formula>
      <formula>80</formula>
    </cfRule>
    <cfRule type="cellIs" dxfId="6503" priority="25" stopIfTrue="1" operator="between">
      <formula>14.1</formula>
      <formula>35</formula>
    </cfRule>
    <cfRule type="cellIs" dxfId="6502" priority="26" stopIfTrue="1" operator="between">
      <formula>5.1</formula>
      <formula>14</formula>
    </cfRule>
    <cfRule type="cellIs" dxfId="6501" priority="27" stopIfTrue="1" operator="between">
      <formula>0</formula>
      <formula>5</formula>
    </cfRule>
    <cfRule type="containsBlanks" dxfId="6500" priority="28" stopIfTrue="1">
      <formula>LEN(TRIM(E58))=0</formula>
    </cfRule>
  </conditionalFormatting>
  <conditionalFormatting sqref="E58:P58">
    <cfRule type="containsBlanks" dxfId="6499" priority="15" stopIfTrue="1">
      <formula>LEN(TRIM(E58))=0</formula>
    </cfRule>
    <cfRule type="cellIs" dxfId="6498" priority="16" stopIfTrue="1" operator="between">
      <formula>79.1</formula>
      <formula>100</formula>
    </cfRule>
    <cfRule type="cellIs" dxfId="6497" priority="17" stopIfTrue="1" operator="between">
      <formula>34.1</formula>
      <formula>79</formula>
    </cfRule>
    <cfRule type="cellIs" dxfId="6496" priority="18" stopIfTrue="1" operator="between">
      <formula>13.1</formula>
      <formula>34</formula>
    </cfRule>
    <cfRule type="cellIs" dxfId="6495" priority="19" stopIfTrue="1" operator="between">
      <formula>5.1</formula>
      <formula>13</formula>
    </cfRule>
    <cfRule type="cellIs" dxfId="6494" priority="20" stopIfTrue="1" operator="between">
      <formula>0</formula>
      <formula>5</formula>
    </cfRule>
    <cfRule type="containsBlanks" dxfId="6493" priority="21" stopIfTrue="1">
      <formula>LEN(TRIM(E58))=0</formula>
    </cfRule>
  </conditionalFormatting>
  <conditionalFormatting sqref="Q58">
    <cfRule type="containsBlanks" dxfId="6492" priority="8" stopIfTrue="1">
      <formula>LEN(TRIM(Q58))=0</formula>
    </cfRule>
    <cfRule type="cellIs" dxfId="6491" priority="9" stopIfTrue="1" operator="between">
      <formula>80.1</formula>
      <formula>100</formula>
    </cfRule>
    <cfRule type="cellIs" dxfId="6490" priority="10" stopIfTrue="1" operator="between">
      <formula>35.1</formula>
      <formula>80</formula>
    </cfRule>
    <cfRule type="cellIs" dxfId="6489" priority="11" stopIfTrue="1" operator="between">
      <formula>14.1</formula>
      <formula>35</formula>
    </cfRule>
    <cfRule type="cellIs" dxfId="6488" priority="12" stopIfTrue="1" operator="between">
      <formula>5.1</formula>
      <formula>14</formula>
    </cfRule>
    <cfRule type="cellIs" dxfId="6487" priority="13" stopIfTrue="1" operator="between">
      <formula>0</formula>
      <formula>5</formula>
    </cfRule>
    <cfRule type="containsBlanks" dxfId="6486" priority="14" stopIfTrue="1">
      <formula>LEN(TRIM(Q58))=0</formula>
    </cfRule>
  </conditionalFormatting>
  <conditionalFormatting sqref="S58">
    <cfRule type="cellIs" dxfId="6485" priority="7" stopIfTrue="1" operator="equal">
      <formula>"INVIABLE SANITARIAMENTE"</formula>
    </cfRule>
  </conditionalFormatting>
  <conditionalFormatting sqref="S58">
    <cfRule type="containsText" dxfId="6484" priority="2" stopIfTrue="1" operator="containsText" text="INVIABLE SANITARIAMENTE">
      <formula>NOT(ISERROR(SEARCH("INVIABLE SANITARIAMENTE",S58)))</formula>
    </cfRule>
    <cfRule type="containsText" dxfId="6483" priority="3" stopIfTrue="1" operator="containsText" text="ALTO">
      <formula>NOT(ISERROR(SEARCH("ALTO",S58)))</formula>
    </cfRule>
    <cfRule type="containsText" dxfId="6482" priority="4" stopIfTrue="1" operator="containsText" text="MEDIO">
      <formula>NOT(ISERROR(SEARCH("MEDIO",S58)))</formula>
    </cfRule>
    <cfRule type="containsText" dxfId="6481" priority="5" stopIfTrue="1" operator="containsText" text="BAJO">
      <formula>NOT(ISERROR(SEARCH("BAJO",S58)))</formula>
    </cfRule>
    <cfRule type="containsText" dxfId="6480" priority="6" stopIfTrue="1" operator="containsText" text="SIN RIESGO">
      <formula>NOT(ISERROR(SEARCH("SIN RIESGO",S58)))</formula>
    </cfRule>
  </conditionalFormatting>
  <conditionalFormatting sqref="S58">
    <cfRule type="containsText" dxfId="6479" priority="1" stopIfTrue="1" operator="containsText" text="SIN RIESGO">
      <formula>NOT(ISERROR(SEARCH("SIN RIESGO",S58)))</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738"/>
  <sheetViews>
    <sheetView zoomScale="60" zoomScaleNormal="70" workbookViewId="0">
      <pane xSplit="3" ySplit="9" topLeftCell="D10" activePane="bottomRight" state="frozenSplit"/>
      <selection pane="topRight" activeCell="D1" sqref="D1"/>
      <selection pane="bottomLeft" activeCell="A10" sqref="A10"/>
      <selection pane="bottomRight" activeCell="A10" sqref="A10"/>
    </sheetView>
  </sheetViews>
  <sheetFormatPr baseColWidth="10" defaultColWidth="0" defaultRowHeight="12.75" customHeight="1" zeroHeight="1"/>
  <cols>
    <col min="1" max="1" width="38.28515625" style="35" customWidth="1"/>
    <col min="2" max="2" width="48.140625" style="12" customWidth="1"/>
    <col min="3" max="3" width="65.5703125" style="12" customWidth="1"/>
    <col min="4" max="4" width="24.7109375" style="12" customWidth="1"/>
    <col min="5" max="18" width="10.7109375" style="272" customWidth="1"/>
    <col min="19" max="19" width="42.28515625" style="272" bestFit="1" customWidth="1"/>
    <col min="20" max="20" width="9.85546875" style="272" hidden="1" customWidth="1"/>
    <col min="21" max="16384" width="11.42578125" style="272" hidden="1"/>
  </cols>
  <sheetData>
    <row r="1" spans="1:23" s="7" customFormat="1" ht="18" customHeight="1">
      <c r="A1" s="129"/>
      <c r="B1" s="551" t="s">
        <v>258</v>
      </c>
      <c r="C1" s="551"/>
      <c r="D1" s="551"/>
      <c r="E1" s="131"/>
      <c r="F1" s="131"/>
      <c r="G1" s="131"/>
      <c r="H1" s="131"/>
      <c r="I1" s="131"/>
      <c r="J1" s="131"/>
      <c r="K1" s="131"/>
      <c r="L1" s="131"/>
      <c r="M1" s="131"/>
      <c r="N1" s="131"/>
      <c r="O1" s="131"/>
      <c r="P1" s="131"/>
      <c r="Q1" s="131"/>
      <c r="R1" s="132"/>
      <c r="S1" s="255" t="s">
        <v>546</v>
      </c>
      <c r="T1" s="3"/>
      <c r="U1" s="5"/>
      <c r="V1" s="6"/>
      <c r="W1" s="6"/>
    </row>
    <row r="2" spans="1:23" s="9" customFormat="1" ht="18" customHeight="1">
      <c r="A2" s="129"/>
      <c r="B2" s="552" t="s">
        <v>259</v>
      </c>
      <c r="C2" s="552"/>
      <c r="D2" s="552"/>
      <c r="E2" s="270"/>
      <c r="F2" s="270"/>
      <c r="G2" s="270"/>
      <c r="H2" s="270"/>
      <c r="I2" s="270"/>
      <c r="J2" s="270"/>
      <c r="K2" s="270"/>
      <c r="L2" s="270"/>
      <c r="M2" s="270"/>
      <c r="N2" s="270"/>
      <c r="O2" s="270"/>
      <c r="P2" s="270"/>
      <c r="Q2" s="270"/>
      <c r="R2" s="134"/>
      <c r="S2" s="256" t="s">
        <v>260</v>
      </c>
      <c r="T2" s="3"/>
      <c r="U2" s="8"/>
      <c r="V2" s="6"/>
      <c r="W2" s="6"/>
    </row>
    <row r="3" spans="1:23" s="7" customFormat="1" ht="18" customHeight="1">
      <c r="A3" s="129"/>
      <c r="B3" s="63" t="s">
        <v>4368</v>
      </c>
      <c r="C3" s="63"/>
      <c r="D3" s="63"/>
      <c r="E3" s="269"/>
      <c r="F3" s="269"/>
      <c r="G3" s="269"/>
      <c r="H3" s="269"/>
      <c r="I3" s="269"/>
      <c r="J3" s="269"/>
      <c r="K3" s="269"/>
      <c r="L3" s="269"/>
      <c r="M3" s="269"/>
      <c r="N3" s="269"/>
      <c r="O3" s="269"/>
      <c r="P3" s="269"/>
      <c r="Q3" s="269"/>
      <c r="R3" s="135"/>
      <c r="S3" s="256" t="s">
        <v>547</v>
      </c>
      <c r="T3" s="3"/>
      <c r="U3" s="5"/>
      <c r="V3" s="6"/>
      <c r="W3" s="6"/>
    </row>
    <row r="4" spans="1:23" s="7" customFormat="1" ht="18" customHeight="1">
      <c r="A4" s="129"/>
      <c r="B4" s="576" t="s">
        <v>4569</v>
      </c>
      <c r="C4" s="576"/>
      <c r="D4" s="576"/>
      <c r="E4" s="258"/>
      <c r="F4" s="258"/>
      <c r="G4" s="258"/>
      <c r="H4" s="258"/>
      <c r="I4" s="258"/>
      <c r="J4" s="258"/>
      <c r="K4" s="258"/>
      <c r="L4" s="258"/>
      <c r="M4" s="258"/>
      <c r="N4" s="258"/>
      <c r="O4" s="258"/>
      <c r="P4" s="258"/>
      <c r="Q4" s="258"/>
      <c r="R4" s="259"/>
      <c r="S4" s="256" t="s">
        <v>261</v>
      </c>
      <c r="T4" s="3"/>
      <c r="U4" s="5"/>
      <c r="V4" s="6"/>
      <c r="W4" s="6"/>
    </row>
    <row r="5" spans="1:23" s="32" customFormat="1" ht="15" customHeight="1">
      <c r="A5" s="257"/>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3" s="32" customFormat="1" ht="16.5" customHeight="1">
      <c r="A6" s="257"/>
      <c r="B6" s="558"/>
      <c r="C6" s="553"/>
      <c r="D6" s="557"/>
      <c r="E6" s="544"/>
      <c r="F6" s="544"/>
      <c r="G6" s="544"/>
      <c r="H6" s="539"/>
      <c r="I6" s="539"/>
      <c r="J6" s="539"/>
      <c r="K6" s="546"/>
      <c r="L6" s="546"/>
      <c r="M6" s="546"/>
      <c r="N6" s="543"/>
      <c r="O6" s="543"/>
      <c r="P6" s="543"/>
      <c r="Q6" s="562"/>
      <c r="R6" s="562"/>
      <c r="S6" s="538"/>
    </row>
    <row r="7" spans="1:23" s="32" customFormat="1" ht="27" customHeight="1">
      <c r="A7" s="260" t="s">
        <v>3755</v>
      </c>
      <c r="B7" s="122"/>
      <c r="C7" s="118"/>
      <c r="D7" s="118"/>
      <c r="E7" s="118"/>
      <c r="F7" s="118"/>
      <c r="G7" s="118"/>
      <c r="H7" s="118"/>
      <c r="I7" s="118"/>
      <c r="J7" s="118"/>
      <c r="K7" s="118"/>
      <c r="L7" s="118"/>
      <c r="M7" s="118"/>
      <c r="N7" s="118"/>
      <c r="O7" s="118"/>
      <c r="P7" s="118"/>
      <c r="Q7" s="118"/>
      <c r="R7" s="118"/>
      <c r="S7" s="123"/>
    </row>
    <row r="8" spans="1:23" s="10" customFormat="1" ht="18" customHeight="1">
      <c r="A8" s="556" t="s">
        <v>37</v>
      </c>
      <c r="B8" s="554" t="s">
        <v>38</v>
      </c>
      <c r="C8" s="554" t="s">
        <v>262</v>
      </c>
      <c r="D8" s="569" t="s">
        <v>454</v>
      </c>
      <c r="E8" s="540" t="s">
        <v>33</v>
      </c>
      <c r="F8" s="540"/>
      <c r="G8" s="540"/>
      <c r="H8" s="540"/>
      <c r="I8" s="540"/>
      <c r="J8" s="540"/>
      <c r="K8" s="540"/>
      <c r="L8" s="540"/>
      <c r="M8" s="540"/>
      <c r="N8" s="540"/>
      <c r="O8" s="540"/>
      <c r="P8" s="540"/>
      <c r="Q8" s="567" t="s">
        <v>34</v>
      </c>
      <c r="R8" s="567" t="s">
        <v>36</v>
      </c>
      <c r="S8" s="554" t="s">
        <v>35</v>
      </c>
      <c r="T8" s="11"/>
    </row>
    <row r="9" spans="1:23" s="10" customFormat="1" ht="24" customHeight="1">
      <c r="A9" s="572"/>
      <c r="B9" s="569"/>
      <c r="C9" s="569"/>
      <c r="D9" s="570"/>
      <c r="E9" s="271" t="s">
        <v>21</v>
      </c>
      <c r="F9" s="271" t="s">
        <v>22</v>
      </c>
      <c r="G9" s="271" t="s">
        <v>23</v>
      </c>
      <c r="H9" s="271" t="s">
        <v>24</v>
      </c>
      <c r="I9" s="271" t="s">
        <v>25</v>
      </c>
      <c r="J9" s="271" t="s">
        <v>26</v>
      </c>
      <c r="K9" s="271" t="s">
        <v>27</v>
      </c>
      <c r="L9" s="271" t="s">
        <v>28</v>
      </c>
      <c r="M9" s="271" t="s">
        <v>29</v>
      </c>
      <c r="N9" s="271" t="s">
        <v>30</v>
      </c>
      <c r="O9" s="271" t="s">
        <v>31</v>
      </c>
      <c r="P9" s="271" t="s">
        <v>32</v>
      </c>
      <c r="Q9" s="573"/>
      <c r="R9" s="577"/>
      <c r="S9" s="571"/>
      <c r="T9" s="11"/>
    </row>
    <row r="10" spans="1:23" s="10" customFormat="1" ht="32.1" customHeight="1">
      <c r="A10" s="419" t="s">
        <v>127</v>
      </c>
      <c r="B10" s="238" t="s">
        <v>2014</v>
      </c>
      <c r="C10" s="486" t="s">
        <v>2015</v>
      </c>
      <c r="D10" s="119"/>
      <c r="E10" s="79"/>
      <c r="F10" s="79"/>
      <c r="G10" s="79"/>
      <c r="H10" s="79"/>
      <c r="I10" s="79"/>
      <c r="J10" s="79"/>
      <c r="K10" s="79"/>
      <c r="L10" s="79"/>
      <c r="M10" s="79"/>
      <c r="N10" s="79"/>
      <c r="O10" s="79"/>
      <c r="P10" s="79"/>
      <c r="Q10" s="139" t="e">
        <f t="shared" ref="Q10:Q41" si="0">AVERAGE(E10:P10)</f>
        <v>#DIV/0!</v>
      </c>
      <c r="R10" s="144" t="e">
        <f t="shared" ref="R10:R74" si="1">IF(Q10&lt;5,"SI","NO")</f>
        <v>#DIV/0!</v>
      </c>
      <c r="S10" s="145" t="e">
        <f t="shared" ref="S10:S74" si="2">IF(Q10&lt;=5,"Sin Riesgo",IF(Q10 &lt;=14,"Bajo",IF(Q10&lt;=35,"Medio",IF(Q10&lt;=80,"Alto","Inviable Sanitariamente"))))</f>
        <v>#DIV/0!</v>
      </c>
      <c r="T10" s="11"/>
    </row>
    <row r="11" spans="1:23" s="59" customFormat="1" ht="32.1" customHeight="1">
      <c r="A11" s="419" t="s">
        <v>127</v>
      </c>
      <c r="B11" s="238" t="s">
        <v>2016</v>
      </c>
      <c r="C11" s="486" t="s">
        <v>2017</v>
      </c>
      <c r="D11" s="119"/>
      <c r="E11" s="79"/>
      <c r="F11" s="79"/>
      <c r="G11" s="79"/>
      <c r="H11" s="79"/>
      <c r="I11" s="79"/>
      <c r="J11" s="79"/>
      <c r="K11" s="79"/>
      <c r="L11" s="79"/>
      <c r="M11" s="79"/>
      <c r="N11" s="79"/>
      <c r="O11" s="79"/>
      <c r="P11" s="79"/>
      <c r="Q11" s="139" t="e">
        <f t="shared" si="0"/>
        <v>#DIV/0!</v>
      </c>
      <c r="R11" s="144" t="e">
        <f t="shared" si="1"/>
        <v>#DIV/0!</v>
      </c>
      <c r="S11" s="145" t="e">
        <f t="shared" si="2"/>
        <v>#DIV/0!</v>
      </c>
    </row>
    <row r="12" spans="1:23" s="59" customFormat="1" ht="32.1" customHeight="1">
      <c r="A12" s="419" t="s">
        <v>127</v>
      </c>
      <c r="B12" s="238" t="s">
        <v>1429</v>
      </c>
      <c r="C12" s="486" t="s">
        <v>2018</v>
      </c>
      <c r="D12" s="119"/>
      <c r="E12" s="79"/>
      <c r="F12" s="79"/>
      <c r="G12" s="79"/>
      <c r="H12" s="79"/>
      <c r="I12" s="79"/>
      <c r="J12" s="79"/>
      <c r="K12" s="79"/>
      <c r="L12" s="79"/>
      <c r="M12" s="79"/>
      <c r="N12" s="79"/>
      <c r="O12" s="79"/>
      <c r="P12" s="79"/>
      <c r="Q12" s="139" t="e">
        <f t="shared" si="0"/>
        <v>#DIV/0!</v>
      </c>
      <c r="R12" s="144" t="e">
        <f t="shared" si="1"/>
        <v>#DIV/0!</v>
      </c>
      <c r="S12" s="145" t="e">
        <f t="shared" si="2"/>
        <v>#DIV/0!</v>
      </c>
    </row>
    <row r="13" spans="1:23" s="59" customFormat="1" ht="32.1" customHeight="1">
      <c r="A13" s="419" t="s">
        <v>127</v>
      </c>
      <c r="B13" s="238" t="s">
        <v>2019</v>
      </c>
      <c r="C13" s="486" t="s">
        <v>2020</v>
      </c>
      <c r="D13" s="119"/>
      <c r="E13" s="79"/>
      <c r="F13" s="79"/>
      <c r="G13" s="79"/>
      <c r="H13" s="79"/>
      <c r="I13" s="79"/>
      <c r="J13" s="79"/>
      <c r="K13" s="79"/>
      <c r="L13" s="79"/>
      <c r="M13" s="79"/>
      <c r="N13" s="79"/>
      <c r="O13" s="79"/>
      <c r="P13" s="79"/>
      <c r="Q13" s="139" t="e">
        <f t="shared" si="0"/>
        <v>#DIV/0!</v>
      </c>
      <c r="R13" s="144" t="e">
        <f t="shared" si="1"/>
        <v>#DIV/0!</v>
      </c>
      <c r="S13" s="145" t="e">
        <f t="shared" si="2"/>
        <v>#DIV/0!</v>
      </c>
    </row>
    <row r="14" spans="1:23" s="59" customFormat="1" ht="32.1" customHeight="1">
      <c r="A14" s="419" t="s">
        <v>127</v>
      </c>
      <c r="B14" s="238" t="s">
        <v>2021</v>
      </c>
      <c r="C14" s="238" t="s">
        <v>2022</v>
      </c>
      <c r="D14" s="119"/>
      <c r="E14" s="113"/>
      <c r="F14" s="79"/>
      <c r="G14" s="79"/>
      <c r="H14" s="79"/>
      <c r="I14" s="79"/>
      <c r="J14" s="79"/>
      <c r="K14" s="79"/>
      <c r="L14" s="79"/>
      <c r="M14" s="79"/>
      <c r="N14" s="79"/>
      <c r="O14" s="79"/>
      <c r="P14" s="79"/>
      <c r="Q14" s="204" t="e">
        <f t="shared" si="0"/>
        <v>#DIV/0!</v>
      </c>
      <c r="R14" s="204" t="e">
        <f t="shared" si="1"/>
        <v>#DIV/0!</v>
      </c>
      <c r="S14" s="145" t="e">
        <f t="shared" si="2"/>
        <v>#DIV/0!</v>
      </c>
    </row>
    <row r="15" spans="1:23" s="59" customFormat="1" ht="32.1" customHeight="1">
      <c r="A15" s="419" t="s">
        <v>127</v>
      </c>
      <c r="B15" s="238" t="s">
        <v>479</v>
      </c>
      <c r="C15" s="486" t="s">
        <v>2023</v>
      </c>
      <c r="D15" s="119"/>
      <c r="E15" s="79"/>
      <c r="F15" s="79"/>
      <c r="G15" s="79"/>
      <c r="H15" s="79"/>
      <c r="I15" s="79"/>
      <c r="J15" s="79"/>
      <c r="K15" s="79"/>
      <c r="L15" s="79"/>
      <c r="M15" s="79"/>
      <c r="N15" s="79"/>
      <c r="O15" s="79"/>
      <c r="P15" s="79"/>
      <c r="Q15" s="139" t="e">
        <f t="shared" si="0"/>
        <v>#DIV/0!</v>
      </c>
      <c r="R15" s="144" t="e">
        <f t="shared" si="1"/>
        <v>#DIV/0!</v>
      </c>
      <c r="S15" s="145" t="e">
        <f t="shared" si="2"/>
        <v>#DIV/0!</v>
      </c>
    </row>
    <row r="16" spans="1:23" s="59" customFormat="1" ht="32.1" customHeight="1">
      <c r="A16" s="419" t="s">
        <v>127</v>
      </c>
      <c r="B16" s="238" t="s">
        <v>1227</v>
      </c>
      <c r="C16" s="486" t="s">
        <v>2024</v>
      </c>
      <c r="D16" s="119"/>
      <c r="E16" s="113"/>
      <c r="F16" s="79"/>
      <c r="G16" s="79"/>
      <c r="H16" s="79"/>
      <c r="I16" s="79"/>
      <c r="J16" s="79"/>
      <c r="K16" s="79"/>
      <c r="L16" s="79"/>
      <c r="M16" s="79"/>
      <c r="N16" s="79"/>
      <c r="O16" s="79"/>
      <c r="P16" s="79"/>
      <c r="Q16" s="204" t="e">
        <f t="shared" si="0"/>
        <v>#DIV/0!</v>
      </c>
      <c r="R16" s="204" t="e">
        <f t="shared" si="1"/>
        <v>#DIV/0!</v>
      </c>
      <c r="S16" s="145" t="e">
        <f t="shared" si="2"/>
        <v>#DIV/0!</v>
      </c>
    </row>
    <row r="17" spans="1:19" s="59" customFormat="1" ht="32.1" customHeight="1">
      <c r="A17" s="419" t="s">
        <v>127</v>
      </c>
      <c r="B17" s="238" t="s">
        <v>2025</v>
      </c>
      <c r="C17" s="486" t="s">
        <v>2026</v>
      </c>
      <c r="D17" s="119"/>
      <c r="E17" s="79"/>
      <c r="F17" s="79"/>
      <c r="G17" s="79"/>
      <c r="H17" s="79"/>
      <c r="I17" s="79"/>
      <c r="J17" s="79"/>
      <c r="K17" s="79"/>
      <c r="L17" s="79"/>
      <c r="M17" s="79"/>
      <c r="N17" s="79"/>
      <c r="O17" s="79"/>
      <c r="P17" s="79"/>
      <c r="Q17" s="139" t="e">
        <f t="shared" si="0"/>
        <v>#DIV/0!</v>
      </c>
      <c r="R17" s="144" t="e">
        <f t="shared" si="1"/>
        <v>#DIV/0!</v>
      </c>
      <c r="S17" s="145" t="e">
        <f t="shared" si="2"/>
        <v>#DIV/0!</v>
      </c>
    </row>
    <row r="18" spans="1:19" s="59" customFormat="1" ht="32.1" customHeight="1">
      <c r="A18" s="419" t="s">
        <v>127</v>
      </c>
      <c r="B18" s="238" t="s">
        <v>2027</v>
      </c>
      <c r="C18" s="238" t="s">
        <v>2028</v>
      </c>
      <c r="D18" s="119">
        <v>24</v>
      </c>
      <c r="E18" s="79"/>
      <c r="F18" s="79"/>
      <c r="G18" s="79"/>
      <c r="H18" s="79"/>
      <c r="I18" s="79"/>
      <c r="J18" s="79"/>
      <c r="K18" s="79"/>
      <c r="L18" s="79"/>
      <c r="M18" s="79"/>
      <c r="N18" s="79">
        <v>97.35</v>
      </c>
      <c r="O18" s="79"/>
      <c r="P18" s="79"/>
      <c r="Q18" s="139">
        <f t="shared" si="0"/>
        <v>97.35</v>
      </c>
      <c r="R18" s="144" t="str">
        <f t="shared" si="1"/>
        <v>NO</v>
      </c>
      <c r="S18" s="145" t="str">
        <f t="shared" si="2"/>
        <v>Inviable Sanitariamente</v>
      </c>
    </row>
    <row r="19" spans="1:19" s="277" customFormat="1" ht="32.1" customHeight="1">
      <c r="A19" s="419" t="s">
        <v>127</v>
      </c>
      <c r="B19" s="238" t="s">
        <v>2029</v>
      </c>
      <c r="C19" s="486" t="s">
        <v>2030</v>
      </c>
      <c r="D19" s="119"/>
      <c r="E19" s="79"/>
      <c r="F19" s="79"/>
      <c r="G19" s="79"/>
      <c r="H19" s="79"/>
      <c r="I19" s="79"/>
      <c r="J19" s="79"/>
      <c r="K19" s="79"/>
      <c r="L19" s="79"/>
      <c r="M19" s="79"/>
      <c r="N19" s="79"/>
      <c r="O19" s="79"/>
      <c r="P19" s="79"/>
      <c r="Q19" s="139" t="e">
        <f t="shared" si="0"/>
        <v>#DIV/0!</v>
      </c>
      <c r="R19" s="144" t="e">
        <f t="shared" si="1"/>
        <v>#DIV/0!</v>
      </c>
      <c r="S19" s="145" t="e">
        <f t="shared" si="2"/>
        <v>#DIV/0!</v>
      </c>
    </row>
    <row r="20" spans="1:19" s="277" customFormat="1" ht="32.1" customHeight="1">
      <c r="A20" s="419" t="s">
        <v>127</v>
      </c>
      <c r="B20" s="238" t="s">
        <v>2031</v>
      </c>
      <c r="C20" s="486" t="s">
        <v>2032</v>
      </c>
      <c r="D20" s="114">
        <v>413</v>
      </c>
      <c r="E20" s="79"/>
      <c r="F20" s="79"/>
      <c r="G20" s="79"/>
      <c r="H20" s="79"/>
      <c r="I20" s="79"/>
      <c r="J20" s="79"/>
      <c r="K20" s="79"/>
      <c r="L20" s="79"/>
      <c r="M20" s="79"/>
      <c r="N20" s="79">
        <v>97.35</v>
      </c>
      <c r="O20" s="79"/>
      <c r="P20" s="79"/>
      <c r="Q20" s="139">
        <f t="shared" si="0"/>
        <v>97.35</v>
      </c>
      <c r="R20" s="144" t="str">
        <f t="shared" si="1"/>
        <v>NO</v>
      </c>
      <c r="S20" s="145" t="str">
        <f t="shared" si="2"/>
        <v>Inviable Sanitariamente</v>
      </c>
    </row>
    <row r="21" spans="1:19" s="277" customFormat="1" ht="32.1" customHeight="1">
      <c r="A21" s="419" t="s">
        <v>127</v>
      </c>
      <c r="B21" s="238" t="s">
        <v>2033</v>
      </c>
      <c r="C21" s="486" t="s">
        <v>2034</v>
      </c>
      <c r="D21" s="114"/>
      <c r="E21" s="113"/>
      <c r="F21" s="79"/>
      <c r="G21" s="79"/>
      <c r="H21" s="79"/>
      <c r="I21" s="79"/>
      <c r="J21" s="79"/>
      <c r="K21" s="79"/>
      <c r="L21" s="79"/>
      <c r="M21" s="79"/>
      <c r="N21" s="79"/>
      <c r="O21" s="79"/>
      <c r="P21" s="79"/>
      <c r="Q21" s="204" t="e">
        <f t="shared" si="0"/>
        <v>#DIV/0!</v>
      </c>
      <c r="R21" s="204" t="e">
        <f t="shared" si="1"/>
        <v>#DIV/0!</v>
      </c>
      <c r="S21" s="145" t="e">
        <f t="shared" si="2"/>
        <v>#DIV/0!</v>
      </c>
    </row>
    <row r="22" spans="1:19" s="277" customFormat="1" ht="32.1" customHeight="1">
      <c r="A22" s="419" t="s">
        <v>127</v>
      </c>
      <c r="B22" s="238" t="s">
        <v>2035</v>
      </c>
      <c r="C22" s="238" t="s">
        <v>2036</v>
      </c>
      <c r="D22" s="119">
        <v>280</v>
      </c>
      <c r="E22" s="79"/>
      <c r="F22" s="79"/>
      <c r="G22" s="79"/>
      <c r="H22" s="79"/>
      <c r="I22" s="79"/>
      <c r="J22" s="79"/>
      <c r="K22" s="79"/>
      <c r="L22" s="79"/>
      <c r="M22" s="79"/>
      <c r="N22" s="79">
        <v>97.35</v>
      </c>
      <c r="O22" s="79"/>
      <c r="P22" s="79"/>
      <c r="Q22" s="139">
        <f t="shared" si="0"/>
        <v>97.35</v>
      </c>
      <c r="R22" s="144" t="str">
        <f t="shared" si="1"/>
        <v>NO</v>
      </c>
      <c r="S22" s="145" t="str">
        <f t="shared" si="2"/>
        <v>Inviable Sanitariamente</v>
      </c>
    </row>
    <row r="23" spans="1:19" s="277" customFormat="1" ht="32.1" customHeight="1">
      <c r="A23" s="419" t="s">
        <v>127</v>
      </c>
      <c r="B23" s="238" t="s">
        <v>2037</v>
      </c>
      <c r="C23" s="486" t="s">
        <v>2038</v>
      </c>
      <c r="D23" s="114"/>
      <c r="E23" s="79"/>
      <c r="F23" s="79"/>
      <c r="G23" s="79"/>
      <c r="H23" s="79"/>
      <c r="I23" s="79"/>
      <c r="J23" s="79"/>
      <c r="K23" s="79"/>
      <c r="L23" s="79"/>
      <c r="M23" s="79"/>
      <c r="N23" s="79"/>
      <c r="O23" s="79"/>
      <c r="P23" s="79"/>
      <c r="Q23" s="139" t="e">
        <f t="shared" si="0"/>
        <v>#DIV/0!</v>
      </c>
      <c r="R23" s="144" t="e">
        <f t="shared" si="1"/>
        <v>#DIV/0!</v>
      </c>
      <c r="S23" s="145" t="e">
        <f t="shared" si="2"/>
        <v>#DIV/0!</v>
      </c>
    </row>
    <row r="24" spans="1:19" s="277" customFormat="1" ht="32.1" customHeight="1">
      <c r="A24" s="419" t="s">
        <v>127</v>
      </c>
      <c r="B24" s="238" t="s">
        <v>2039</v>
      </c>
      <c r="C24" s="486" t="s">
        <v>2040</v>
      </c>
      <c r="D24" s="119">
        <v>120</v>
      </c>
      <c r="E24" s="79"/>
      <c r="F24" s="79"/>
      <c r="G24" s="79"/>
      <c r="H24" s="79"/>
      <c r="I24" s="79"/>
      <c r="J24" s="79"/>
      <c r="K24" s="79"/>
      <c r="L24" s="79"/>
      <c r="M24" s="79"/>
      <c r="N24" s="79"/>
      <c r="O24" s="79"/>
      <c r="P24" s="79">
        <v>97.35</v>
      </c>
      <c r="Q24" s="139">
        <f t="shared" si="0"/>
        <v>97.35</v>
      </c>
      <c r="R24" s="144" t="str">
        <f t="shared" si="1"/>
        <v>NO</v>
      </c>
      <c r="S24" s="145" t="str">
        <f t="shared" si="2"/>
        <v>Inviable Sanitariamente</v>
      </c>
    </row>
    <row r="25" spans="1:19" s="277" customFormat="1" ht="32.1" customHeight="1">
      <c r="A25" s="419" t="s">
        <v>127</v>
      </c>
      <c r="B25" s="238" t="s">
        <v>2041</v>
      </c>
      <c r="C25" s="486" t="s">
        <v>2042</v>
      </c>
      <c r="D25" s="119"/>
      <c r="E25" s="79"/>
      <c r="F25" s="79"/>
      <c r="G25" s="79"/>
      <c r="H25" s="79"/>
      <c r="I25" s="79"/>
      <c r="J25" s="79"/>
      <c r="K25" s="79"/>
      <c r="L25" s="79"/>
      <c r="M25" s="79"/>
      <c r="N25" s="79"/>
      <c r="O25" s="79"/>
      <c r="P25" s="79"/>
      <c r="Q25" s="139" t="e">
        <f t="shared" si="0"/>
        <v>#DIV/0!</v>
      </c>
      <c r="R25" s="144" t="e">
        <f t="shared" si="1"/>
        <v>#DIV/0!</v>
      </c>
      <c r="S25" s="145" t="e">
        <f t="shared" si="2"/>
        <v>#DIV/0!</v>
      </c>
    </row>
    <row r="26" spans="1:19" s="277" customFormat="1" ht="32.1" customHeight="1">
      <c r="A26" s="419" t="s">
        <v>127</v>
      </c>
      <c r="B26" s="238" t="s">
        <v>1046</v>
      </c>
      <c r="C26" s="486" t="s">
        <v>2043</v>
      </c>
      <c r="D26" s="119"/>
      <c r="E26" s="113"/>
      <c r="F26" s="79"/>
      <c r="G26" s="79"/>
      <c r="H26" s="79"/>
      <c r="I26" s="79"/>
      <c r="J26" s="79"/>
      <c r="K26" s="79"/>
      <c r="L26" s="79"/>
      <c r="M26" s="79"/>
      <c r="N26" s="79"/>
      <c r="O26" s="79"/>
      <c r="P26" s="79"/>
      <c r="Q26" s="204" t="e">
        <f t="shared" si="0"/>
        <v>#DIV/0!</v>
      </c>
      <c r="R26" s="204" t="e">
        <f t="shared" si="1"/>
        <v>#DIV/0!</v>
      </c>
      <c r="S26" s="145" t="e">
        <f t="shared" si="2"/>
        <v>#DIV/0!</v>
      </c>
    </row>
    <row r="27" spans="1:19" s="277" customFormat="1" ht="32.1" customHeight="1">
      <c r="A27" s="419" t="s">
        <v>127</v>
      </c>
      <c r="B27" s="238" t="s">
        <v>2044</v>
      </c>
      <c r="C27" s="486" t="s">
        <v>2045</v>
      </c>
      <c r="D27" s="119"/>
      <c r="E27" s="79"/>
      <c r="F27" s="79"/>
      <c r="G27" s="79"/>
      <c r="H27" s="79"/>
      <c r="I27" s="79"/>
      <c r="J27" s="79"/>
      <c r="K27" s="79"/>
      <c r="L27" s="79"/>
      <c r="M27" s="79"/>
      <c r="N27" s="79"/>
      <c r="O27" s="79"/>
      <c r="P27" s="79"/>
      <c r="Q27" s="139" t="e">
        <f t="shared" si="0"/>
        <v>#DIV/0!</v>
      </c>
      <c r="R27" s="144" t="e">
        <f t="shared" si="1"/>
        <v>#DIV/0!</v>
      </c>
      <c r="S27" s="145" t="e">
        <f t="shared" si="2"/>
        <v>#DIV/0!</v>
      </c>
    </row>
    <row r="28" spans="1:19" s="277" customFormat="1" ht="32.1" customHeight="1">
      <c r="A28" s="419" t="s">
        <v>127</v>
      </c>
      <c r="B28" s="238" t="s">
        <v>2046</v>
      </c>
      <c r="C28" s="486" t="s">
        <v>2047</v>
      </c>
      <c r="D28" s="114">
        <v>493</v>
      </c>
      <c r="E28" s="113"/>
      <c r="F28" s="79">
        <v>19.350000000000001</v>
      </c>
      <c r="G28" s="79">
        <v>0</v>
      </c>
      <c r="H28" s="79">
        <v>19.350000000000001</v>
      </c>
      <c r="I28" s="79">
        <v>27</v>
      </c>
      <c r="J28" s="79">
        <v>0</v>
      </c>
      <c r="K28" s="79">
        <v>0</v>
      </c>
      <c r="L28" s="79">
        <v>19.350000000000001</v>
      </c>
      <c r="M28" s="79">
        <v>0</v>
      </c>
      <c r="N28" s="79">
        <v>46.45</v>
      </c>
      <c r="O28" s="79">
        <v>0</v>
      </c>
      <c r="P28" s="79">
        <v>0</v>
      </c>
      <c r="Q28" s="203">
        <f t="shared" si="0"/>
        <v>11.954545454545455</v>
      </c>
      <c r="R28" s="203" t="str">
        <f t="shared" si="1"/>
        <v>NO</v>
      </c>
      <c r="S28" s="145" t="str">
        <f t="shared" si="2"/>
        <v>Bajo</v>
      </c>
    </row>
    <row r="29" spans="1:19" s="277" customFormat="1" ht="32.1" customHeight="1">
      <c r="A29" s="419" t="s">
        <v>127</v>
      </c>
      <c r="B29" s="238" t="s">
        <v>2048</v>
      </c>
      <c r="C29" s="486" t="s">
        <v>2049</v>
      </c>
      <c r="D29" s="119">
        <v>44</v>
      </c>
      <c r="E29" s="79"/>
      <c r="F29" s="79"/>
      <c r="G29" s="79"/>
      <c r="H29" s="79"/>
      <c r="I29" s="79"/>
      <c r="J29" s="79"/>
      <c r="K29" s="79"/>
      <c r="L29" s="79"/>
      <c r="M29" s="79"/>
      <c r="N29" s="79">
        <v>97.4</v>
      </c>
      <c r="O29" s="79"/>
      <c r="P29" s="79"/>
      <c r="Q29" s="139">
        <f t="shared" si="0"/>
        <v>97.4</v>
      </c>
      <c r="R29" s="144" t="str">
        <f t="shared" si="1"/>
        <v>NO</v>
      </c>
      <c r="S29" s="145" t="str">
        <f t="shared" si="2"/>
        <v>Inviable Sanitariamente</v>
      </c>
    </row>
    <row r="30" spans="1:19" s="277" customFormat="1" ht="32.1" customHeight="1">
      <c r="A30" s="419" t="s">
        <v>127</v>
      </c>
      <c r="B30" s="238" t="s">
        <v>2050</v>
      </c>
      <c r="C30" s="486" t="s">
        <v>2051</v>
      </c>
      <c r="D30" s="119"/>
      <c r="E30" s="79"/>
      <c r="F30" s="79"/>
      <c r="G30" s="79"/>
      <c r="H30" s="79"/>
      <c r="I30" s="79"/>
      <c r="J30" s="79"/>
      <c r="K30" s="79"/>
      <c r="L30" s="79"/>
      <c r="M30" s="79"/>
      <c r="N30" s="79"/>
      <c r="O30" s="79"/>
      <c r="P30" s="79"/>
      <c r="Q30" s="139" t="e">
        <f t="shared" si="0"/>
        <v>#DIV/0!</v>
      </c>
      <c r="R30" s="144" t="e">
        <f t="shared" si="1"/>
        <v>#DIV/0!</v>
      </c>
      <c r="S30" s="145" t="e">
        <f t="shared" si="2"/>
        <v>#DIV/0!</v>
      </c>
    </row>
    <row r="31" spans="1:19" s="277" customFormat="1" ht="32.1" customHeight="1">
      <c r="A31" s="419" t="s">
        <v>127</v>
      </c>
      <c r="B31" s="238" t="s">
        <v>659</v>
      </c>
      <c r="C31" s="486" t="s">
        <v>2052</v>
      </c>
      <c r="D31" s="114"/>
      <c r="E31" s="113"/>
      <c r="F31" s="79"/>
      <c r="G31" s="79"/>
      <c r="H31" s="79"/>
      <c r="I31" s="79"/>
      <c r="J31" s="79"/>
      <c r="K31" s="79"/>
      <c r="L31" s="79"/>
      <c r="M31" s="79"/>
      <c r="N31" s="79"/>
      <c r="O31" s="79"/>
      <c r="P31" s="79"/>
      <c r="Q31" s="204" t="e">
        <f t="shared" si="0"/>
        <v>#DIV/0!</v>
      </c>
      <c r="R31" s="204" t="e">
        <f t="shared" si="1"/>
        <v>#DIV/0!</v>
      </c>
      <c r="S31" s="145" t="e">
        <f t="shared" si="2"/>
        <v>#DIV/0!</v>
      </c>
    </row>
    <row r="32" spans="1:19" s="277" customFormat="1" ht="32.1" customHeight="1">
      <c r="A32" s="419" t="s">
        <v>127</v>
      </c>
      <c r="B32" s="238" t="s">
        <v>2053</v>
      </c>
      <c r="C32" s="486" t="s">
        <v>2054</v>
      </c>
      <c r="D32" s="119"/>
      <c r="E32" s="79"/>
      <c r="F32" s="79"/>
      <c r="G32" s="79"/>
      <c r="H32" s="79"/>
      <c r="I32" s="79"/>
      <c r="J32" s="79"/>
      <c r="K32" s="79"/>
      <c r="L32" s="79"/>
      <c r="M32" s="79"/>
      <c r="N32" s="79"/>
      <c r="O32" s="79"/>
      <c r="P32" s="79"/>
      <c r="Q32" s="139" t="e">
        <f t="shared" si="0"/>
        <v>#DIV/0!</v>
      </c>
      <c r="R32" s="144" t="e">
        <f t="shared" si="1"/>
        <v>#DIV/0!</v>
      </c>
      <c r="S32" s="145" t="e">
        <f t="shared" si="2"/>
        <v>#DIV/0!</v>
      </c>
    </row>
    <row r="33" spans="1:19" s="277" customFormat="1" ht="32.1" customHeight="1">
      <c r="A33" s="419" t="s">
        <v>127</v>
      </c>
      <c r="B33" s="238" t="s">
        <v>2055</v>
      </c>
      <c r="C33" s="486" t="s">
        <v>2056</v>
      </c>
      <c r="D33" s="119">
        <v>155</v>
      </c>
      <c r="E33" s="79"/>
      <c r="F33" s="79"/>
      <c r="G33" s="79"/>
      <c r="H33" s="79"/>
      <c r="I33" s="79"/>
      <c r="J33" s="79"/>
      <c r="K33" s="79"/>
      <c r="L33" s="79"/>
      <c r="M33" s="79"/>
      <c r="N33" s="79">
        <v>97.35</v>
      </c>
      <c r="O33" s="79"/>
      <c r="P33" s="79"/>
      <c r="Q33" s="139">
        <f t="shared" si="0"/>
        <v>97.35</v>
      </c>
      <c r="R33" s="144" t="str">
        <f t="shared" si="1"/>
        <v>NO</v>
      </c>
      <c r="S33" s="145" t="str">
        <f t="shared" si="2"/>
        <v>Inviable Sanitariamente</v>
      </c>
    </row>
    <row r="34" spans="1:19" s="59" customFormat="1" ht="32.1" customHeight="1">
      <c r="A34" s="419" t="s">
        <v>128</v>
      </c>
      <c r="B34" s="238" t="s">
        <v>3709</v>
      </c>
      <c r="C34" s="238" t="s">
        <v>3710</v>
      </c>
      <c r="D34" s="119">
        <v>95</v>
      </c>
      <c r="E34" s="353"/>
      <c r="F34" s="79"/>
      <c r="G34" s="79"/>
      <c r="H34" s="79"/>
      <c r="I34" s="79"/>
      <c r="J34" s="79"/>
      <c r="K34" s="79"/>
      <c r="L34" s="79"/>
      <c r="M34" s="79"/>
      <c r="N34" s="79">
        <v>97.35</v>
      </c>
      <c r="O34" s="79"/>
      <c r="P34" s="79"/>
      <c r="Q34" s="354">
        <f t="shared" si="0"/>
        <v>97.35</v>
      </c>
      <c r="R34" s="355" t="str">
        <f t="shared" si="1"/>
        <v>NO</v>
      </c>
      <c r="S34" s="145" t="str">
        <f t="shared" si="2"/>
        <v>Inviable Sanitariamente</v>
      </c>
    </row>
    <row r="35" spans="1:19" s="59" customFormat="1" ht="32.1" customHeight="1">
      <c r="A35" s="419" t="s">
        <v>128</v>
      </c>
      <c r="B35" s="238" t="s">
        <v>1274</v>
      </c>
      <c r="C35" s="238" t="s">
        <v>3711</v>
      </c>
      <c r="D35" s="119">
        <v>52</v>
      </c>
      <c r="E35" s="353"/>
      <c r="F35" s="79">
        <v>0</v>
      </c>
      <c r="G35" s="79"/>
      <c r="H35" s="79"/>
      <c r="I35" s="79"/>
      <c r="J35" s="79"/>
      <c r="K35" s="79"/>
      <c r="L35" s="79"/>
      <c r="M35" s="79"/>
      <c r="N35" s="79"/>
      <c r="O35" s="79">
        <v>0</v>
      </c>
      <c r="P35" s="79"/>
      <c r="Q35" s="139">
        <f t="shared" si="0"/>
        <v>0</v>
      </c>
      <c r="R35" s="144" t="str">
        <f t="shared" si="1"/>
        <v>SI</v>
      </c>
      <c r="S35" s="145" t="str">
        <f t="shared" si="2"/>
        <v>Sin Riesgo</v>
      </c>
    </row>
    <row r="36" spans="1:19" s="59" customFormat="1" ht="32.1" customHeight="1">
      <c r="A36" s="419" t="s">
        <v>128</v>
      </c>
      <c r="B36" s="238" t="s">
        <v>3712</v>
      </c>
      <c r="C36" s="238" t="s">
        <v>3713</v>
      </c>
      <c r="D36" s="119">
        <v>58</v>
      </c>
      <c r="E36" s="353"/>
      <c r="F36" s="79"/>
      <c r="G36" s="79"/>
      <c r="H36" s="79"/>
      <c r="I36" s="79"/>
      <c r="J36" s="79"/>
      <c r="K36" s="79"/>
      <c r="L36" s="79"/>
      <c r="M36" s="79">
        <v>97.35</v>
      </c>
      <c r="N36" s="79"/>
      <c r="O36" s="79"/>
      <c r="P36" s="79"/>
      <c r="Q36" s="139">
        <f t="shared" si="0"/>
        <v>97.35</v>
      </c>
      <c r="R36" s="144" t="str">
        <f t="shared" si="1"/>
        <v>NO</v>
      </c>
      <c r="S36" s="145" t="str">
        <f t="shared" si="2"/>
        <v>Inviable Sanitariamente</v>
      </c>
    </row>
    <row r="37" spans="1:19" s="59" customFormat="1" ht="32.1" customHeight="1">
      <c r="A37" s="419" t="s">
        <v>128</v>
      </c>
      <c r="B37" s="238" t="s">
        <v>3714</v>
      </c>
      <c r="C37" s="238" t="s">
        <v>3715</v>
      </c>
      <c r="D37" s="119">
        <v>48</v>
      </c>
      <c r="E37" s="353"/>
      <c r="F37" s="79"/>
      <c r="G37" s="79"/>
      <c r="H37" s="79"/>
      <c r="I37" s="79"/>
      <c r="J37" s="79"/>
      <c r="K37" s="79"/>
      <c r="L37" s="79"/>
      <c r="M37" s="79"/>
      <c r="N37" s="152">
        <v>97.35</v>
      </c>
      <c r="O37" s="79"/>
      <c r="P37" s="79"/>
      <c r="Q37" s="139">
        <f t="shared" si="0"/>
        <v>97.35</v>
      </c>
      <c r="R37" s="144" t="str">
        <f t="shared" si="1"/>
        <v>NO</v>
      </c>
      <c r="S37" s="145" t="str">
        <f t="shared" si="2"/>
        <v>Inviable Sanitariamente</v>
      </c>
    </row>
    <row r="38" spans="1:19" s="59" customFormat="1" ht="32.1" customHeight="1">
      <c r="A38" s="419" t="s">
        <v>128</v>
      </c>
      <c r="B38" s="238" t="s">
        <v>871</v>
      </c>
      <c r="C38" s="238" t="s">
        <v>3716</v>
      </c>
      <c r="D38" s="119">
        <v>63</v>
      </c>
      <c r="E38" s="353"/>
      <c r="F38" s="79">
        <v>0</v>
      </c>
      <c r="G38" s="79"/>
      <c r="H38" s="79"/>
      <c r="I38" s="79"/>
      <c r="J38" s="79"/>
      <c r="K38" s="79"/>
      <c r="L38" s="79"/>
      <c r="M38" s="79"/>
      <c r="N38" s="79"/>
      <c r="O38" s="79"/>
      <c r="P38" s="79">
        <v>0</v>
      </c>
      <c r="Q38" s="139">
        <f t="shared" si="0"/>
        <v>0</v>
      </c>
      <c r="R38" s="144" t="str">
        <f t="shared" si="1"/>
        <v>SI</v>
      </c>
      <c r="S38" s="145" t="str">
        <f t="shared" si="2"/>
        <v>Sin Riesgo</v>
      </c>
    </row>
    <row r="39" spans="1:19" s="59" customFormat="1" ht="32.1" customHeight="1">
      <c r="A39" s="419" t="s">
        <v>128</v>
      </c>
      <c r="B39" s="238" t="s">
        <v>3717</v>
      </c>
      <c r="C39" s="238" t="s">
        <v>3718</v>
      </c>
      <c r="D39" s="119">
        <v>74</v>
      </c>
      <c r="E39" s="353"/>
      <c r="F39" s="79"/>
      <c r="G39" s="79"/>
      <c r="H39" s="79"/>
      <c r="I39" s="79"/>
      <c r="J39" s="79"/>
      <c r="K39" s="79"/>
      <c r="L39" s="79"/>
      <c r="M39" s="79">
        <v>97.35</v>
      </c>
      <c r="N39" s="79"/>
      <c r="O39" s="79"/>
      <c r="P39" s="79"/>
      <c r="Q39" s="354">
        <f t="shared" si="0"/>
        <v>97.35</v>
      </c>
      <c r="R39" s="355" t="str">
        <f t="shared" si="1"/>
        <v>NO</v>
      </c>
      <c r="S39" s="145" t="str">
        <f t="shared" si="2"/>
        <v>Inviable Sanitariamente</v>
      </c>
    </row>
    <row r="40" spans="1:19" s="59" customFormat="1" ht="32.1" customHeight="1">
      <c r="A40" s="419" t="s">
        <v>128</v>
      </c>
      <c r="B40" s="238" t="s">
        <v>3719</v>
      </c>
      <c r="C40" s="238" t="s">
        <v>3720</v>
      </c>
      <c r="D40" s="114">
        <v>62</v>
      </c>
      <c r="E40" s="353"/>
      <c r="F40" s="79"/>
      <c r="G40" s="79"/>
      <c r="H40" s="79"/>
      <c r="I40" s="79"/>
      <c r="J40" s="79"/>
      <c r="K40" s="79"/>
      <c r="L40" s="79"/>
      <c r="M40" s="79">
        <v>97.35</v>
      </c>
      <c r="N40" s="79"/>
      <c r="O40" s="79"/>
      <c r="P40" s="79"/>
      <c r="Q40" s="354">
        <f t="shared" si="0"/>
        <v>97.35</v>
      </c>
      <c r="R40" s="355" t="str">
        <f t="shared" si="1"/>
        <v>NO</v>
      </c>
      <c r="S40" s="145" t="str">
        <f t="shared" si="2"/>
        <v>Inviable Sanitariamente</v>
      </c>
    </row>
    <row r="41" spans="1:19" s="59" customFormat="1" ht="32.1" customHeight="1">
      <c r="A41" s="419" t="s">
        <v>128</v>
      </c>
      <c r="B41" s="238" t="s">
        <v>3721</v>
      </c>
      <c r="C41" s="238" t="s">
        <v>3722</v>
      </c>
      <c r="D41" s="119">
        <v>140</v>
      </c>
      <c r="E41" s="353"/>
      <c r="F41" s="79"/>
      <c r="G41" s="79"/>
      <c r="H41" s="79"/>
      <c r="I41" s="79"/>
      <c r="J41" s="79"/>
      <c r="K41" s="79"/>
      <c r="L41" s="79"/>
      <c r="M41" s="79"/>
      <c r="N41" s="79"/>
      <c r="O41" s="79"/>
      <c r="P41" s="79">
        <v>97.4</v>
      </c>
      <c r="Q41" s="354">
        <f t="shared" si="0"/>
        <v>97.4</v>
      </c>
      <c r="R41" s="355" t="str">
        <f t="shared" si="1"/>
        <v>NO</v>
      </c>
      <c r="S41" s="145" t="str">
        <f t="shared" si="2"/>
        <v>Inviable Sanitariamente</v>
      </c>
    </row>
    <row r="42" spans="1:19" s="59" customFormat="1" ht="32.1" customHeight="1">
      <c r="A42" s="419" t="s">
        <v>128</v>
      </c>
      <c r="B42" s="238" t="s">
        <v>1312</v>
      </c>
      <c r="C42" s="238" t="s">
        <v>3723</v>
      </c>
      <c r="D42" s="119">
        <v>51</v>
      </c>
      <c r="E42" s="353"/>
      <c r="F42" s="79"/>
      <c r="G42" s="79"/>
      <c r="H42" s="79"/>
      <c r="I42" s="79"/>
      <c r="J42" s="79"/>
      <c r="K42" s="79"/>
      <c r="L42" s="79"/>
      <c r="M42" s="79"/>
      <c r="N42" s="79">
        <v>97.35</v>
      </c>
      <c r="O42" s="79"/>
      <c r="P42" s="79"/>
      <c r="Q42" s="354">
        <f t="shared" ref="Q42:Q74" si="3">AVERAGE(E42:P42)</f>
        <v>97.35</v>
      </c>
      <c r="R42" s="355" t="str">
        <f t="shared" si="1"/>
        <v>NO</v>
      </c>
      <c r="S42" s="145" t="str">
        <f t="shared" si="2"/>
        <v>Inviable Sanitariamente</v>
      </c>
    </row>
    <row r="43" spans="1:19" s="59" customFormat="1" ht="32.1" customHeight="1">
      <c r="A43" s="419" t="s">
        <v>129</v>
      </c>
      <c r="B43" s="238" t="s">
        <v>1543</v>
      </c>
      <c r="C43" s="486" t="s">
        <v>3724</v>
      </c>
      <c r="D43" s="119">
        <v>38</v>
      </c>
      <c r="E43" s="79"/>
      <c r="F43" s="79"/>
      <c r="G43" s="79">
        <v>53.1</v>
      </c>
      <c r="H43" s="79"/>
      <c r="I43" s="79"/>
      <c r="J43" s="79"/>
      <c r="K43" s="79"/>
      <c r="L43" s="79"/>
      <c r="M43" s="79"/>
      <c r="N43" s="79"/>
      <c r="O43" s="79"/>
      <c r="P43" s="79">
        <v>97.3</v>
      </c>
      <c r="Q43" s="139">
        <f t="shared" si="3"/>
        <v>75.2</v>
      </c>
      <c r="R43" s="144" t="str">
        <f t="shared" si="1"/>
        <v>NO</v>
      </c>
      <c r="S43" s="145" t="str">
        <f t="shared" si="2"/>
        <v>Alto</v>
      </c>
    </row>
    <row r="44" spans="1:19" s="59" customFormat="1" ht="32.1" customHeight="1">
      <c r="A44" s="419" t="s">
        <v>129</v>
      </c>
      <c r="B44" s="238" t="s">
        <v>3725</v>
      </c>
      <c r="C44" s="486" t="s">
        <v>3726</v>
      </c>
      <c r="D44" s="119">
        <v>39</v>
      </c>
      <c r="E44" s="79"/>
      <c r="F44" s="79"/>
      <c r="G44" s="79"/>
      <c r="H44" s="79"/>
      <c r="I44" s="79">
        <v>97.3</v>
      </c>
      <c r="J44" s="79"/>
      <c r="K44" s="79"/>
      <c r="L44" s="79"/>
      <c r="M44" s="79"/>
      <c r="N44" s="79"/>
      <c r="O44" s="79">
        <v>53.1</v>
      </c>
      <c r="P44" s="79"/>
      <c r="Q44" s="139">
        <f t="shared" si="3"/>
        <v>75.2</v>
      </c>
      <c r="R44" s="144" t="str">
        <f t="shared" si="1"/>
        <v>NO</v>
      </c>
      <c r="S44" s="145" t="str">
        <f t="shared" si="2"/>
        <v>Alto</v>
      </c>
    </row>
    <row r="45" spans="1:19" s="59" customFormat="1" ht="32.1" customHeight="1">
      <c r="A45" s="419" t="s">
        <v>129</v>
      </c>
      <c r="B45" s="238" t="s">
        <v>3727</v>
      </c>
      <c r="C45" s="486" t="s">
        <v>3728</v>
      </c>
      <c r="D45" s="119">
        <v>17</v>
      </c>
      <c r="E45" s="79"/>
      <c r="F45" s="79"/>
      <c r="G45" s="79"/>
      <c r="H45" s="79">
        <v>97.3</v>
      </c>
      <c r="I45" s="79"/>
      <c r="J45" s="79">
        <v>97.3</v>
      </c>
      <c r="K45" s="79"/>
      <c r="L45" s="79"/>
      <c r="M45" s="79"/>
      <c r="N45" s="79"/>
      <c r="O45" s="79"/>
      <c r="P45" s="79"/>
      <c r="Q45" s="139">
        <f t="shared" si="3"/>
        <v>97.3</v>
      </c>
      <c r="R45" s="144" t="str">
        <f t="shared" si="1"/>
        <v>NO</v>
      </c>
      <c r="S45" s="145" t="str">
        <f t="shared" si="2"/>
        <v>Inviable Sanitariamente</v>
      </c>
    </row>
    <row r="46" spans="1:19" s="59" customFormat="1" ht="32.1" customHeight="1">
      <c r="A46" s="419" t="s">
        <v>129</v>
      </c>
      <c r="B46" s="238" t="s">
        <v>3729</v>
      </c>
      <c r="C46" s="486" t="s">
        <v>3730</v>
      </c>
      <c r="D46" s="114">
        <v>20</v>
      </c>
      <c r="E46" s="79"/>
      <c r="F46" s="79"/>
      <c r="G46" s="79"/>
      <c r="H46" s="79"/>
      <c r="I46" s="79">
        <v>97.3</v>
      </c>
      <c r="J46" s="79"/>
      <c r="K46" s="79"/>
      <c r="L46" s="79"/>
      <c r="M46" s="79"/>
      <c r="N46" s="79"/>
      <c r="O46" s="79">
        <v>97.3</v>
      </c>
      <c r="P46" s="79"/>
      <c r="Q46" s="139">
        <f t="shared" si="3"/>
        <v>97.3</v>
      </c>
      <c r="R46" s="144" t="str">
        <f t="shared" si="1"/>
        <v>NO</v>
      </c>
      <c r="S46" s="145" t="str">
        <f t="shared" si="2"/>
        <v>Inviable Sanitariamente</v>
      </c>
    </row>
    <row r="47" spans="1:19" s="59" customFormat="1" ht="32.1" customHeight="1">
      <c r="A47" s="419" t="s">
        <v>129</v>
      </c>
      <c r="B47" s="238" t="s">
        <v>3731</v>
      </c>
      <c r="C47" s="486" t="s">
        <v>3732</v>
      </c>
      <c r="D47" s="119">
        <v>80</v>
      </c>
      <c r="E47" s="79"/>
      <c r="F47" s="79"/>
      <c r="G47" s="79"/>
      <c r="H47" s="79"/>
      <c r="I47" s="79"/>
      <c r="J47" s="79">
        <v>97.3</v>
      </c>
      <c r="K47" s="79"/>
      <c r="L47" s="79"/>
      <c r="M47" s="79"/>
      <c r="N47" s="79"/>
      <c r="O47" s="79"/>
      <c r="P47" s="79">
        <v>53.1</v>
      </c>
      <c r="Q47" s="139">
        <f t="shared" si="3"/>
        <v>75.2</v>
      </c>
      <c r="R47" s="144" t="str">
        <f t="shared" si="1"/>
        <v>NO</v>
      </c>
      <c r="S47" s="145" t="str">
        <f t="shared" si="2"/>
        <v>Alto</v>
      </c>
    </row>
    <row r="48" spans="1:19" s="59" customFormat="1" ht="32.1" customHeight="1">
      <c r="A48" s="419" t="s">
        <v>129</v>
      </c>
      <c r="B48" s="238" t="s">
        <v>480</v>
      </c>
      <c r="C48" s="486" t="s">
        <v>3733</v>
      </c>
      <c r="D48" s="119">
        <v>48</v>
      </c>
      <c r="E48" s="79"/>
      <c r="F48" s="79"/>
      <c r="G48" s="79"/>
      <c r="H48" s="79"/>
      <c r="I48" s="79">
        <v>97.3</v>
      </c>
      <c r="J48" s="79"/>
      <c r="K48" s="79"/>
      <c r="L48" s="79"/>
      <c r="M48" s="79"/>
      <c r="N48" s="79">
        <v>97.3</v>
      </c>
      <c r="O48" s="79"/>
      <c r="P48" s="79"/>
      <c r="Q48" s="139">
        <f t="shared" si="3"/>
        <v>97.3</v>
      </c>
      <c r="R48" s="144" t="str">
        <f t="shared" si="1"/>
        <v>NO</v>
      </c>
      <c r="S48" s="145" t="str">
        <f t="shared" si="2"/>
        <v>Inviable Sanitariamente</v>
      </c>
    </row>
    <row r="49" spans="1:19" s="59" customFormat="1" ht="32.1" customHeight="1">
      <c r="A49" s="419" t="s">
        <v>129</v>
      </c>
      <c r="B49" s="238" t="s">
        <v>3734</v>
      </c>
      <c r="C49" s="486" t="s">
        <v>3735</v>
      </c>
      <c r="D49" s="278">
        <v>59</v>
      </c>
      <c r="E49" s="79"/>
      <c r="F49" s="79"/>
      <c r="G49" s="79"/>
      <c r="H49" s="79"/>
      <c r="I49" s="79"/>
      <c r="J49" s="79">
        <v>97.3</v>
      </c>
      <c r="K49" s="79"/>
      <c r="L49" s="79"/>
      <c r="M49" s="79"/>
      <c r="N49" s="79"/>
      <c r="O49" s="79">
        <v>97.3</v>
      </c>
      <c r="P49" s="79"/>
      <c r="Q49" s="139">
        <f t="shared" si="3"/>
        <v>97.3</v>
      </c>
      <c r="R49" s="144" t="str">
        <f t="shared" si="1"/>
        <v>NO</v>
      </c>
      <c r="S49" s="145" t="str">
        <f t="shared" si="2"/>
        <v>Inviable Sanitariamente</v>
      </c>
    </row>
    <row r="50" spans="1:19" s="59" customFormat="1" ht="32.1" customHeight="1">
      <c r="A50" s="419" t="s">
        <v>129</v>
      </c>
      <c r="B50" s="238" t="s">
        <v>329</v>
      </c>
      <c r="C50" s="486" t="s">
        <v>3736</v>
      </c>
      <c r="D50" s="119">
        <v>25</v>
      </c>
      <c r="E50" s="79"/>
      <c r="F50" s="79"/>
      <c r="G50" s="79"/>
      <c r="H50" s="79"/>
      <c r="I50" s="79">
        <v>97.3</v>
      </c>
      <c r="J50" s="79"/>
      <c r="K50" s="79"/>
      <c r="L50" s="79"/>
      <c r="M50" s="79"/>
      <c r="N50" s="79">
        <v>97.3</v>
      </c>
      <c r="O50" s="79"/>
      <c r="P50" s="79"/>
      <c r="Q50" s="139">
        <f t="shared" si="3"/>
        <v>97.3</v>
      </c>
      <c r="R50" s="144" t="str">
        <f t="shared" si="1"/>
        <v>NO</v>
      </c>
      <c r="S50" s="145" t="str">
        <f t="shared" si="2"/>
        <v>Inviable Sanitariamente</v>
      </c>
    </row>
    <row r="51" spans="1:19" s="59" customFormat="1" ht="32.1" customHeight="1">
      <c r="A51" s="419" t="s">
        <v>129</v>
      </c>
      <c r="B51" s="238" t="s">
        <v>3737</v>
      </c>
      <c r="C51" s="486" t="s">
        <v>3738</v>
      </c>
      <c r="D51" s="119">
        <v>70</v>
      </c>
      <c r="E51" s="79"/>
      <c r="F51" s="79"/>
      <c r="G51" s="79"/>
      <c r="H51" s="79">
        <v>53.1</v>
      </c>
      <c r="I51" s="79"/>
      <c r="J51" s="79"/>
      <c r="K51" s="79"/>
      <c r="L51" s="79"/>
      <c r="M51" s="79">
        <v>53.1</v>
      </c>
      <c r="N51" s="79"/>
      <c r="O51" s="79"/>
      <c r="P51" s="79"/>
      <c r="Q51" s="139">
        <f t="shared" si="3"/>
        <v>53.1</v>
      </c>
      <c r="R51" s="144" t="str">
        <f t="shared" si="1"/>
        <v>NO</v>
      </c>
      <c r="S51" s="145" t="str">
        <f t="shared" si="2"/>
        <v>Alto</v>
      </c>
    </row>
    <row r="52" spans="1:19" s="59" customFormat="1" ht="32.1" customHeight="1">
      <c r="A52" s="419" t="s">
        <v>129</v>
      </c>
      <c r="B52" s="238" t="s">
        <v>3739</v>
      </c>
      <c r="C52" s="486" t="s">
        <v>3740</v>
      </c>
      <c r="D52" s="119">
        <v>85</v>
      </c>
      <c r="E52" s="79"/>
      <c r="F52" s="79"/>
      <c r="G52" s="79">
        <v>97.3</v>
      </c>
      <c r="H52" s="79"/>
      <c r="I52" s="79"/>
      <c r="J52" s="79"/>
      <c r="K52" s="79"/>
      <c r="L52" s="79"/>
      <c r="M52" s="79"/>
      <c r="N52" s="79"/>
      <c r="O52" s="79"/>
      <c r="P52" s="79"/>
      <c r="Q52" s="139">
        <f t="shared" si="3"/>
        <v>97.3</v>
      </c>
      <c r="R52" s="144" t="str">
        <f t="shared" si="1"/>
        <v>NO</v>
      </c>
      <c r="S52" s="145" t="str">
        <f t="shared" si="2"/>
        <v>Inviable Sanitariamente</v>
      </c>
    </row>
    <row r="53" spans="1:19" s="59" customFormat="1" ht="32.1" customHeight="1">
      <c r="A53" s="419" t="s">
        <v>129</v>
      </c>
      <c r="B53" s="238" t="s">
        <v>3741</v>
      </c>
      <c r="C53" s="486" t="s">
        <v>3742</v>
      </c>
      <c r="D53" s="119">
        <v>150</v>
      </c>
      <c r="E53" s="79"/>
      <c r="F53" s="79">
        <v>97.3</v>
      </c>
      <c r="G53" s="79"/>
      <c r="H53" s="79"/>
      <c r="I53" s="79"/>
      <c r="J53" s="79"/>
      <c r="K53" s="79"/>
      <c r="L53" s="79"/>
      <c r="M53" s="79"/>
      <c r="N53" s="79"/>
      <c r="O53" s="79"/>
      <c r="P53" s="79">
        <v>97.3</v>
      </c>
      <c r="Q53" s="139">
        <f t="shared" si="3"/>
        <v>97.3</v>
      </c>
      <c r="R53" s="144" t="str">
        <f t="shared" si="1"/>
        <v>NO</v>
      </c>
      <c r="S53" s="145" t="str">
        <f t="shared" si="2"/>
        <v>Inviable Sanitariamente</v>
      </c>
    </row>
    <row r="54" spans="1:19" s="59" customFormat="1" ht="32.1" customHeight="1">
      <c r="A54" s="419" t="s">
        <v>129</v>
      </c>
      <c r="B54" s="238" t="s">
        <v>4439</v>
      </c>
      <c r="C54" s="486" t="s">
        <v>4440</v>
      </c>
      <c r="D54" s="119">
        <v>30</v>
      </c>
      <c r="E54" s="79"/>
      <c r="F54" s="79"/>
      <c r="G54" s="79"/>
      <c r="H54" s="79"/>
      <c r="I54" s="79"/>
      <c r="J54" s="79"/>
      <c r="K54" s="79">
        <v>97.3</v>
      </c>
      <c r="L54" s="79"/>
      <c r="M54" s="79"/>
      <c r="N54" s="79"/>
      <c r="O54" s="79"/>
      <c r="P54" s="79"/>
      <c r="Q54" s="139">
        <f t="shared" si="3"/>
        <v>97.3</v>
      </c>
      <c r="R54" s="144" t="str">
        <f>IF(Q54&lt;5,"SI","NO")</f>
        <v>NO</v>
      </c>
      <c r="S54" s="145" t="str">
        <f t="shared" si="2"/>
        <v>Inviable Sanitariamente</v>
      </c>
    </row>
    <row r="55" spans="1:19" s="59" customFormat="1" ht="32.1" customHeight="1">
      <c r="A55" s="419" t="s">
        <v>129</v>
      </c>
      <c r="B55" s="238" t="s">
        <v>3743</v>
      </c>
      <c r="C55" s="486" t="s">
        <v>3744</v>
      </c>
      <c r="D55" s="119">
        <v>4</v>
      </c>
      <c r="E55" s="79"/>
      <c r="F55" s="79"/>
      <c r="G55" s="79"/>
      <c r="H55" s="79"/>
      <c r="I55" s="79"/>
      <c r="J55" s="79"/>
      <c r="K55" s="79"/>
      <c r="L55" s="79"/>
      <c r="M55" s="79"/>
      <c r="N55" s="79"/>
      <c r="O55" s="79"/>
      <c r="P55" s="79"/>
      <c r="Q55" s="139" t="e">
        <f t="shared" si="3"/>
        <v>#DIV/0!</v>
      </c>
      <c r="R55" s="144" t="e">
        <f t="shared" si="1"/>
        <v>#DIV/0!</v>
      </c>
      <c r="S55" s="145" t="e">
        <f t="shared" si="2"/>
        <v>#DIV/0!</v>
      </c>
    </row>
    <row r="56" spans="1:19" s="59" customFormat="1" ht="50.1" customHeight="1">
      <c r="A56" s="419" t="s">
        <v>130</v>
      </c>
      <c r="B56" s="367" t="s">
        <v>18</v>
      </c>
      <c r="C56" s="367" t="s">
        <v>4372</v>
      </c>
      <c r="D56" s="266"/>
      <c r="E56" s="113"/>
      <c r="F56" s="79"/>
      <c r="G56" s="79"/>
      <c r="H56" s="79"/>
      <c r="I56" s="79"/>
      <c r="J56" s="79"/>
      <c r="K56" s="79"/>
      <c r="L56" s="79"/>
      <c r="M56" s="79"/>
      <c r="N56" s="79"/>
      <c r="O56" s="79"/>
      <c r="P56" s="79"/>
      <c r="Q56" s="139" t="e">
        <f t="shared" si="3"/>
        <v>#DIV/0!</v>
      </c>
      <c r="R56" s="144" t="e">
        <f t="shared" si="1"/>
        <v>#DIV/0!</v>
      </c>
      <c r="S56" s="145" t="e">
        <f t="shared" si="2"/>
        <v>#DIV/0!</v>
      </c>
    </row>
    <row r="57" spans="1:19" s="59" customFormat="1" ht="50.1" customHeight="1">
      <c r="A57" s="419" t="s">
        <v>130</v>
      </c>
      <c r="B57" s="367" t="s">
        <v>78</v>
      </c>
      <c r="C57" s="367" t="s">
        <v>4373</v>
      </c>
      <c r="D57" s="266"/>
      <c r="E57" s="113"/>
      <c r="F57" s="79"/>
      <c r="G57" s="79"/>
      <c r="H57" s="79"/>
      <c r="I57" s="79"/>
      <c r="J57" s="79"/>
      <c r="K57" s="79"/>
      <c r="L57" s="79"/>
      <c r="M57" s="79"/>
      <c r="N57" s="79"/>
      <c r="O57" s="79"/>
      <c r="P57" s="79"/>
      <c r="Q57" s="139" t="e">
        <f t="shared" si="3"/>
        <v>#DIV/0!</v>
      </c>
      <c r="R57" s="144" t="e">
        <f t="shared" si="1"/>
        <v>#DIV/0!</v>
      </c>
      <c r="S57" s="145" t="e">
        <f t="shared" si="2"/>
        <v>#DIV/0!</v>
      </c>
    </row>
    <row r="58" spans="1:19" s="59" customFormat="1" ht="50.1" customHeight="1">
      <c r="A58" s="419" t="s">
        <v>130</v>
      </c>
      <c r="B58" s="367" t="s">
        <v>3745</v>
      </c>
      <c r="C58" s="367" t="s">
        <v>4374</v>
      </c>
      <c r="D58" s="266">
        <v>56</v>
      </c>
      <c r="E58" s="113"/>
      <c r="F58" s="79"/>
      <c r="G58" s="79"/>
      <c r="H58" s="79"/>
      <c r="I58" s="79"/>
      <c r="J58" s="79"/>
      <c r="K58" s="79"/>
      <c r="L58" s="79">
        <v>97.35</v>
      </c>
      <c r="M58" s="79"/>
      <c r="N58" s="79"/>
      <c r="O58" s="79"/>
      <c r="P58" s="79"/>
      <c r="Q58" s="139">
        <f t="shared" si="3"/>
        <v>97.35</v>
      </c>
      <c r="R58" s="144" t="str">
        <f t="shared" si="1"/>
        <v>NO</v>
      </c>
      <c r="S58" s="145" t="str">
        <f t="shared" si="2"/>
        <v>Inviable Sanitariamente</v>
      </c>
    </row>
    <row r="59" spans="1:19" s="59" customFormat="1" ht="50.1" customHeight="1">
      <c r="A59" s="419" t="s">
        <v>130</v>
      </c>
      <c r="B59" s="367" t="s">
        <v>2420</v>
      </c>
      <c r="C59" s="367" t="s">
        <v>4375</v>
      </c>
      <c r="D59" s="266"/>
      <c r="E59" s="113"/>
      <c r="F59" s="79"/>
      <c r="G59" s="79"/>
      <c r="H59" s="79"/>
      <c r="I59" s="79"/>
      <c r="J59" s="79"/>
      <c r="K59" s="79"/>
      <c r="L59" s="79"/>
      <c r="M59" s="79"/>
      <c r="N59" s="79"/>
      <c r="O59" s="79"/>
      <c r="P59" s="79"/>
      <c r="Q59" s="139" t="e">
        <f t="shared" si="3"/>
        <v>#DIV/0!</v>
      </c>
      <c r="R59" s="144" t="e">
        <f t="shared" si="1"/>
        <v>#DIV/0!</v>
      </c>
      <c r="S59" s="145" t="e">
        <f t="shared" si="2"/>
        <v>#DIV/0!</v>
      </c>
    </row>
    <row r="60" spans="1:19" s="59" customFormat="1" ht="50.1" customHeight="1">
      <c r="A60" s="419" t="s">
        <v>130</v>
      </c>
      <c r="B60" s="367" t="s">
        <v>3746</v>
      </c>
      <c r="C60" s="367" t="s">
        <v>4376</v>
      </c>
      <c r="D60" s="266"/>
      <c r="E60" s="113"/>
      <c r="F60" s="79"/>
      <c r="G60" s="79"/>
      <c r="H60" s="79"/>
      <c r="I60" s="79"/>
      <c r="J60" s="79"/>
      <c r="K60" s="79"/>
      <c r="L60" s="79"/>
      <c r="M60" s="79"/>
      <c r="N60" s="79"/>
      <c r="O60" s="79"/>
      <c r="P60" s="79"/>
      <c r="Q60" s="139" t="e">
        <f t="shared" si="3"/>
        <v>#DIV/0!</v>
      </c>
      <c r="R60" s="144" t="e">
        <f t="shared" si="1"/>
        <v>#DIV/0!</v>
      </c>
      <c r="S60" s="145" t="e">
        <f t="shared" si="2"/>
        <v>#DIV/0!</v>
      </c>
    </row>
    <row r="61" spans="1:19" s="59" customFormat="1" ht="50.1" customHeight="1">
      <c r="A61" s="419" t="s">
        <v>130</v>
      </c>
      <c r="B61" s="367" t="s">
        <v>3747</v>
      </c>
      <c r="C61" s="367" t="s">
        <v>4378</v>
      </c>
      <c r="D61" s="266"/>
      <c r="E61" s="113"/>
      <c r="F61" s="79"/>
      <c r="G61" s="79"/>
      <c r="H61" s="79"/>
      <c r="I61" s="79"/>
      <c r="J61" s="79"/>
      <c r="K61" s="79"/>
      <c r="L61" s="79"/>
      <c r="M61" s="79"/>
      <c r="N61" s="79"/>
      <c r="O61" s="79"/>
      <c r="P61" s="79"/>
      <c r="Q61" s="139" t="e">
        <f t="shared" si="3"/>
        <v>#DIV/0!</v>
      </c>
      <c r="R61" s="144" t="e">
        <f t="shared" si="1"/>
        <v>#DIV/0!</v>
      </c>
      <c r="S61" s="145" t="e">
        <f t="shared" si="2"/>
        <v>#DIV/0!</v>
      </c>
    </row>
    <row r="62" spans="1:19" s="59" customFormat="1" ht="50.1" customHeight="1">
      <c r="A62" s="419" t="s">
        <v>130</v>
      </c>
      <c r="B62" s="367" t="s">
        <v>3748</v>
      </c>
      <c r="C62" s="367" t="s">
        <v>4377</v>
      </c>
      <c r="D62" s="266"/>
      <c r="E62" s="113"/>
      <c r="F62" s="79"/>
      <c r="G62" s="79"/>
      <c r="H62" s="79"/>
      <c r="I62" s="79"/>
      <c r="J62" s="79"/>
      <c r="K62" s="79"/>
      <c r="L62" s="79"/>
      <c r="M62" s="79"/>
      <c r="N62" s="79"/>
      <c r="O62" s="79"/>
      <c r="P62" s="79"/>
      <c r="Q62" s="139" t="e">
        <f t="shared" si="3"/>
        <v>#DIV/0!</v>
      </c>
      <c r="R62" s="144" t="e">
        <f t="shared" si="1"/>
        <v>#DIV/0!</v>
      </c>
      <c r="S62" s="145" t="e">
        <f t="shared" si="2"/>
        <v>#DIV/0!</v>
      </c>
    </row>
    <row r="63" spans="1:19" s="59" customFormat="1" ht="50.1" customHeight="1">
      <c r="A63" s="419" t="s">
        <v>130</v>
      </c>
      <c r="B63" s="367" t="s">
        <v>1802</v>
      </c>
      <c r="C63" s="367" t="s">
        <v>1803</v>
      </c>
      <c r="D63" s="266"/>
      <c r="E63" s="113"/>
      <c r="F63" s="79"/>
      <c r="G63" s="79"/>
      <c r="H63" s="79"/>
      <c r="I63" s="79"/>
      <c r="J63" s="79"/>
      <c r="K63" s="79"/>
      <c r="L63" s="79"/>
      <c r="M63" s="79"/>
      <c r="N63" s="79"/>
      <c r="O63" s="79"/>
      <c r="P63" s="79"/>
      <c r="Q63" s="139" t="e">
        <f t="shared" si="3"/>
        <v>#DIV/0!</v>
      </c>
      <c r="R63" s="144" t="e">
        <f t="shared" si="1"/>
        <v>#DIV/0!</v>
      </c>
      <c r="S63" s="145" t="e">
        <f t="shared" si="2"/>
        <v>#DIV/0!</v>
      </c>
    </row>
    <row r="64" spans="1:19" s="59" customFormat="1" ht="50.1" customHeight="1">
      <c r="A64" s="419" t="s">
        <v>130</v>
      </c>
      <c r="B64" s="367" t="s">
        <v>2694</v>
      </c>
      <c r="C64" s="367" t="s">
        <v>4347</v>
      </c>
      <c r="D64" s="266"/>
      <c r="E64" s="113"/>
      <c r="F64" s="79"/>
      <c r="G64" s="79"/>
      <c r="H64" s="79"/>
      <c r="I64" s="79"/>
      <c r="J64" s="79"/>
      <c r="K64" s="79"/>
      <c r="L64" s="79"/>
      <c r="M64" s="79"/>
      <c r="N64" s="79"/>
      <c r="O64" s="79"/>
      <c r="P64" s="79"/>
      <c r="Q64" s="139" t="e">
        <f t="shared" si="3"/>
        <v>#DIV/0!</v>
      </c>
      <c r="R64" s="144" t="e">
        <f t="shared" si="1"/>
        <v>#DIV/0!</v>
      </c>
      <c r="S64" s="145" t="e">
        <f t="shared" si="2"/>
        <v>#DIV/0!</v>
      </c>
    </row>
    <row r="65" spans="1:19" s="59" customFormat="1" ht="50.1" customHeight="1">
      <c r="A65" s="419" t="s">
        <v>130</v>
      </c>
      <c r="B65" s="367" t="s">
        <v>826</v>
      </c>
      <c r="C65" s="367" t="s">
        <v>4379</v>
      </c>
      <c r="D65" s="265"/>
      <c r="E65" s="113"/>
      <c r="F65" s="79"/>
      <c r="G65" s="79"/>
      <c r="H65" s="79"/>
      <c r="I65" s="79"/>
      <c r="J65" s="79"/>
      <c r="K65" s="79"/>
      <c r="L65" s="79"/>
      <c r="M65" s="79"/>
      <c r="N65" s="79"/>
      <c r="O65" s="79"/>
      <c r="P65" s="79"/>
      <c r="Q65" s="139" t="e">
        <f t="shared" si="3"/>
        <v>#DIV/0!</v>
      </c>
      <c r="R65" s="144" t="e">
        <f t="shared" si="1"/>
        <v>#DIV/0!</v>
      </c>
      <c r="S65" s="145" t="e">
        <f t="shared" si="2"/>
        <v>#DIV/0!</v>
      </c>
    </row>
    <row r="66" spans="1:19" s="59" customFormat="1" ht="50.1" customHeight="1">
      <c r="A66" s="419" t="s">
        <v>130</v>
      </c>
      <c r="B66" s="367" t="s">
        <v>3749</v>
      </c>
      <c r="C66" s="367" t="s">
        <v>4380</v>
      </c>
      <c r="D66" s="266"/>
      <c r="E66" s="113"/>
      <c r="F66" s="79"/>
      <c r="G66" s="79"/>
      <c r="H66" s="79"/>
      <c r="I66" s="79"/>
      <c r="J66" s="79"/>
      <c r="K66" s="79"/>
      <c r="L66" s="79"/>
      <c r="M66" s="79"/>
      <c r="N66" s="79"/>
      <c r="O66" s="79"/>
      <c r="P66" s="79"/>
      <c r="Q66" s="139" t="e">
        <f t="shared" si="3"/>
        <v>#DIV/0!</v>
      </c>
      <c r="R66" s="144" t="e">
        <f t="shared" si="1"/>
        <v>#DIV/0!</v>
      </c>
      <c r="S66" s="145" t="e">
        <f t="shared" si="2"/>
        <v>#DIV/0!</v>
      </c>
    </row>
    <row r="67" spans="1:19" s="59" customFormat="1" ht="50.1" customHeight="1">
      <c r="A67" s="419" t="s">
        <v>130</v>
      </c>
      <c r="B67" s="367" t="s">
        <v>3750</v>
      </c>
      <c r="C67" s="367" t="s">
        <v>4381</v>
      </c>
      <c r="D67" s="266"/>
      <c r="E67" s="113"/>
      <c r="F67" s="79"/>
      <c r="G67" s="79"/>
      <c r="H67" s="79"/>
      <c r="I67" s="79"/>
      <c r="J67" s="79"/>
      <c r="K67" s="79"/>
      <c r="L67" s="79"/>
      <c r="M67" s="79"/>
      <c r="N67" s="79"/>
      <c r="O67" s="79"/>
      <c r="P67" s="79"/>
      <c r="Q67" s="139" t="e">
        <f t="shared" si="3"/>
        <v>#DIV/0!</v>
      </c>
      <c r="R67" s="144" t="e">
        <f t="shared" si="1"/>
        <v>#DIV/0!</v>
      </c>
      <c r="S67" s="145" t="e">
        <f t="shared" si="2"/>
        <v>#DIV/0!</v>
      </c>
    </row>
    <row r="68" spans="1:19" s="59" customFormat="1" ht="50.1" customHeight="1">
      <c r="A68" s="419" t="s">
        <v>130</v>
      </c>
      <c r="B68" s="367" t="s">
        <v>3751</v>
      </c>
      <c r="C68" s="367" t="s">
        <v>4382</v>
      </c>
      <c r="D68" s="266"/>
      <c r="E68" s="113"/>
      <c r="F68" s="79"/>
      <c r="G68" s="79"/>
      <c r="H68" s="79"/>
      <c r="I68" s="79"/>
      <c r="J68" s="79"/>
      <c r="K68" s="79"/>
      <c r="L68" s="79"/>
      <c r="M68" s="79"/>
      <c r="N68" s="79"/>
      <c r="O68" s="79"/>
      <c r="P68" s="79"/>
      <c r="Q68" s="139" t="e">
        <f t="shared" si="3"/>
        <v>#DIV/0!</v>
      </c>
      <c r="R68" s="144" t="e">
        <f t="shared" si="1"/>
        <v>#DIV/0!</v>
      </c>
      <c r="S68" s="145" t="e">
        <f t="shared" si="2"/>
        <v>#DIV/0!</v>
      </c>
    </row>
    <row r="69" spans="1:19" s="59" customFormat="1" ht="50.1" customHeight="1">
      <c r="A69" s="419" t="s">
        <v>130</v>
      </c>
      <c r="B69" s="367" t="s">
        <v>3752</v>
      </c>
      <c r="C69" s="367" t="s">
        <v>4383</v>
      </c>
      <c r="D69" s="266"/>
      <c r="E69" s="113"/>
      <c r="F69" s="79"/>
      <c r="G69" s="79"/>
      <c r="H69" s="79"/>
      <c r="I69" s="79"/>
      <c r="J69" s="79"/>
      <c r="K69" s="79"/>
      <c r="L69" s="79"/>
      <c r="M69" s="79"/>
      <c r="N69" s="79"/>
      <c r="O69" s="79"/>
      <c r="P69" s="79"/>
      <c r="Q69" s="139" t="e">
        <f t="shared" si="3"/>
        <v>#DIV/0!</v>
      </c>
      <c r="R69" s="144" t="e">
        <f t="shared" si="1"/>
        <v>#DIV/0!</v>
      </c>
      <c r="S69" s="145" t="e">
        <f t="shared" si="2"/>
        <v>#DIV/0!</v>
      </c>
    </row>
    <row r="70" spans="1:19" s="59" customFormat="1" ht="50.1" customHeight="1">
      <c r="A70" s="419" t="s">
        <v>130</v>
      </c>
      <c r="B70" s="367" t="s">
        <v>3753</v>
      </c>
      <c r="C70" s="367" t="s">
        <v>4384</v>
      </c>
      <c r="D70" s="266"/>
      <c r="E70" s="113"/>
      <c r="F70" s="79"/>
      <c r="G70" s="79"/>
      <c r="H70" s="79"/>
      <c r="I70" s="79"/>
      <c r="J70" s="79"/>
      <c r="K70" s="79"/>
      <c r="L70" s="79"/>
      <c r="M70" s="79"/>
      <c r="N70" s="79"/>
      <c r="O70" s="79"/>
      <c r="P70" s="79"/>
      <c r="Q70" s="139" t="e">
        <f t="shared" si="3"/>
        <v>#DIV/0!</v>
      </c>
      <c r="R70" s="144" t="e">
        <f t="shared" si="1"/>
        <v>#DIV/0!</v>
      </c>
      <c r="S70" s="145" t="e">
        <f t="shared" si="2"/>
        <v>#DIV/0!</v>
      </c>
    </row>
    <row r="71" spans="1:19" s="59" customFormat="1" ht="50.1" customHeight="1">
      <c r="A71" s="419" t="s">
        <v>130</v>
      </c>
      <c r="B71" s="367" t="s">
        <v>2061</v>
      </c>
      <c r="C71" s="367" t="s">
        <v>3754</v>
      </c>
      <c r="D71" s="266"/>
      <c r="E71" s="113"/>
      <c r="F71" s="79"/>
      <c r="G71" s="79"/>
      <c r="H71" s="79"/>
      <c r="I71" s="79"/>
      <c r="J71" s="79"/>
      <c r="K71" s="79"/>
      <c r="L71" s="79"/>
      <c r="M71" s="79"/>
      <c r="N71" s="79"/>
      <c r="O71" s="79"/>
      <c r="P71" s="79"/>
      <c r="Q71" s="139" t="e">
        <f t="shared" si="3"/>
        <v>#DIV/0!</v>
      </c>
      <c r="R71" s="144" t="e">
        <f t="shared" si="1"/>
        <v>#DIV/0!</v>
      </c>
      <c r="S71" s="145" t="e">
        <f t="shared" si="2"/>
        <v>#DIV/0!</v>
      </c>
    </row>
    <row r="72" spans="1:19" s="59" customFormat="1" ht="50.1" customHeight="1">
      <c r="A72" s="419" t="s">
        <v>130</v>
      </c>
      <c r="B72" s="367" t="s">
        <v>2232</v>
      </c>
      <c r="C72" s="367" t="s">
        <v>2820</v>
      </c>
      <c r="D72" s="266"/>
      <c r="E72" s="113"/>
      <c r="F72" s="79"/>
      <c r="G72" s="79"/>
      <c r="H72" s="79"/>
      <c r="I72" s="79"/>
      <c r="J72" s="79"/>
      <c r="K72" s="79"/>
      <c r="L72" s="79"/>
      <c r="M72" s="79"/>
      <c r="N72" s="79"/>
      <c r="O72" s="79"/>
      <c r="P72" s="79"/>
      <c r="Q72" s="139" t="e">
        <f t="shared" si="3"/>
        <v>#DIV/0!</v>
      </c>
      <c r="R72" s="144" t="e">
        <f t="shared" si="1"/>
        <v>#DIV/0!</v>
      </c>
      <c r="S72" s="145" t="e">
        <f t="shared" si="2"/>
        <v>#DIV/0!</v>
      </c>
    </row>
    <row r="73" spans="1:19" s="59" customFormat="1" ht="32.1" customHeight="1">
      <c r="A73" s="419" t="s">
        <v>131</v>
      </c>
      <c r="B73" s="238" t="s">
        <v>3756</v>
      </c>
      <c r="C73" s="486" t="s">
        <v>3757</v>
      </c>
      <c r="D73" s="119">
        <v>30</v>
      </c>
      <c r="E73" s="79"/>
      <c r="F73" s="79"/>
      <c r="G73" s="79"/>
      <c r="H73" s="79"/>
      <c r="I73" s="79"/>
      <c r="J73" s="79">
        <v>76.92</v>
      </c>
      <c r="K73" s="79"/>
      <c r="L73" s="79"/>
      <c r="M73" s="79"/>
      <c r="N73" s="79"/>
      <c r="O73" s="79"/>
      <c r="P73" s="79"/>
      <c r="Q73" s="139">
        <f t="shared" si="3"/>
        <v>76.92</v>
      </c>
      <c r="R73" s="144" t="str">
        <f t="shared" si="1"/>
        <v>NO</v>
      </c>
      <c r="S73" s="145" t="str">
        <f t="shared" si="2"/>
        <v>Alto</v>
      </c>
    </row>
    <row r="74" spans="1:19" s="59" customFormat="1" ht="32.1" customHeight="1">
      <c r="A74" s="419" t="s">
        <v>131</v>
      </c>
      <c r="B74" s="238" t="s">
        <v>3758</v>
      </c>
      <c r="C74" s="486" t="s">
        <v>3759</v>
      </c>
      <c r="D74" s="119">
        <v>27</v>
      </c>
      <c r="E74" s="79"/>
      <c r="F74" s="79"/>
      <c r="G74" s="79"/>
      <c r="H74" s="79"/>
      <c r="I74" s="79"/>
      <c r="J74" s="79">
        <v>0</v>
      </c>
      <c r="K74" s="79"/>
      <c r="L74" s="79"/>
      <c r="M74" s="79"/>
      <c r="N74" s="79"/>
      <c r="O74" s="79"/>
      <c r="P74" s="79"/>
      <c r="Q74" s="139">
        <f t="shared" si="3"/>
        <v>0</v>
      </c>
      <c r="R74" s="144" t="str">
        <f t="shared" si="1"/>
        <v>SI</v>
      </c>
      <c r="S74" s="145" t="str">
        <f t="shared" si="2"/>
        <v>Sin Riesgo</v>
      </c>
    </row>
    <row r="75" spans="1:19" s="59" customFormat="1" ht="32.1" customHeight="1">
      <c r="A75" s="419" t="s">
        <v>131</v>
      </c>
      <c r="B75" s="238" t="s">
        <v>3760</v>
      </c>
      <c r="C75" s="486" t="s">
        <v>3761</v>
      </c>
      <c r="D75" s="119">
        <v>32</v>
      </c>
      <c r="E75" s="79"/>
      <c r="F75" s="79"/>
      <c r="G75" s="79"/>
      <c r="H75" s="79"/>
      <c r="I75" s="79"/>
      <c r="J75" s="79">
        <v>0</v>
      </c>
      <c r="K75" s="79"/>
      <c r="L75" s="79"/>
      <c r="M75" s="79"/>
      <c r="N75" s="79"/>
      <c r="O75" s="79"/>
      <c r="P75" s="79"/>
      <c r="Q75" s="139">
        <f t="shared" ref="Q75:Q106" si="4">AVERAGE(E75:P75)</f>
        <v>0</v>
      </c>
      <c r="R75" s="144" t="str">
        <f t="shared" ref="R75:R138" si="5">IF(Q75&lt;5,"SI","NO")</f>
        <v>SI</v>
      </c>
      <c r="S75" s="145" t="str">
        <f t="shared" ref="S75:S138" si="6">IF(Q75&lt;=5,"Sin Riesgo",IF(Q75 &lt;=14,"Bajo",IF(Q75&lt;=35,"Medio",IF(Q75&lt;=80,"Alto","Inviable Sanitariamente"))))</f>
        <v>Sin Riesgo</v>
      </c>
    </row>
    <row r="76" spans="1:19" s="59" customFormat="1" ht="32.1" customHeight="1">
      <c r="A76" s="419" t="s">
        <v>131</v>
      </c>
      <c r="B76" s="238" t="s">
        <v>2773</v>
      </c>
      <c r="C76" s="486" t="s">
        <v>3762</v>
      </c>
      <c r="D76" s="119">
        <v>10</v>
      </c>
      <c r="E76" s="79"/>
      <c r="F76" s="79"/>
      <c r="G76" s="79"/>
      <c r="H76" s="79"/>
      <c r="I76" s="79"/>
      <c r="J76" s="79">
        <v>0</v>
      </c>
      <c r="K76" s="79"/>
      <c r="L76" s="79"/>
      <c r="M76" s="79"/>
      <c r="N76" s="79"/>
      <c r="O76" s="79"/>
      <c r="P76" s="79"/>
      <c r="Q76" s="139">
        <f t="shared" si="4"/>
        <v>0</v>
      </c>
      <c r="R76" s="144" t="str">
        <f t="shared" si="5"/>
        <v>SI</v>
      </c>
      <c r="S76" s="145" t="str">
        <f t="shared" si="6"/>
        <v>Sin Riesgo</v>
      </c>
    </row>
    <row r="77" spans="1:19" s="59" customFormat="1" ht="32.1" customHeight="1">
      <c r="A77" s="419" t="s">
        <v>131</v>
      </c>
      <c r="B77" s="238" t="s">
        <v>3763</v>
      </c>
      <c r="C77" s="486" t="s">
        <v>3764</v>
      </c>
      <c r="D77" s="119"/>
      <c r="E77" s="79"/>
      <c r="F77" s="79"/>
      <c r="G77" s="79"/>
      <c r="H77" s="79"/>
      <c r="I77" s="79"/>
      <c r="J77" s="79"/>
      <c r="K77" s="79"/>
      <c r="L77" s="79"/>
      <c r="M77" s="79"/>
      <c r="N77" s="79"/>
      <c r="O77" s="79"/>
      <c r="P77" s="79"/>
      <c r="Q77" s="139" t="e">
        <f t="shared" si="4"/>
        <v>#DIV/0!</v>
      </c>
      <c r="R77" s="144" t="e">
        <f t="shared" si="5"/>
        <v>#DIV/0!</v>
      </c>
      <c r="S77" s="145" t="e">
        <f t="shared" si="6"/>
        <v>#DIV/0!</v>
      </c>
    </row>
    <row r="78" spans="1:19" s="59" customFormat="1" ht="32.1" customHeight="1">
      <c r="A78" s="419" t="s">
        <v>131</v>
      </c>
      <c r="B78" s="238" t="s">
        <v>3765</v>
      </c>
      <c r="C78" s="486" t="s">
        <v>3766</v>
      </c>
      <c r="D78" s="119"/>
      <c r="E78" s="79"/>
      <c r="F78" s="79"/>
      <c r="G78" s="79"/>
      <c r="H78" s="79"/>
      <c r="I78" s="79"/>
      <c r="J78" s="79"/>
      <c r="K78" s="79"/>
      <c r="L78" s="79"/>
      <c r="M78" s="79"/>
      <c r="N78" s="79"/>
      <c r="O78" s="79"/>
      <c r="P78" s="79"/>
      <c r="Q78" s="139" t="e">
        <f t="shared" si="4"/>
        <v>#DIV/0!</v>
      </c>
      <c r="R78" s="144" t="e">
        <f t="shared" si="5"/>
        <v>#DIV/0!</v>
      </c>
      <c r="S78" s="145" t="e">
        <f t="shared" si="6"/>
        <v>#DIV/0!</v>
      </c>
    </row>
    <row r="79" spans="1:19" s="59" customFormat="1" ht="32.1" customHeight="1">
      <c r="A79" s="419" t="s">
        <v>131</v>
      </c>
      <c r="B79" s="238" t="s">
        <v>1309</v>
      </c>
      <c r="C79" s="486" t="s">
        <v>3767</v>
      </c>
      <c r="D79" s="114"/>
      <c r="E79" s="79"/>
      <c r="F79" s="79"/>
      <c r="G79" s="79"/>
      <c r="H79" s="79"/>
      <c r="I79" s="79"/>
      <c r="J79" s="79"/>
      <c r="K79" s="79"/>
      <c r="L79" s="79"/>
      <c r="M79" s="79"/>
      <c r="N79" s="79"/>
      <c r="O79" s="79"/>
      <c r="P79" s="79"/>
      <c r="Q79" s="139" t="e">
        <f t="shared" si="4"/>
        <v>#DIV/0!</v>
      </c>
      <c r="R79" s="144" t="e">
        <f t="shared" si="5"/>
        <v>#DIV/0!</v>
      </c>
      <c r="S79" s="145" t="e">
        <f t="shared" si="6"/>
        <v>#DIV/0!</v>
      </c>
    </row>
    <row r="80" spans="1:19" s="59" customFormat="1" ht="32.1" customHeight="1">
      <c r="A80" s="419" t="s">
        <v>132</v>
      </c>
      <c r="B80" s="238" t="s">
        <v>98</v>
      </c>
      <c r="C80" s="486" t="s">
        <v>3768</v>
      </c>
      <c r="D80" s="119">
        <v>65</v>
      </c>
      <c r="E80" s="79"/>
      <c r="F80" s="79">
        <v>97.35</v>
      </c>
      <c r="G80" s="79"/>
      <c r="H80" s="79"/>
      <c r="I80" s="79"/>
      <c r="J80" s="79"/>
      <c r="K80" s="79">
        <v>97.35</v>
      </c>
      <c r="L80" s="79"/>
      <c r="M80" s="79"/>
      <c r="N80" s="79"/>
      <c r="O80" s="79"/>
      <c r="P80" s="79"/>
      <c r="Q80" s="139">
        <f t="shared" si="4"/>
        <v>97.35</v>
      </c>
      <c r="R80" s="144" t="str">
        <f t="shared" si="5"/>
        <v>NO</v>
      </c>
      <c r="S80" s="145" t="str">
        <f t="shared" si="6"/>
        <v>Inviable Sanitariamente</v>
      </c>
    </row>
    <row r="81" spans="1:19" s="59" customFormat="1" ht="32.1" customHeight="1">
      <c r="A81" s="419" t="s">
        <v>132</v>
      </c>
      <c r="B81" s="238" t="s">
        <v>3769</v>
      </c>
      <c r="C81" s="486" t="s">
        <v>3770</v>
      </c>
      <c r="D81" s="119">
        <v>240</v>
      </c>
      <c r="E81" s="79"/>
      <c r="F81" s="79">
        <v>53.1</v>
      </c>
      <c r="G81" s="79"/>
      <c r="H81" s="79">
        <v>53.1</v>
      </c>
      <c r="I81" s="79"/>
      <c r="J81" s="79"/>
      <c r="K81" s="79"/>
      <c r="L81" s="79"/>
      <c r="M81" s="79"/>
      <c r="N81" s="79"/>
      <c r="O81" s="79"/>
      <c r="P81" s="79"/>
      <c r="Q81" s="139">
        <f t="shared" si="4"/>
        <v>53.1</v>
      </c>
      <c r="R81" s="144" t="str">
        <f t="shared" si="5"/>
        <v>NO</v>
      </c>
      <c r="S81" s="145" t="str">
        <f t="shared" si="6"/>
        <v>Alto</v>
      </c>
    </row>
    <row r="82" spans="1:19" s="59" customFormat="1" ht="32.1" customHeight="1">
      <c r="A82" s="419" t="s">
        <v>132</v>
      </c>
      <c r="B82" s="238" t="s">
        <v>3771</v>
      </c>
      <c r="C82" s="486" t="s">
        <v>3772</v>
      </c>
      <c r="D82" s="119">
        <v>98</v>
      </c>
      <c r="E82" s="79"/>
      <c r="F82" s="79">
        <v>53.1</v>
      </c>
      <c r="G82" s="79"/>
      <c r="H82" s="79"/>
      <c r="I82" s="79"/>
      <c r="J82" s="79"/>
      <c r="K82" s="79"/>
      <c r="L82" s="79"/>
      <c r="M82" s="79">
        <v>53.1</v>
      </c>
      <c r="N82" s="79"/>
      <c r="O82" s="79"/>
      <c r="P82" s="79"/>
      <c r="Q82" s="139">
        <f t="shared" si="4"/>
        <v>53.1</v>
      </c>
      <c r="R82" s="144" t="str">
        <f t="shared" si="5"/>
        <v>NO</v>
      </c>
      <c r="S82" s="145" t="str">
        <f t="shared" si="6"/>
        <v>Alto</v>
      </c>
    </row>
    <row r="83" spans="1:19" s="59" customFormat="1" ht="32.1" customHeight="1">
      <c r="A83" s="419" t="s">
        <v>132</v>
      </c>
      <c r="B83" s="238" t="s">
        <v>3773</v>
      </c>
      <c r="C83" s="486" t="s">
        <v>3754</v>
      </c>
      <c r="D83" s="119">
        <v>450</v>
      </c>
      <c r="E83" s="79"/>
      <c r="F83" s="79">
        <v>26.55</v>
      </c>
      <c r="G83" s="79"/>
      <c r="H83" s="79"/>
      <c r="I83" s="79"/>
      <c r="J83" s="79"/>
      <c r="K83" s="79"/>
      <c r="L83" s="79"/>
      <c r="M83" s="79">
        <v>0</v>
      </c>
      <c r="N83" s="79"/>
      <c r="O83" s="79"/>
      <c r="P83" s="79"/>
      <c r="Q83" s="139">
        <f t="shared" si="4"/>
        <v>13.275</v>
      </c>
      <c r="R83" s="144" t="str">
        <f t="shared" si="5"/>
        <v>NO</v>
      </c>
      <c r="S83" s="145" t="str">
        <f t="shared" si="6"/>
        <v>Bajo</v>
      </c>
    </row>
    <row r="84" spans="1:19" s="59" customFormat="1" ht="32.1" customHeight="1">
      <c r="A84" s="419" t="s">
        <v>132</v>
      </c>
      <c r="B84" s="238" t="s">
        <v>3774</v>
      </c>
      <c r="C84" s="486" t="s">
        <v>3775</v>
      </c>
      <c r="D84" s="119">
        <v>98</v>
      </c>
      <c r="E84" s="79"/>
      <c r="F84" s="79">
        <v>26.55</v>
      </c>
      <c r="G84" s="79"/>
      <c r="H84" s="79"/>
      <c r="I84" s="79">
        <v>0</v>
      </c>
      <c r="J84" s="79"/>
      <c r="K84" s="79">
        <v>0</v>
      </c>
      <c r="L84" s="79">
        <v>0</v>
      </c>
      <c r="M84" s="79"/>
      <c r="N84" s="79"/>
      <c r="O84" s="79"/>
      <c r="P84" s="79"/>
      <c r="Q84" s="139">
        <f t="shared" si="4"/>
        <v>6.6375000000000002</v>
      </c>
      <c r="R84" s="144" t="str">
        <f t="shared" si="5"/>
        <v>NO</v>
      </c>
      <c r="S84" s="145" t="str">
        <f t="shared" si="6"/>
        <v>Bajo</v>
      </c>
    </row>
    <row r="85" spans="1:19" s="59" customFormat="1" ht="32.1" customHeight="1">
      <c r="A85" s="419" t="s">
        <v>4089</v>
      </c>
      <c r="B85" s="238" t="s">
        <v>3776</v>
      </c>
      <c r="C85" s="486" t="s">
        <v>3777</v>
      </c>
      <c r="D85" s="119">
        <v>107</v>
      </c>
      <c r="E85" s="79"/>
      <c r="F85" s="79">
        <v>0</v>
      </c>
      <c r="G85" s="79"/>
      <c r="H85" s="79"/>
      <c r="I85" s="79"/>
      <c r="J85" s="79"/>
      <c r="K85" s="79"/>
      <c r="L85" s="79">
        <v>2.65</v>
      </c>
      <c r="M85" s="79"/>
      <c r="N85" s="79"/>
      <c r="O85" s="79"/>
      <c r="P85" s="79">
        <v>2.7</v>
      </c>
      <c r="Q85" s="139">
        <f t="shared" si="4"/>
        <v>1.7833333333333332</v>
      </c>
      <c r="R85" s="144" t="str">
        <f t="shared" si="5"/>
        <v>SI</v>
      </c>
      <c r="S85" s="145" t="str">
        <f t="shared" si="6"/>
        <v>Sin Riesgo</v>
      </c>
    </row>
    <row r="86" spans="1:19" s="59" customFormat="1" ht="32.1" customHeight="1">
      <c r="A86" s="419" t="s">
        <v>4089</v>
      </c>
      <c r="B86" s="238" t="s">
        <v>3778</v>
      </c>
      <c r="C86" s="486" t="s">
        <v>3779</v>
      </c>
      <c r="D86" s="119">
        <v>73</v>
      </c>
      <c r="E86" s="79"/>
      <c r="F86" s="79">
        <v>2.65</v>
      </c>
      <c r="G86" s="79"/>
      <c r="H86" s="79"/>
      <c r="I86" s="79"/>
      <c r="J86" s="79"/>
      <c r="K86" s="79"/>
      <c r="L86" s="79">
        <v>2.7</v>
      </c>
      <c r="M86" s="79"/>
      <c r="N86" s="79"/>
      <c r="O86" s="79"/>
      <c r="P86" s="79">
        <v>2.7</v>
      </c>
      <c r="Q86" s="139">
        <f t="shared" si="4"/>
        <v>2.6833333333333336</v>
      </c>
      <c r="R86" s="144" t="str">
        <f t="shared" si="5"/>
        <v>SI</v>
      </c>
      <c r="S86" s="145" t="str">
        <f t="shared" si="6"/>
        <v>Sin Riesgo</v>
      </c>
    </row>
    <row r="87" spans="1:19" s="59" customFormat="1" ht="32.1" customHeight="1">
      <c r="A87" s="419" t="s">
        <v>4089</v>
      </c>
      <c r="B87" s="238" t="s">
        <v>1309</v>
      </c>
      <c r="C87" s="486" t="s">
        <v>3780</v>
      </c>
      <c r="D87" s="119">
        <v>156</v>
      </c>
      <c r="E87" s="79"/>
      <c r="F87" s="79">
        <v>2.65</v>
      </c>
      <c r="G87" s="79"/>
      <c r="H87" s="79"/>
      <c r="I87" s="79"/>
      <c r="J87" s="79"/>
      <c r="K87" s="79"/>
      <c r="L87" s="79">
        <v>2.7</v>
      </c>
      <c r="M87" s="79"/>
      <c r="N87" s="79"/>
      <c r="O87" s="79"/>
      <c r="P87" s="79">
        <v>2.65</v>
      </c>
      <c r="Q87" s="139">
        <f t="shared" si="4"/>
        <v>2.6666666666666665</v>
      </c>
      <c r="R87" s="144" t="str">
        <f t="shared" si="5"/>
        <v>SI</v>
      </c>
      <c r="S87" s="145" t="str">
        <f t="shared" si="6"/>
        <v>Sin Riesgo</v>
      </c>
    </row>
    <row r="88" spans="1:19" s="59" customFormat="1" ht="32.1" customHeight="1">
      <c r="A88" s="419" t="s">
        <v>4089</v>
      </c>
      <c r="B88" s="238" t="s">
        <v>3781</v>
      </c>
      <c r="C88" s="486" t="s">
        <v>3782</v>
      </c>
      <c r="D88" s="119">
        <v>104</v>
      </c>
      <c r="E88" s="79"/>
      <c r="F88" s="79">
        <v>0</v>
      </c>
      <c r="G88" s="79"/>
      <c r="H88" s="79"/>
      <c r="I88" s="79"/>
      <c r="J88" s="79"/>
      <c r="K88" s="79"/>
      <c r="L88" s="79">
        <v>2.7</v>
      </c>
      <c r="M88" s="79"/>
      <c r="N88" s="79"/>
      <c r="O88" s="79"/>
      <c r="P88" s="79">
        <v>2.7</v>
      </c>
      <c r="Q88" s="139">
        <f t="shared" si="4"/>
        <v>1.8</v>
      </c>
      <c r="R88" s="144" t="str">
        <f t="shared" si="5"/>
        <v>SI</v>
      </c>
      <c r="S88" s="145" t="str">
        <f t="shared" si="6"/>
        <v>Sin Riesgo</v>
      </c>
    </row>
    <row r="89" spans="1:19" s="59" customFormat="1" ht="32.1" customHeight="1">
      <c r="A89" s="419" t="s">
        <v>4089</v>
      </c>
      <c r="B89" s="238" t="s">
        <v>3265</v>
      </c>
      <c r="C89" s="486" t="s">
        <v>3783</v>
      </c>
      <c r="D89" s="119">
        <v>82</v>
      </c>
      <c r="E89" s="79"/>
      <c r="F89" s="79">
        <v>0</v>
      </c>
      <c r="G89" s="79"/>
      <c r="H89" s="79"/>
      <c r="I89" s="79"/>
      <c r="J89" s="79"/>
      <c r="K89" s="79"/>
      <c r="L89" s="79">
        <v>2.7</v>
      </c>
      <c r="M89" s="79"/>
      <c r="N89" s="79"/>
      <c r="O89" s="79"/>
      <c r="P89" s="79">
        <v>2.7</v>
      </c>
      <c r="Q89" s="139">
        <f t="shared" si="4"/>
        <v>1.8</v>
      </c>
      <c r="R89" s="144" t="str">
        <f t="shared" si="5"/>
        <v>SI</v>
      </c>
      <c r="S89" s="145" t="str">
        <f t="shared" si="6"/>
        <v>Sin Riesgo</v>
      </c>
    </row>
    <row r="90" spans="1:19" s="59" customFormat="1" ht="32.1" customHeight="1">
      <c r="A90" s="419" t="s">
        <v>4089</v>
      </c>
      <c r="B90" s="238" t="s">
        <v>3335</v>
      </c>
      <c r="C90" s="486" t="s">
        <v>3784</v>
      </c>
      <c r="D90" s="119">
        <v>156</v>
      </c>
      <c r="E90" s="79"/>
      <c r="F90" s="79">
        <v>0</v>
      </c>
      <c r="G90" s="79"/>
      <c r="H90" s="79"/>
      <c r="I90" s="79"/>
      <c r="J90" s="79"/>
      <c r="K90" s="79"/>
      <c r="L90" s="79">
        <v>2.7</v>
      </c>
      <c r="M90" s="79"/>
      <c r="N90" s="79"/>
      <c r="O90" s="79"/>
      <c r="P90" s="79">
        <v>2.65</v>
      </c>
      <c r="Q90" s="139">
        <f t="shared" si="4"/>
        <v>1.7833333333333332</v>
      </c>
      <c r="R90" s="144" t="str">
        <f t="shared" si="5"/>
        <v>SI</v>
      </c>
      <c r="S90" s="145" t="str">
        <f t="shared" si="6"/>
        <v>Sin Riesgo</v>
      </c>
    </row>
    <row r="91" spans="1:19" s="59" customFormat="1" ht="32.1" customHeight="1">
      <c r="A91" s="419" t="s">
        <v>4089</v>
      </c>
      <c r="B91" s="238" t="s">
        <v>3785</v>
      </c>
      <c r="C91" s="486" t="s">
        <v>3786</v>
      </c>
      <c r="D91" s="119">
        <v>121</v>
      </c>
      <c r="E91" s="79"/>
      <c r="F91" s="79">
        <v>70.8</v>
      </c>
      <c r="G91" s="79"/>
      <c r="H91" s="79"/>
      <c r="I91" s="79"/>
      <c r="J91" s="79"/>
      <c r="K91" s="79">
        <v>70.8</v>
      </c>
      <c r="L91" s="79"/>
      <c r="M91" s="79"/>
      <c r="N91" s="79"/>
      <c r="O91" s="79"/>
      <c r="P91" s="79">
        <v>0</v>
      </c>
      <c r="Q91" s="139">
        <f t="shared" si="4"/>
        <v>47.199999999999996</v>
      </c>
      <c r="R91" s="144" t="str">
        <f t="shared" si="5"/>
        <v>NO</v>
      </c>
      <c r="S91" s="145" t="str">
        <f t="shared" si="6"/>
        <v>Alto</v>
      </c>
    </row>
    <row r="92" spans="1:19" s="59" customFormat="1" ht="32.1" customHeight="1">
      <c r="A92" s="419" t="s">
        <v>4089</v>
      </c>
      <c r="B92" s="238" t="s">
        <v>3787</v>
      </c>
      <c r="C92" s="486" t="s">
        <v>3788</v>
      </c>
      <c r="D92" s="114">
        <v>50</v>
      </c>
      <c r="E92" s="79"/>
      <c r="F92" s="79">
        <v>70.8</v>
      </c>
      <c r="G92" s="79"/>
      <c r="H92" s="79"/>
      <c r="I92" s="79"/>
      <c r="J92" s="79"/>
      <c r="K92" s="79">
        <v>70.8</v>
      </c>
      <c r="L92" s="79"/>
      <c r="M92" s="79"/>
      <c r="N92" s="79"/>
      <c r="O92" s="79"/>
      <c r="P92" s="79">
        <v>0</v>
      </c>
      <c r="Q92" s="139">
        <f t="shared" si="4"/>
        <v>47.199999999999996</v>
      </c>
      <c r="R92" s="144" t="str">
        <f t="shared" si="5"/>
        <v>NO</v>
      </c>
      <c r="S92" s="145" t="str">
        <f t="shared" si="6"/>
        <v>Alto</v>
      </c>
    </row>
    <row r="93" spans="1:19" s="59" customFormat="1" ht="32.1" customHeight="1">
      <c r="A93" s="419" t="s">
        <v>4089</v>
      </c>
      <c r="B93" s="238" t="s">
        <v>3789</v>
      </c>
      <c r="C93" s="486" t="s">
        <v>3790</v>
      </c>
      <c r="D93" s="119">
        <v>55</v>
      </c>
      <c r="E93" s="79"/>
      <c r="F93" s="79">
        <v>97.35</v>
      </c>
      <c r="G93" s="79"/>
      <c r="H93" s="79"/>
      <c r="I93" s="79"/>
      <c r="J93" s="79"/>
      <c r="K93" s="79">
        <v>97.35</v>
      </c>
      <c r="L93" s="79"/>
      <c r="M93" s="79"/>
      <c r="N93" s="79"/>
      <c r="O93" s="79"/>
      <c r="P93" s="79">
        <v>0</v>
      </c>
      <c r="Q93" s="139">
        <f t="shared" si="4"/>
        <v>64.899999999999991</v>
      </c>
      <c r="R93" s="144" t="str">
        <f t="shared" si="5"/>
        <v>NO</v>
      </c>
      <c r="S93" s="145" t="str">
        <f t="shared" si="6"/>
        <v>Alto</v>
      </c>
    </row>
    <row r="94" spans="1:19" s="59" customFormat="1" ht="32.1" customHeight="1">
      <c r="A94" s="419" t="s">
        <v>4089</v>
      </c>
      <c r="B94" s="238" t="s">
        <v>3791</v>
      </c>
      <c r="C94" s="486" t="s">
        <v>3792</v>
      </c>
      <c r="D94" s="119">
        <v>14</v>
      </c>
      <c r="E94" s="79"/>
      <c r="F94" s="79">
        <v>70.8</v>
      </c>
      <c r="G94" s="79"/>
      <c r="H94" s="79"/>
      <c r="I94" s="79"/>
      <c r="J94" s="79"/>
      <c r="K94" s="79">
        <v>70.8</v>
      </c>
      <c r="L94" s="79"/>
      <c r="M94" s="79"/>
      <c r="N94" s="79"/>
      <c r="O94" s="79"/>
      <c r="P94" s="79">
        <v>0</v>
      </c>
      <c r="Q94" s="139">
        <f t="shared" si="4"/>
        <v>47.199999999999996</v>
      </c>
      <c r="R94" s="144" t="str">
        <f t="shared" si="5"/>
        <v>NO</v>
      </c>
      <c r="S94" s="145" t="str">
        <f t="shared" si="6"/>
        <v>Alto</v>
      </c>
    </row>
    <row r="95" spans="1:19" s="59" customFormat="1" ht="32.1" customHeight="1">
      <c r="A95" s="419" t="s">
        <v>4089</v>
      </c>
      <c r="B95" s="238" t="s">
        <v>65</v>
      </c>
      <c r="C95" s="238" t="s">
        <v>3793</v>
      </c>
      <c r="D95" s="114">
        <v>176</v>
      </c>
      <c r="E95" s="79"/>
      <c r="F95" s="79">
        <v>0</v>
      </c>
      <c r="G95" s="79"/>
      <c r="H95" s="79"/>
      <c r="I95" s="79">
        <v>0</v>
      </c>
      <c r="J95" s="79"/>
      <c r="K95" s="79">
        <v>70.8</v>
      </c>
      <c r="L95" s="79"/>
      <c r="M95" s="79"/>
      <c r="N95" s="79"/>
      <c r="O95" s="79"/>
      <c r="P95" s="79">
        <v>0</v>
      </c>
      <c r="Q95" s="139">
        <f t="shared" si="4"/>
        <v>17.7</v>
      </c>
      <c r="R95" s="144" t="str">
        <f t="shared" si="5"/>
        <v>NO</v>
      </c>
      <c r="S95" s="145" t="str">
        <f t="shared" si="6"/>
        <v>Medio</v>
      </c>
    </row>
    <row r="96" spans="1:19" s="59" customFormat="1" ht="32.1" customHeight="1">
      <c r="A96" s="419" t="s">
        <v>133</v>
      </c>
      <c r="B96" s="486" t="s">
        <v>1071</v>
      </c>
      <c r="C96" s="238" t="s">
        <v>3795</v>
      </c>
      <c r="D96" s="119">
        <v>164</v>
      </c>
      <c r="E96" s="79"/>
      <c r="F96" s="79"/>
      <c r="G96" s="79"/>
      <c r="H96" s="79"/>
      <c r="I96" s="79"/>
      <c r="J96" s="79">
        <v>97.3</v>
      </c>
      <c r="K96" s="79"/>
      <c r="L96" s="79"/>
      <c r="M96" s="79"/>
      <c r="N96" s="79"/>
      <c r="O96" s="79">
        <v>97.3</v>
      </c>
      <c r="P96" s="79"/>
      <c r="Q96" s="139">
        <f t="shared" si="4"/>
        <v>97.3</v>
      </c>
      <c r="R96" s="144" t="str">
        <f t="shared" si="5"/>
        <v>NO</v>
      </c>
      <c r="S96" s="145" t="str">
        <f t="shared" si="6"/>
        <v>Inviable Sanitariamente</v>
      </c>
    </row>
    <row r="97" spans="1:19" s="59" customFormat="1" ht="32.1" customHeight="1">
      <c r="A97" s="419" t="s">
        <v>133</v>
      </c>
      <c r="B97" s="486" t="s">
        <v>3796</v>
      </c>
      <c r="C97" s="238" t="s">
        <v>3797</v>
      </c>
      <c r="D97" s="119">
        <v>62</v>
      </c>
      <c r="E97" s="79"/>
      <c r="F97" s="79"/>
      <c r="G97" s="79"/>
      <c r="H97" s="79"/>
      <c r="I97" s="79"/>
      <c r="J97" s="79"/>
      <c r="K97" s="79"/>
      <c r="L97" s="79"/>
      <c r="M97" s="79"/>
      <c r="N97" s="79"/>
      <c r="O97" s="79">
        <v>97.3</v>
      </c>
      <c r="P97" s="79"/>
      <c r="Q97" s="139">
        <f t="shared" si="4"/>
        <v>97.3</v>
      </c>
      <c r="R97" s="144" t="str">
        <f t="shared" si="5"/>
        <v>NO</v>
      </c>
      <c r="S97" s="145" t="str">
        <f t="shared" si="6"/>
        <v>Inviable Sanitariamente</v>
      </c>
    </row>
    <row r="98" spans="1:19" s="59" customFormat="1" ht="32.1" customHeight="1">
      <c r="A98" s="419" t="s">
        <v>133</v>
      </c>
      <c r="B98" s="486" t="s">
        <v>3798</v>
      </c>
      <c r="C98" s="486" t="s">
        <v>3799</v>
      </c>
      <c r="D98" s="119">
        <v>44</v>
      </c>
      <c r="E98" s="79"/>
      <c r="F98" s="79"/>
      <c r="G98" s="79"/>
      <c r="H98" s="79"/>
      <c r="I98" s="79">
        <v>97.3</v>
      </c>
      <c r="J98" s="79"/>
      <c r="K98" s="79"/>
      <c r="L98" s="79"/>
      <c r="M98" s="79"/>
      <c r="N98" s="79"/>
      <c r="O98" s="79"/>
      <c r="P98" s="79"/>
      <c r="Q98" s="139">
        <f t="shared" si="4"/>
        <v>97.3</v>
      </c>
      <c r="R98" s="144" t="str">
        <f t="shared" si="5"/>
        <v>NO</v>
      </c>
      <c r="S98" s="145" t="str">
        <f t="shared" si="6"/>
        <v>Inviable Sanitariamente</v>
      </c>
    </row>
    <row r="99" spans="1:19" s="59" customFormat="1" ht="32.1" customHeight="1">
      <c r="A99" s="419" t="s">
        <v>133</v>
      </c>
      <c r="B99" s="486" t="s">
        <v>3800</v>
      </c>
      <c r="C99" s="486" t="s">
        <v>3801</v>
      </c>
      <c r="D99" s="119"/>
      <c r="E99" s="79"/>
      <c r="F99" s="79"/>
      <c r="G99" s="79"/>
      <c r="H99" s="79"/>
      <c r="I99" s="79"/>
      <c r="J99" s="79"/>
      <c r="K99" s="79"/>
      <c r="L99" s="79"/>
      <c r="M99" s="79"/>
      <c r="N99" s="79"/>
      <c r="O99" s="79"/>
      <c r="P99" s="79"/>
      <c r="Q99" s="139" t="e">
        <f t="shared" si="4"/>
        <v>#DIV/0!</v>
      </c>
      <c r="R99" s="144" t="e">
        <f t="shared" si="5"/>
        <v>#DIV/0!</v>
      </c>
      <c r="S99" s="145" t="e">
        <f t="shared" si="6"/>
        <v>#DIV/0!</v>
      </c>
    </row>
    <row r="100" spans="1:19" s="59" customFormat="1" ht="32.1" customHeight="1">
      <c r="A100" s="419" t="s">
        <v>133</v>
      </c>
      <c r="B100" s="486" t="s">
        <v>3802</v>
      </c>
      <c r="C100" s="238" t="s">
        <v>3803</v>
      </c>
      <c r="D100" s="119">
        <v>98</v>
      </c>
      <c r="E100" s="79"/>
      <c r="F100" s="79"/>
      <c r="G100" s="79"/>
      <c r="H100" s="79">
        <v>26.5</v>
      </c>
      <c r="I100" s="79"/>
      <c r="J100" s="79"/>
      <c r="K100" s="79"/>
      <c r="L100" s="79"/>
      <c r="M100" s="79"/>
      <c r="N100" s="79"/>
      <c r="O100" s="79"/>
      <c r="P100" s="79"/>
      <c r="Q100" s="139">
        <f t="shared" si="4"/>
        <v>26.5</v>
      </c>
      <c r="R100" s="144" t="str">
        <f t="shared" si="5"/>
        <v>NO</v>
      </c>
      <c r="S100" s="145" t="str">
        <f t="shared" si="6"/>
        <v>Medio</v>
      </c>
    </row>
    <row r="101" spans="1:19" s="59" customFormat="1" ht="32.1" customHeight="1">
      <c r="A101" s="419" t="s">
        <v>133</v>
      </c>
      <c r="B101" s="486" t="s">
        <v>3804</v>
      </c>
      <c r="C101" s="238" t="s">
        <v>3805</v>
      </c>
      <c r="D101" s="119"/>
      <c r="E101" s="79"/>
      <c r="F101" s="79"/>
      <c r="G101" s="79"/>
      <c r="H101" s="79"/>
      <c r="I101" s="79"/>
      <c r="J101" s="79"/>
      <c r="K101" s="79"/>
      <c r="L101" s="79"/>
      <c r="M101" s="79"/>
      <c r="N101" s="79"/>
      <c r="O101" s="79"/>
      <c r="P101" s="79"/>
      <c r="Q101" s="139" t="e">
        <f t="shared" si="4"/>
        <v>#DIV/0!</v>
      </c>
      <c r="R101" s="144" t="e">
        <f t="shared" si="5"/>
        <v>#DIV/0!</v>
      </c>
      <c r="S101" s="145" t="e">
        <f t="shared" si="6"/>
        <v>#DIV/0!</v>
      </c>
    </row>
    <row r="102" spans="1:19" s="59" customFormat="1" ht="32.1" customHeight="1">
      <c r="A102" s="419" t="s">
        <v>133</v>
      </c>
      <c r="B102" s="486" t="s">
        <v>853</v>
      </c>
      <c r="C102" s="486" t="s">
        <v>3806</v>
      </c>
      <c r="D102" s="119">
        <v>38</v>
      </c>
      <c r="E102" s="79"/>
      <c r="F102" s="79"/>
      <c r="G102" s="79"/>
      <c r="H102" s="79"/>
      <c r="I102" s="79">
        <v>97.3</v>
      </c>
      <c r="J102" s="79"/>
      <c r="K102" s="79"/>
      <c r="L102" s="79"/>
      <c r="M102" s="79"/>
      <c r="N102" s="79"/>
      <c r="O102" s="79"/>
      <c r="P102" s="79"/>
      <c r="Q102" s="139">
        <f t="shared" si="4"/>
        <v>97.3</v>
      </c>
      <c r="R102" s="144" t="str">
        <f t="shared" si="5"/>
        <v>NO</v>
      </c>
      <c r="S102" s="145" t="str">
        <f t="shared" si="6"/>
        <v>Inviable Sanitariamente</v>
      </c>
    </row>
    <row r="103" spans="1:19" s="59" customFormat="1" ht="32.1" customHeight="1">
      <c r="A103" s="419" t="s">
        <v>133</v>
      </c>
      <c r="B103" s="486" t="s">
        <v>3807</v>
      </c>
      <c r="C103" s="486" t="s">
        <v>3808</v>
      </c>
      <c r="D103" s="114">
        <v>20</v>
      </c>
      <c r="E103" s="79"/>
      <c r="F103" s="79"/>
      <c r="G103" s="79"/>
      <c r="H103" s="79"/>
      <c r="I103" s="79"/>
      <c r="J103" s="79"/>
      <c r="K103" s="79"/>
      <c r="L103" s="79"/>
      <c r="M103" s="79"/>
      <c r="N103" s="79"/>
      <c r="O103" s="79">
        <v>53.1</v>
      </c>
      <c r="P103" s="79"/>
      <c r="Q103" s="139">
        <f t="shared" si="4"/>
        <v>53.1</v>
      </c>
      <c r="R103" s="144" t="str">
        <f t="shared" si="5"/>
        <v>NO</v>
      </c>
      <c r="S103" s="145" t="str">
        <f t="shared" si="6"/>
        <v>Alto</v>
      </c>
    </row>
    <row r="104" spans="1:19" s="59" customFormat="1" ht="32.1" customHeight="1">
      <c r="A104" s="419" t="s">
        <v>133</v>
      </c>
      <c r="B104" s="486" t="s">
        <v>3809</v>
      </c>
      <c r="C104" s="486" t="s">
        <v>3810</v>
      </c>
      <c r="D104" s="119"/>
      <c r="E104" s="79"/>
      <c r="F104" s="79"/>
      <c r="G104" s="79"/>
      <c r="H104" s="79"/>
      <c r="I104" s="79"/>
      <c r="J104" s="79"/>
      <c r="K104" s="79"/>
      <c r="L104" s="79"/>
      <c r="M104" s="79"/>
      <c r="N104" s="79"/>
      <c r="O104" s="79"/>
      <c r="P104" s="79"/>
      <c r="Q104" s="139" t="e">
        <f t="shared" si="4"/>
        <v>#DIV/0!</v>
      </c>
      <c r="R104" s="144" t="e">
        <f t="shared" si="5"/>
        <v>#DIV/0!</v>
      </c>
      <c r="S104" s="145" t="e">
        <f t="shared" si="6"/>
        <v>#DIV/0!</v>
      </c>
    </row>
    <row r="105" spans="1:19" s="59" customFormat="1" ht="32.1" customHeight="1">
      <c r="A105" s="419" t="s">
        <v>133</v>
      </c>
      <c r="B105" s="486" t="s">
        <v>63</v>
      </c>
      <c r="C105" s="486" t="s">
        <v>3811</v>
      </c>
      <c r="D105" s="119">
        <v>20</v>
      </c>
      <c r="E105" s="79"/>
      <c r="F105" s="79"/>
      <c r="G105" s="79"/>
      <c r="H105" s="79"/>
      <c r="I105" s="79"/>
      <c r="J105" s="79"/>
      <c r="K105" s="79"/>
      <c r="L105" s="79">
        <v>97.3</v>
      </c>
      <c r="M105" s="79"/>
      <c r="N105" s="79"/>
      <c r="O105" s="79"/>
      <c r="P105" s="79"/>
      <c r="Q105" s="139">
        <f t="shared" si="4"/>
        <v>97.3</v>
      </c>
      <c r="R105" s="144" t="str">
        <f t="shared" si="5"/>
        <v>NO</v>
      </c>
      <c r="S105" s="145" t="str">
        <f t="shared" si="6"/>
        <v>Inviable Sanitariamente</v>
      </c>
    </row>
    <row r="106" spans="1:19" s="59" customFormat="1" ht="32.1" customHeight="1">
      <c r="A106" s="419" t="s">
        <v>133</v>
      </c>
      <c r="B106" s="486" t="s">
        <v>1933</v>
      </c>
      <c r="C106" s="486" t="s">
        <v>3812</v>
      </c>
      <c r="D106" s="114">
        <v>18</v>
      </c>
      <c r="E106" s="79"/>
      <c r="F106" s="79"/>
      <c r="G106" s="79"/>
      <c r="H106" s="79"/>
      <c r="I106" s="79"/>
      <c r="J106" s="79"/>
      <c r="K106" s="79"/>
      <c r="L106" s="79"/>
      <c r="M106" s="79"/>
      <c r="N106" s="79"/>
      <c r="O106" s="79">
        <v>53.1</v>
      </c>
      <c r="P106" s="79"/>
      <c r="Q106" s="139">
        <f t="shared" si="4"/>
        <v>53.1</v>
      </c>
      <c r="R106" s="144" t="str">
        <f t="shared" si="5"/>
        <v>NO</v>
      </c>
      <c r="S106" s="145" t="str">
        <f t="shared" si="6"/>
        <v>Alto</v>
      </c>
    </row>
    <row r="107" spans="1:19" s="59" customFormat="1" ht="32.1" customHeight="1">
      <c r="A107" s="419" t="s">
        <v>133</v>
      </c>
      <c r="B107" s="486" t="s">
        <v>44</v>
      </c>
      <c r="C107" s="486" t="s">
        <v>3813</v>
      </c>
      <c r="D107" s="119">
        <v>22</v>
      </c>
      <c r="E107" s="79"/>
      <c r="F107" s="79"/>
      <c r="G107" s="79">
        <v>97.3</v>
      </c>
      <c r="H107" s="79"/>
      <c r="I107" s="79"/>
      <c r="J107" s="79"/>
      <c r="K107" s="79"/>
      <c r="L107" s="79"/>
      <c r="M107" s="79"/>
      <c r="N107" s="79"/>
      <c r="O107" s="79"/>
      <c r="P107" s="79"/>
      <c r="Q107" s="139">
        <f t="shared" ref="Q107:Q138" si="7">AVERAGE(E107:P107)</f>
        <v>97.3</v>
      </c>
      <c r="R107" s="144" t="str">
        <f t="shared" si="5"/>
        <v>NO</v>
      </c>
      <c r="S107" s="145" t="str">
        <f t="shared" si="6"/>
        <v>Inviable Sanitariamente</v>
      </c>
    </row>
    <row r="108" spans="1:19" s="59" customFormat="1" ht="32.1" customHeight="1">
      <c r="A108" s="419" t="s">
        <v>133</v>
      </c>
      <c r="B108" s="486" t="s">
        <v>78</v>
      </c>
      <c r="C108" s="486" t="s">
        <v>3814</v>
      </c>
      <c r="D108" s="119">
        <v>38</v>
      </c>
      <c r="E108" s="79"/>
      <c r="F108" s="79"/>
      <c r="G108" s="79"/>
      <c r="H108" s="79">
        <v>97.3</v>
      </c>
      <c r="I108" s="79"/>
      <c r="J108" s="79"/>
      <c r="K108" s="79"/>
      <c r="L108" s="79"/>
      <c r="M108" s="79"/>
      <c r="N108" s="79"/>
      <c r="O108" s="79"/>
      <c r="P108" s="79"/>
      <c r="Q108" s="139">
        <f t="shared" si="7"/>
        <v>97.3</v>
      </c>
      <c r="R108" s="144" t="str">
        <f t="shared" si="5"/>
        <v>NO</v>
      </c>
      <c r="S108" s="145" t="str">
        <f t="shared" si="6"/>
        <v>Inviable Sanitariamente</v>
      </c>
    </row>
    <row r="109" spans="1:19" s="59" customFormat="1" ht="32.1" customHeight="1">
      <c r="A109" s="419" t="s">
        <v>133</v>
      </c>
      <c r="B109" s="486" t="s">
        <v>3815</v>
      </c>
      <c r="C109" s="486" t="s">
        <v>3816</v>
      </c>
      <c r="D109" s="114"/>
      <c r="E109" s="79"/>
      <c r="F109" s="79"/>
      <c r="G109" s="79"/>
      <c r="H109" s="79"/>
      <c r="I109" s="79"/>
      <c r="J109" s="79"/>
      <c r="K109" s="79"/>
      <c r="L109" s="79"/>
      <c r="M109" s="79"/>
      <c r="N109" s="79"/>
      <c r="O109" s="79"/>
      <c r="P109" s="79"/>
      <c r="Q109" s="139" t="e">
        <f t="shared" si="7"/>
        <v>#DIV/0!</v>
      </c>
      <c r="R109" s="144" t="e">
        <f t="shared" si="5"/>
        <v>#DIV/0!</v>
      </c>
      <c r="S109" s="145" t="e">
        <f t="shared" si="6"/>
        <v>#DIV/0!</v>
      </c>
    </row>
    <row r="110" spans="1:19" s="59" customFormat="1" ht="32.1" customHeight="1">
      <c r="A110" s="419" t="s">
        <v>133</v>
      </c>
      <c r="B110" s="486" t="s">
        <v>3817</v>
      </c>
      <c r="C110" s="486" t="s">
        <v>3818</v>
      </c>
      <c r="D110" s="119">
        <v>115</v>
      </c>
      <c r="E110" s="79"/>
      <c r="F110" s="79"/>
      <c r="G110" s="79"/>
      <c r="H110" s="79"/>
      <c r="I110" s="79"/>
      <c r="J110" s="79"/>
      <c r="K110" s="79"/>
      <c r="L110" s="79"/>
      <c r="M110" s="79"/>
      <c r="N110" s="79"/>
      <c r="O110" s="79">
        <v>97.3</v>
      </c>
      <c r="P110" s="79"/>
      <c r="Q110" s="139">
        <f t="shared" si="7"/>
        <v>97.3</v>
      </c>
      <c r="R110" s="144" t="str">
        <f t="shared" si="5"/>
        <v>NO</v>
      </c>
      <c r="S110" s="145" t="str">
        <f t="shared" si="6"/>
        <v>Inviable Sanitariamente</v>
      </c>
    </row>
    <row r="111" spans="1:19" s="59" customFormat="1" ht="32.1" customHeight="1">
      <c r="A111" s="419" t="s">
        <v>133</v>
      </c>
      <c r="B111" s="486" t="s">
        <v>239</v>
      </c>
      <c r="C111" s="486" t="s">
        <v>3819</v>
      </c>
      <c r="D111" s="119"/>
      <c r="E111" s="79"/>
      <c r="F111" s="79"/>
      <c r="G111" s="79"/>
      <c r="H111" s="79"/>
      <c r="I111" s="79"/>
      <c r="J111" s="79"/>
      <c r="K111" s="79"/>
      <c r="L111" s="79"/>
      <c r="M111" s="79"/>
      <c r="N111" s="79"/>
      <c r="O111" s="79"/>
      <c r="P111" s="79"/>
      <c r="Q111" s="139" t="e">
        <f t="shared" si="7"/>
        <v>#DIV/0!</v>
      </c>
      <c r="R111" s="144" t="e">
        <f t="shared" si="5"/>
        <v>#DIV/0!</v>
      </c>
      <c r="S111" s="145" t="e">
        <f t="shared" si="6"/>
        <v>#DIV/0!</v>
      </c>
    </row>
    <row r="112" spans="1:19" s="59" customFormat="1" ht="32.1" customHeight="1">
      <c r="A112" s="419" t="s">
        <v>133</v>
      </c>
      <c r="B112" s="486" t="s">
        <v>3820</v>
      </c>
      <c r="C112" s="486" t="s">
        <v>3821</v>
      </c>
      <c r="D112" s="119">
        <v>21</v>
      </c>
      <c r="E112" s="79"/>
      <c r="F112" s="79"/>
      <c r="G112" s="79"/>
      <c r="H112" s="79"/>
      <c r="I112" s="79"/>
      <c r="J112" s="79"/>
      <c r="K112" s="79"/>
      <c r="L112" s="79"/>
      <c r="M112" s="79"/>
      <c r="N112" s="79"/>
      <c r="O112" s="79"/>
      <c r="P112" s="79">
        <v>96.4</v>
      </c>
      <c r="Q112" s="139">
        <f t="shared" si="7"/>
        <v>96.4</v>
      </c>
      <c r="R112" s="144" t="str">
        <f t="shared" si="5"/>
        <v>NO</v>
      </c>
      <c r="S112" s="145" t="str">
        <f t="shared" si="6"/>
        <v>Inviable Sanitariamente</v>
      </c>
    </row>
    <row r="113" spans="1:19" s="59" customFormat="1" ht="32.1" customHeight="1">
      <c r="A113" s="419" t="s">
        <v>133</v>
      </c>
      <c r="B113" s="486" t="s">
        <v>3822</v>
      </c>
      <c r="C113" s="486" t="s">
        <v>3823</v>
      </c>
      <c r="D113" s="119">
        <v>16</v>
      </c>
      <c r="E113" s="79"/>
      <c r="F113" s="79"/>
      <c r="G113" s="79"/>
      <c r="H113" s="79"/>
      <c r="I113" s="79"/>
      <c r="J113" s="79"/>
      <c r="K113" s="79"/>
      <c r="L113" s="79"/>
      <c r="M113" s="79">
        <v>53.1</v>
      </c>
      <c r="N113" s="79"/>
      <c r="O113" s="79"/>
      <c r="P113" s="79"/>
      <c r="Q113" s="139">
        <f t="shared" si="7"/>
        <v>53.1</v>
      </c>
      <c r="R113" s="144" t="str">
        <f t="shared" si="5"/>
        <v>NO</v>
      </c>
      <c r="S113" s="145" t="str">
        <f t="shared" si="6"/>
        <v>Alto</v>
      </c>
    </row>
    <row r="114" spans="1:19" s="59" customFormat="1" ht="32.1" customHeight="1">
      <c r="A114" s="419" t="s">
        <v>133</v>
      </c>
      <c r="B114" s="486" t="s">
        <v>3824</v>
      </c>
      <c r="C114" s="238" t="s">
        <v>3825</v>
      </c>
      <c r="D114" s="119"/>
      <c r="E114" s="79"/>
      <c r="F114" s="79"/>
      <c r="G114" s="79"/>
      <c r="H114" s="79"/>
      <c r="I114" s="79"/>
      <c r="J114" s="79"/>
      <c r="K114" s="79"/>
      <c r="L114" s="79"/>
      <c r="M114" s="79"/>
      <c r="N114" s="79"/>
      <c r="O114" s="79"/>
      <c r="P114" s="79"/>
      <c r="Q114" s="139" t="e">
        <f t="shared" si="7"/>
        <v>#DIV/0!</v>
      </c>
      <c r="R114" s="144" t="e">
        <f t="shared" si="5"/>
        <v>#DIV/0!</v>
      </c>
      <c r="S114" s="145" t="e">
        <f t="shared" si="6"/>
        <v>#DIV/0!</v>
      </c>
    </row>
    <row r="115" spans="1:19" s="59" customFormat="1" ht="32.1" customHeight="1">
      <c r="A115" s="419" t="s">
        <v>133</v>
      </c>
      <c r="B115" s="486" t="s">
        <v>3826</v>
      </c>
      <c r="C115" s="238" t="s">
        <v>3827</v>
      </c>
      <c r="D115" s="119"/>
      <c r="E115" s="79"/>
      <c r="F115" s="79"/>
      <c r="G115" s="79"/>
      <c r="H115" s="79"/>
      <c r="I115" s="79"/>
      <c r="J115" s="79"/>
      <c r="K115" s="79"/>
      <c r="L115" s="79"/>
      <c r="M115" s="79"/>
      <c r="N115" s="79"/>
      <c r="O115" s="79"/>
      <c r="P115" s="79"/>
      <c r="Q115" s="139" t="e">
        <f t="shared" si="7"/>
        <v>#DIV/0!</v>
      </c>
      <c r="R115" s="144" t="e">
        <f t="shared" si="5"/>
        <v>#DIV/0!</v>
      </c>
      <c r="S115" s="145" t="e">
        <f t="shared" si="6"/>
        <v>#DIV/0!</v>
      </c>
    </row>
    <row r="116" spans="1:19" s="59" customFormat="1" ht="32.1" customHeight="1">
      <c r="A116" s="419" t="s">
        <v>133</v>
      </c>
      <c r="B116" s="486" t="s">
        <v>3828</v>
      </c>
      <c r="C116" s="486" t="s">
        <v>3829</v>
      </c>
      <c r="D116" s="119">
        <v>18</v>
      </c>
      <c r="E116" s="79"/>
      <c r="F116" s="79"/>
      <c r="G116" s="79"/>
      <c r="H116" s="79"/>
      <c r="I116" s="79"/>
      <c r="J116" s="79"/>
      <c r="K116" s="79"/>
      <c r="L116" s="79"/>
      <c r="M116" s="79"/>
      <c r="N116" s="79"/>
      <c r="O116" s="79">
        <v>53.1</v>
      </c>
      <c r="P116" s="79"/>
      <c r="Q116" s="139">
        <f t="shared" si="7"/>
        <v>53.1</v>
      </c>
      <c r="R116" s="144" t="str">
        <f t="shared" si="5"/>
        <v>NO</v>
      </c>
      <c r="S116" s="145" t="str">
        <f t="shared" si="6"/>
        <v>Alto</v>
      </c>
    </row>
    <row r="117" spans="1:19" s="292" customFormat="1" ht="32.1" customHeight="1">
      <c r="A117" s="419" t="s">
        <v>134</v>
      </c>
      <c r="B117" s="238" t="s">
        <v>3830</v>
      </c>
      <c r="C117" s="238" t="s">
        <v>3831</v>
      </c>
      <c r="D117" s="119">
        <v>17</v>
      </c>
      <c r="E117" s="79"/>
      <c r="F117" s="79">
        <v>0</v>
      </c>
      <c r="G117" s="79"/>
      <c r="H117" s="79"/>
      <c r="I117" s="79"/>
      <c r="J117" s="79"/>
      <c r="K117" s="79"/>
      <c r="L117" s="79"/>
      <c r="M117" s="79"/>
      <c r="N117" s="79"/>
      <c r="O117" s="79"/>
      <c r="P117" s="79"/>
      <c r="Q117" s="139">
        <f t="shared" si="7"/>
        <v>0</v>
      </c>
      <c r="R117" s="144" t="str">
        <f t="shared" si="5"/>
        <v>SI</v>
      </c>
      <c r="S117" s="145" t="str">
        <f t="shared" si="6"/>
        <v>Sin Riesgo</v>
      </c>
    </row>
    <row r="118" spans="1:19" s="292" customFormat="1" ht="32.1" customHeight="1">
      <c r="A118" s="419" t="s">
        <v>134</v>
      </c>
      <c r="B118" s="238" t="s">
        <v>3832</v>
      </c>
      <c r="C118" s="238" t="s">
        <v>3833</v>
      </c>
      <c r="D118" s="119"/>
      <c r="E118" s="79"/>
      <c r="F118" s="79"/>
      <c r="G118" s="79"/>
      <c r="H118" s="79"/>
      <c r="I118" s="79"/>
      <c r="J118" s="79"/>
      <c r="K118" s="79"/>
      <c r="L118" s="79"/>
      <c r="M118" s="79"/>
      <c r="N118" s="79"/>
      <c r="O118" s="79"/>
      <c r="P118" s="79"/>
      <c r="Q118" s="139" t="e">
        <f t="shared" si="7"/>
        <v>#DIV/0!</v>
      </c>
      <c r="R118" s="144" t="e">
        <f t="shared" si="5"/>
        <v>#DIV/0!</v>
      </c>
      <c r="S118" s="145" t="e">
        <f t="shared" si="6"/>
        <v>#DIV/0!</v>
      </c>
    </row>
    <row r="119" spans="1:19" s="292" customFormat="1" ht="32.1" customHeight="1">
      <c r="A119" s="419" t="s">
        <v>134</v>
      </c>
      <c r="B119" s="238" t="s">
        <v>1351</v>
      </c>
      <c r="C119" s="238" t="s">
        <v>3834</v>
      </c>
      <c r="D119" s="119">
        <v>27</v>
      </c>
      <c r="E119" s="79"/>
      <c r="F119" s="79">
        <v>0</v>
      </c>
      <c r="G119" s="79">
        <v>0</v>
      </c>
      <c r="H119" s="79"/>
      <c r="I119" s="79"/>
      <c r="J119" s="79">
        <v>0</v>
      </c>
      <c r="K119" s="79"/>
      <c r="L119" s="79"/>
      <c r="M119" s="79"/>
      <c r="N119" s="79"/>
      <c r="O119" s="79"/>
      <c r="P119" s="79"/>
      <c r="Q119" s="139">
        <f t="shared" si="7"/>
        <v>0</v>
      </c>
      <c r="R119" s="144" t="str">
        <f t="shared" si="5"/>
        <v>SI</v>
      </c>
      <c r="S119" s="145" t="str">
        <f t="shared" si="6"/>
        <v>Sin Riesgo</v>
      </c>
    </row>
    <row r="120" spans="1:19" s="292" customFormat="1" ht="32.1" customHeight="1">
      <c r="A120" s="419" t="s">
        <v>134</v>
      </c>
      <c r="B120" s="238" t="s">
        <v>3835</v>
      </c>
      <c r="C120" s="238" t="s">
        <v>3836</v>
      </c>
      <c r="D120" s="119"/>
      <c r="E120" s="79"/>
      <c r="F120" s="79"/>
      <c r="G120" s="79"/>
      <c r="H120" s="79"/>
      <c r="I120" s="79"/>
      <c r="J120" s="79"/>
      <c r="K120" s="79"/>
      <c r="L120" s="79"/>
      <c r="M120" s="79"/>
      <c r="N120" s="79"/>
      <c r="O120" s="79"/>
      <c r="P120" s="79"/>
      <c r="Q120" s="139" t="e">
        <f t="shared" si="7"/>
        <v>#DIV/0!</v>
      </c>
      <c r="R120" s="144" t="e">
        <f t="shared" si="5"/>
        <v>#DIV/0!</v>
      </c>
      <c r="S120" s="145" t="e">
        <f t="shared" si="6"/>
        <v>#DIV/0!</v>
      </c>
    </row>
    <row r="121" spans="1:19" s="292" customFormat="1" ht="32.1" customHeight="1">
      <c r="A121" s="419" t="s">
        <v>134</v>
      </c>
      <c r="B121" s="238" t="s">
        <v>3837</v>
      </c>
      <c r="C121" s="238" t="s">
        <v>3838</v>
      </c>
      <c r="D121" s="119">
        <v>57</v>
      </c>
      <c r="E121" s="79"/>
      <c r="F121" s="79"/>
      <c r="G121" s="79"/>
      <c r="H121" s="79"/>
      <c r="I121" s="79"/>
      <c r="J121" s="79">
        <v>97.34</v>
      </c>
      <c r="K121" s="79"/>
      <c r="L121" s="79"/>
      <c r="M121" s="79"/>
      <c r="N121" s="79"/>
      <c r="O121" s="79"/>
      <c r="P121" s="79"/>
      <c r="Q121" s="139">
        <f t="shared" si="7"/>
        <v>97.34</v>
      </c>
      <c r="R121" s="144" t="str">
        <f t="shared" si="5"/>
        <v>NO</v>
      </c>
      <c r="S121" s="145" t="str">
        <f t="shared" si="6"/>
        <v>Inviable Sanitariamente</v>
      </c>
    </row>
    <row r="122" spans="1:19" s="292" customFormat="1" ht="32.1" customHeight="1">
      <c r="A122" s="419" t="s">
        <v>134</v>
      </c>
      <c r="B122" s="238" t="s">
        <v>3839</v>
      </c>
      <c r="C122" s="238" t="s">
        <v>3840</v>
      </c>
      <c r="D122" s="119">
        <v>147</v>
      </c>
      <c r="E122" s="79"/>
      <c r="F122" s="79"/>
      <c r="G122" s="79">
        <v>97.34</v>
      </c>
      <c r="H122" s="79"/>
      <c r="I122" s="79"/>
      <c r="J122" s="79"/>
      <c r="K122" s="79"/>
      <c r="L122" s="79"/>
      <c r="M122" s="79"/>
      <c r="N122" s="79"/>
      <c r="O122" s="79"/>
      <c r="P122" s="79"/>
      <c r="Q122" s="139">
        <f t="shared" si="7"/>
        <v>97.34</v>
      </c>
      <c r="R122" s="144" t="str">
        <f t="shared" si="5"/>
        <v>NO</v>
      </c>
      <c r="S122" s="145" t="str">
        <f t="shared" si="6"/>
        <v>Inviable Sanitariamente</v>
      </c>
    </row>
    <row r="123" spans="1:19" s="292" customFormat="1" ht="32.1" customHeight="1">
      <c r="A123" s="419" t="s">
        <v>134</v>
      </c>
      <c r="B123" s="238" t="s">
        <v>3841</v>
      </c>
      <c r="C123" s="238" t="s">
        <v>3842</v>
      </c>
      <c r="D123" s="119"/>
      <c r="E123" s="79"/>
      <c r="F123" s="79"/>
      <c r="G123" s="79"/>
      <c r="H123" s="79"/>
      <c r="I123" s="79"/>
      <c r="J123" s="79"/>
      <c r="K123" s="79"/>
      <c r="L123" s="79"/>
      <c r="M123" s="79"/>
      <c r="N123" s="79"/>
      <c r="O123" s="79"/>
      <c r="P123" s="79"/>
      <c r="Q123" s="139" t="e">
        <f t="shared" si="7"/>
        <v>#DIV/0!</v>
      </c>
      <c r="R123" s="144" t="e">
        <f t="shared" si="5"/>
        <v>#DIV/0!</v>
      </c>
      <c r="S123" s="145" t="e">
        <f t="shared" si="6"/>
        <v>#DIV/0!</v>
      </c>
    </row>
    <row r="124" spans="1:19" s="292" customFormat="1" ht="32.1" customHeight="1">
      <c r="A124" s="419" t="s">
        <v>134</v>
      </c>
      <c r="B124" s="238" t="s">
        <v>3843</v>
      </c>
      <c r="C124" s="238" t="s">
        <v>3844</v>
      </c>
      <c r="D124" s="114">
        <v>51</v>
      </c>
      <c r="E124" s="79"/>
      <c r="F124" s="79">
        <v>0</v>
      </c>
      <c r="G124" s="79"/>
      <c r="H124" s="79"/>
      <c r="I124" s="79">
        <v>0</v>
      </c>
      <c r="J124" s="79"/>
      <c r="K124" s="79"/>
      <c r="L124" s="79"/>
      <c r="M124" s="79"/>
      <c r="N124" s="79"/>
      <c r="O124" s="79"/>
      <c r="P124" s="79"/>
      <c r="Q124" s="139">
        <f t="shared" si="7"/>
        <v>0</v>
      </c>
      <c r="R124" s="144" t="str">
        <f t="shared" si="5"/>
        <v>SI</v>
      </c>
      <c r="S124" s="145" t="str">
        <f t="shared" si="6"/>
        <v>Sin Riesgo</v>
      </c>
    </row>
    <row r="125" spans="1:19" s="292" customFormat="1" ht="32.1" customHeight="1">
      <c r="A125" s="419" t="s">
        <v>134</v>
      </c>
      <c r="B125" s="238" t="s">
        <v>3845</v>
      </c>
      <c r="C125" s="238" t="s">
        <v>3846</v>
      </c>
      <c r="D125" s="119"/>
      <c r="E125" s="79"/>
      <c r="F125" s="79"/>
      <c r="G125" s="79"/>
      <c r="H125" s="79"/>
      <c r="I125" s="79"/>
      <c r="J125" s="79"/>
      <c r="K125" s="79"/>
      <c r="L125" s="79"/>
      <c r="M125" s="79"/>
      <c r="N125" s="79"/>
      <c r="O125" s="79"/>
      <c r="P125" s="79"/>
      <c r="Q125" s="139" t="e">
        <f t="shared" si="7"/>
        <v>#DIV/0!</v>
      </c>
      <c r="R125" s="144" t="e">
        <f t="shared" si="5"/>
        <v>#DIV/0!</v>
      </c>
      <c r="S125" s="145" t="e">
        <f t="shared" si="6"/>
        <v>#DIV/0!</v>
      </c>
    </row>
    <row r="126" spans="1:19" s="292" customFormat="1" ht="32.1" customHeight="1">
      <c r="A126" s="419" t="s">
        <v>134</v>
      </c>
      <c r="B126" s="238" t="s">
        <v>3847</v>
      </c>
      <c r="C126" s="238" t="s">
        <v>3848</v>
      </c>
      <c r="D126" s="119"/>
      <c r="E126" s="79"/>
      <c r="F126" s="79"/>
      <c r="G126" s="79"/>
      <c r="H126" s="79"/>
      <c r="I126" s="79"/>
      <c r="J126" s="79"/>
      <c r="K126" s="79"/>
      <c r="L126" s="79"/>
      <c r="M126" s="79"/>
      <c r="N126" s="79"/>
      <c r="O126" s="79"/>
      <c r="P126" s="79"/>
      <c r="Q126" s="139" t="e">
        <f t="shared" si="7"/>
        <v>#DIV/0!</v>
      </c>
      <c r="R126" s="144" t="e">
        <f t="shared" si="5"/>
        <v>#DIV/0!</v>
      </c>
      <c r="S126" s="145" t="e">
        <f t="shared" si="6"/>
        <v>#DIV/0!</v>
      </c>
    </row>
    <row r="127" spans="1:19" s="292" customFormat="1" ht="32.1" customHeight="1">
      <c r="A127" s="419" t="s">
        <v>134</v>
      </c>
      <c r="B127" s="238" t="s">
        <v>3849</v>
      </c>
      <c r="C127" s="238" t="s">
        <v>3850</v>
      </c>
      <c r="D127" s="114">
        <v>37</v>
      </c>
      <c r="E127" s="79"/>
      <c r="F127" s="79">
        <v>97.34</v>
      </c>
      <c r="G127" s="79">
        <v>97.34</v>
      </c>
      <c r="H127" s="79"/>
      <c r="I127" s="79"/>
      <c r="J127" s="79">
        <v>97.34</v>
      </c>
      <c r="K127" s="79"/>
      <c r="L127" s="79"/>
      <c r="M127" s="79"/>
      <c r="N127" s="79"/>
      <c r="O127" s="79"/>
      <c r="P127" s="79"/>
      <c r="Q127" s="139">
        <f t="shared" si="7"/>
        <v>97.339999999999989</v>
      </c>
      <c r="R127" s="144" t="str">
        <f t="shared" si="5"/>
        <v>NO</v>
      </c>
      <c r="S127" s="145" t="str">
        <f t="shared" si="6"/>
        <v>Inviable Sanitariamente</v>
      </c>
    </row>
    <row r="128" spans="1:19" s="292" customFormat="1" ht="32.1" customHeight="1">
      <c r="A128" s="419" t="s">
        <v>134</v>
      </c>
      <c r="B128" s="238" t="s">
        <v>3851</v>
      </c>
      <c r="C128" s="238" t="s">
        <v>3852</v>
      </c>
      <c r="D128" s="119">
        <v>15</v>
      </c>
      <c r="E128" s="79"/>
      <c r="F128" s="79"/>
      <c r="G128" s="79"/>
      <c r="H128" s="79"/>
      <c r="I128" s="79">
        <v>97.34</v>
      </c>
      <c r="J128" s="79"/>
      <c r="K128" s="79"/>
      <c r="L128" s="79"/>
      <c r="M128" s="79"/>
      <c r="N128" s="79"/>
      <c r="O128" s="79"/>
      <c r="P128" s="79"/>
      <c r="Q128" s="139">
        <f t="shared" si="7"/>
        <v>97.34</v>
      </c>
      <c r="R128" s="144" t="str">
        <f t="shared" si="5"/>
        <v>NO</v>
      </c>
      <c r="S128" s="145" t="str">
        <f t="shared" si="6"/>
        <v>Inviable Sanitariamente</v>
      </c>
    </row>
    <row r="129" spans="1:19" s="292" customFormat="1" ht="32.1" customHeight="1">
      <c r="A129" s="419" t="s">
        <v>134</v>
      </c>
      <c r="B129" s="238" t="s">
        <v>1742</v>
      </c>
      <c r="C129" s="238" t="s">
        <v>3853</v>
      </c>
      <c r="D129" s="119">
        <v>15</v>
      </c>
      <c r="E129" s="79"/>
      <c r="F129" s="79">
        <v>0</v>
      </c>
      <c r="G129" s="79"/>
      <c r="H129" s="79"/>
      <c r="I129" s="79"/>
      <c r="J129" s="79"/>
      <c r="K129" s="79"/>
      <c r="L129" s="79"/>
      <c r="M129" s="79"/>
      <c r="N129" s="79"/>
      <c r="O129" s="79"/>
      <c r="P129" s="79">
        <v>0</v>
      </c>
      <c r="Q129" s="139">
        <f t="shared" si="7"/>
        <v>0</v>
      </c>
      <c r="R129" s="144" t="str">
        <f t="shared" si="5"/>
        <v>SI</v>
      </c>
      <c r="S129" s="145" t="str">
        <f t="shared" si="6"/>
        <v>Sin Riesgo</v>
      </c>
    </row>
    <row r="130" spans="1:19" s="292" customFormat="1" ht="32.1" customHeight="1">
      <c r="A130" s="419" t="s">
        <v>134</v>
      </c>
      <c r="B130" s="238" t="s">
        <v>16</v>
      </c>
      <c r="C130" s="238" t="s">
        <v>3854</v>
      </c>
      <c r="D130" s="114">
        <v>22</v>
      </c>
      <c r="E130" s="79"/>
      <c r="F130" s="79">
        <v>97.34</v>
      </c>
      <c r="G130" s="79"/>
      <c r="H130" s="79"/>
      <c r="I130" s="79"/>
      <c r="J130" s="79"/>
      <c r="K130" s="79"/>
      <c r="L130" s="79"/>
      <c r="M130" s="79"/>
      <c r="N130" s="79"/>
      <c r="O130" s="79"/>
      <c r="P130" s="79">
        <v>97.34</v>
      </c>
      <c r="Q130" s="139">
        <f t="shared" si="7"/>
        <v>97.34</v>
      </c>
      <c r="R130" s="144" t="str">
        <f t="shared" si="5"/>
        <v>NO</v>
      </c>
      <c r="S130" s="145" t="str">
        <f t="shared" si="6"/>
        <v>Inviable Sanitariamente</v>
      </c>
    </row>
    <row r="131" spans="1:19" s="59" customFormat="1" ht="32.1" customHeight="1">
      <c r="A131" s="419" t="s">
        <v>135</v>
      </c>
      <c r="B131" s="238" t="s">
        <v>3855</v>
      </c>
      <c r="C131" s="238" t="s">
        <v>3856</v>
      </c>
      <c r="D131" s="119">
        <v>180</v>
      </c>
      <c r="E131" s="79"/>
      <c r="F131" s="79"/>
      <c r="G131" s="79"/>
      <c r="H131" s="79"/>
      <c r="I131" s="79"/>
      <c r="J131" s="79"/>
      <c r="K131" s="79"/>
      <c r="L131" s="79"/>
      <c r="M131" s="79">
        <v>97.3</v>
      </c>
      <c r="N131" s="79"/>
      <c r="O131" s="79"/>
      <c r="P131" s="79"/>
      <c r="Q131" s="139">
        <f t="shared" si="7"/>
        <v>97.3</v>
      </c>
      <c r="R131" s="144" t="str">
        <f t="shared" si="5"/>
        <v>NO</v>
      </c>
      <c r="S131" s="145" t="str">
        <f t="shared" si="6"/>
        <v>Inviable Sanitariamente</v>
      </c>
    </row>
    <row r="132" spans="1:19" s="59" customFormat="1" ht="32.1" customHeight="1">
      <c r="A132" s="419" t="s">
        <v>135</v>
      </c>
      <c r="B132" s="238" t="s">
        <v>3</v>
      </c>
      <c r="C132" s="238" t="s">
        <v>3857</v>
      </c>
      <c r="D132" s="119"/>
      <c r="E132" s="79"/>
      <c r="F132" s="79"/>
      <c r="G132" s="79"/>
      <c r="H132" s="79"/>
      <c r="I132" s="79"/>
      <c r="J132" s="79"/>
      <c r="K132" s="79"/>
      <c r="L132" s="79"/>
      <c r="M132" s="79"/>
      <c r="N132" s="79"/>
      <c r="O132" s="79"/>
      <c r="P132" s="79"/>
      <c r="Q132" s="139" t="e">
        <f t="shared" si="7"/>
        <v>#DIV/0!</v>
      </c>
      <c r="R132" s="144" t="e">
        <f t="shared" si="5"/>
        <v>#DIV/0!</v>
      </c>
      <c r="S132" s="145" t="e">
        <f t="shared" si="6"/>
        <v>#DIV/0!</v>
      </c>
    </row>
    <row r="133" spans="1:19" s="59" customFormat="1" ht="32.1" customHeight="1">
      <c r="A133" s="419" t="s">
        <v>135</v>
      </c>
      <c r="B133" s="238" t="s">
        <v>3858</v>
      </c>
      <c r="C133" s="238" t="s">
        <v>3859</v>
      </c>
      <c r="D133" s="119"/>
      <c r="E133" s="79"/>
      <c r="F133" s="79"/>
      <c r="G133" s="79"/>
      <c r="H133" s="79"/>
      <c r="I133" s="79"/>
      <c r="J133" s="79"/>
      <c r="K133" s="79"/>
      <c r="L133" s="79"/>
      <c r="M133" s="79"/>
      <c r="N133" s="79"/>
      <c r="O133" s="79"/>
      <c r="P133" s="79"/>
      <c r="Q133" s="139" t="e">
        <f t="shared" si="7"/>
        <v>#DIV/0!</v>
      </c>
      <c r="R133" s="144" t="e">
        <f t="shared" si="5"/>
        <v>#DIV/0!</v>
      </c>
      <c r="S133" s="145" t="e">
        <f t="shared" si="6"/>
        <v>#DIV/0!</v>
      </c>
    </row>
    <row r="134" spans="1:19" s="59" customFormat="1" ht="32.1" customHeight="1">
      <c r="A134" s="419" t="s">
        <v>135</v>
      </c>
      <c r="B134" s="238" t="s">
        <v>3860</v>
      </c>
      <c r="C134" s="238" t="s">
        <v>3861</v>
      </c>
      <c r="D134" s="119">
        <v>45</v>
      </c>
      <c r="E134" s="79"/>
      <c r="F134" s="79"/>
      <c r="G134" s="79"/>
      <c r="H134" s="79"/>
      <c r="I134" s="79"/>
      <c r="J134" s="79"/>
      <c r="K134" s="79"/>
      <c r="L134" s="79"/>
      <c r="M134" s="79"/>
      <c r="N134" s="79"/>
      <c r="O134" s="79">
        <v>97.35</v>
      </c>
      <c r="P134" s="79"/>
      <c r="Q134" s="139">
        <f t="shared" si="7"/>
        <v>97.35</v>
      </c>
      <c r="R134" s="144" t="str">
        <f t="shared" si="5"/>
        <v>NO</v>
      </c>
      <c r="S134" s="145" t="str">
        <f t="shared" si="6"/>
        <v>Inviable Sanitariamente</v>
      </c>
    </row>
    <row r="135" spans="1:19" s="59" customFormat="1" ht="32.1" customHeight="1">
      <c r="A135" s="419" t="s">
        <v>135</v>
      </c>
      <c r="B135" s="238" t="s">
        <v>2681</v>
      </c>
      <c r="C135" s="238" t="s">
        <v>3862</v>
      </c>
      <c r="D135" s="119">
        <v>35</v>
      </c>
      <c r="E135" s="79"/>
      <c r="F135" s="79"/>
      <c r="G135" s="79"/>
      <c r="H135" s="79"/>
      <c r="I135" s="79"/>
      <c r="J135" s="79"/>
      <c r="K135" s="79"/>
      <c r="L135" s="79"/>
      <c r="M135" s="79"/>
      <c r="N135" s="79">
        <v>97.35</v>
      </c>
      <c r="O135" s="79"/>
      <c r="P135" s="79"/>
      <c r="Q135" s="139">
        <f t="shared" si="7"/>
        <v>97.35</v>
      </c>
      <c r="R135" s="144" t="str">
        <f t="shared" si="5"/>
        <v>NO</v>
      </c>
      <c r="S135" s="145" t="str">
        <f t="shared" si="6"/>
        <v>Inviable Sanitariamente</v>
      </c>
    </row>
    <row r="136" spans="1:19" s="59" customFormat="1" ht="32.1" customHeight="1">
      <c r="A136" s="419" t="s">
        <v>135</v>
      </c>
      <c r="B136" s="238" t="s">
        <v>1907</v>
      </c>
      <c r="C136" s="238" t="s">
        <v>3863</v>
      </c>
      <c r="D136" s="119">
        <v>425</v>
      </c>
      <c r="E136" s="79"/>
      <c r="F136" s="79"/>
      <c r="G136" s="79"/>
      <c r="H136" s="79"/>
      <c r="I136" s="79"/>
      <c r="J136" s="79">
        <v>100</v>
      </c>
      <c r="K136" s="79"/>
      <c r="L136" s="79"/>
      <c r="M136" s="79"/>
      <c r="N136" s="79"/>
      <c r="O136" s="79"/>
      <c r="P136" s="79"/>
      <c r="Q136" s="139">
        <f t="shared" si="7"/>
        <v>100</v>
      </c>
      <c r="R136" s="144" t="str">
        <f t="shared" si="5"/>
        <v>NO</v>
      </c>
      <c r="S136" s="145" t="str">
        <f t="shared" si="6"/>
        <v>Inviable Sanitariamente</v>
      </c>
    </row>
    <row r="137" spans="1:19" s="59" customFormat="1" ht="32.1" customHeight="1">
      <c r="A137" s="419" t="s">
        <v>135</v>
      </c>
      <c r="B137" s="238" t="s">
        <v>2681</v>
      </c>
      <c r="C137" s="238" t="s">
        <v>3864</v>
      </c>
      <c r="D137" s="119">
        <v>103</v>
      </c>
      <c r="E137" s="79"/>
      <c r="F137" s="79"/>
      <c r="G137" s="79">
        <v>97.3</v>
      </c>
      <c r="H137" s="79"/>
      <c r="I137" s="79"/>
      <c r="J137" s="79"/>
      <c r="K137" s="79"/>
      <c r="L137" s="79"/>
      <c r="M137" s="79"/>
      <c r="N137" s="79"/>
      <c r="O137" s="79"/>
      <c r="P137" s="79"/>
      <c r="Q137" s="139">
        <f t="shared" si="7"/>
        <v>97.3</v>
      </c>
      <c r="R137" s="144" t="str">
        <f t="shared" si="5"/>
        <v>NO</v>
      </c>
      <c r="S137" s="145" t="str">
        <f t="shared" si="6"/>
        <v>Inviable Sanitariamente</v>
      </c>
    </row>
    <row r="138" spans="1:19" s="59" customFormat="1" ht="38.25" customHeight="1">
      <c r="A138" s="419" t="s">
        <v>135</v>
      </c>
      <c r="B138" s="238" t="s">
        <v>3865</v>
      </c>
      <c r="C138" s="238" t="s">
        <v>3866</v>
      </c>
      <c r="D138" s="114">
        <v>40</v>
      </c>
      <c r="E138" s="79"/>
      <c r="F138" s="79"/>
      <c r="G138" s="79"/>
      <c r="H138" s="79"/>
      <c r="I138" s="79"/>
      <c r="J138" s="79"/>
      <c r="K138" s="79"/>
      <c r="L138" s="79">
        <v>97.35</v>
      </c>
      <c r="M138" s="79"/>
      <c r="N138" s="79"/>
      <c r="O138" s="79"/>
      <c r="P138" s="79"/>
      <c r="Q138" s="139">
        <f t="shared" si="7"/>
        <v>97.35</v>
      </c>
      <c r="R138" s="144" t="str">
        <f t="shared" si="5"/>
        <v>NO</v>
      </c>
      <c r="S138" s="145" t="str">
        <f t="shared" si="6"/>
        <v>Inviable Sanitariamente</v>
      </c>
    </row>
    <row r="139" spans="1:19" s="59" customFormat="1" ht="37.5" customHeight="1">
      <c r="A139" s="419" t="s">
        <v>135</v>
      </c>
      <c r="B139" s="238" t="s">
        <v>1990</v>
      </c>
      <c r="C139" s="238" t="s">
        <v>3867</v>
      </c>
      <c r="D139" s="119">
        <v>40</v>
      </c>
      <c r="E139" s="79"/>
      <c r="F139" s="79"/>
      <c r="G139" s="79">
        <v>97.3</v>
      </c>
      <c r="H139" s="79"/>
      <c r="I139" s="79"/>
      <c r="J139" s="79"/>
      <c r="K139" s="79"/>
      <c r="L139" s="79"/>
      <c r="M139" s="79"/>
      <c r="N139" s="79"/>
      <c r="O139" s="79"/>
      <c r="P139" s="79"/>
      <c r="Q139" s="139">
        <f t="shared" ref="Q139:Q155" si="8">AVERAGE(E139:P139)</f>
        <v>97.3</v>
      </c>
      <c r="R139" s="144" t="str">
        <f t="shared" ref="R139:R203" si="9">IF(Q139&lt;5,"SI","NO")</f>
        <v>NO</v>
      </c>
      <c r="S139" s="145" t="str">
        <f t="shared" ref="S139:S202" si="10">IF(Q139&lt;=5,"Sin Riesgo",IF(Q139 &lt;=14,"Bajo",IF(Q139&lt;=35,"Medio",IF(Q139&lt;=80,"Alto","Inviable Sanitariamente"))))</f>
        <v>Inviable Sanitariamente</v>
      </c>
    </row>
    <row r="140" spans="1:19" s="59" customFormat="1" ht="32.1" customHeight="1">
      <c r="A140" s="419" t="s">
        <v>135</v>
      </c>
      <c r="B140" s="238" t="s">
        <v>820</v>
      </c>
      <c r="C140" s="238" t="s">
        <v>3868</v>
      </c>
      <c r="D140" s="119"/>
      <c r="E140" s="79"/>
      <c r="F140" s="79"/>
      <c r="G140" s="79"/>
      <c r="H140" s="79"/>
      <c r="I140" s="79"/>
      <c r="J140" s="79"/>
      <c r="K140" s="79"/>
      <c r="L140" s="79"/>
      <c r="M140" s="79"/>
      <c r="N140" s="79"/>
      <c r="O140" s="79"/>
      <c r="P140" s="79"/>
      <c r="Q140" s="139" t="e">
        <f t="shared" si="8"/>
        <v>#DIV/0!</v>
      </c>
      <c r="R140" s="144" t="e">
        <f t="shared" si="9"/>
        <v>#DIV/0!</v>
      </c>
      <c r="S140" s="145" t="e">
        <f t="shared" si="10"/>
        <v>#DIV/0!</v>
      </c>
    </row>
    <row r="141" spans="1:19" s="59" customFormat="1" ht="32.1" customHeight="1">
      <c r="A141" s="419" t="s">
        <v>135</v>
      </c>
      <c r="B141" s="238" t="s">
        <v>0</v>
      </c>
      <c r="C141" s="238" t="s">
        <v>3869</v>
      </c>
      <c r="D141" s="114"/>
      <c r="E141" s="79"/>
      <c r="F141" s="79"/>
      <c r="G141" s="79"/>
      <c r="H141" s="79"/>
      <c r="I141" s="79"/>
      <c r="J141" s="79"/>
      <c r="K141" s="79"/>
      <c r="L141" s="79"/>
      <c r="M141" s="79"/>
      <c r="N141" s="79"/>
      <c r="O141" s="79"/>
      <c r="P141" s="79"/>
      <c r="Q141" s="139" t="e">
        <f t="shared" si="8"/>
        <v>#DIV/0!</v>
      </c>
      <c r="R141" s="144" t="e">
        <f t="shared" si="9"/>
        <v>#DIV/0!</v>
      </c>
      <c r="S141" s="145" t="e">
        <f t="shared" si="10"/>
        <v>#DIV/0!</v>
      </c>
    </row>
    <row r="142" spans="1:19" s="59" customFormat="1" ht="32.1" customHeight="1">
      <c r="A142" s="419" t="s">
        <v>135</v>
      </c>
      <c r="B142" s="238" t="s">
        <v>3870</v>
      </c>
      <c r="C142" s="238" t="s">
        <v>3871</v>
      </c>
      <c r="D142" s="119">
        <v>73</v>
      </c>
      <c r="E142" s="79"/>
      <c r="F142" s="79">
        <v>97.3</v>
      </c>
      <c r="G142" s="79"/>
      <c r="H142" s="79"/>
      <c r="I142" s="79"/>
      <c r="J142" s="79"/>
      <c r="K142" s="79"/>
      <c r="L142" s="79"/>
      <c r="M142" s="79"/>
      <c r="N142" s="79"/>
      <c r="O142" s="79"/>
      <c r="P142" s="79"/>
      <c r="Q142" s="139">
        <f t="shared" si="8"/>
        <v>97.3</v>
      </c>
      <c r="R142" s="144" t="str">
        <f t="shared" si="9"/>
        <v>NO</v>
      </c>
      <c r="S142" s="145" t="str">
        <f t="shared" si="10"/>
        <v>Inviable Sanitariamente</v>
      </c>
    </row>
    <row r="143" spans="1:19" s="59" customFormat="1" ht="32.1" customHeight="1">
      <c r="A143" s="419" t="s">
        <v>135</v>
      </c>
      <c r="B143" s="238" t="s">
        <v>1425</v>
      </c>
      <c r="C143" s="238" t="s">
        <v>3872</v>
      </c>
      <c r="D143" s="119"/>
      <c r="E143" s="79"/>
      <c r="F143" s="79"/>
      <c r="G143" s="79"/>
      <c r="H143" s="79"/>
      <c r="I143" s="79"/>
      <c r="J143" s="79"/>
      <c r="K143" s="79"/>
      <c r="L143" s="79"/>
      <c r="M143" s="79"/>
      <c r="N143" s="79"/>
      <c r="O143" s="79"/>
      <c r="P143" s="79"/>
      <c r="Q143" s="139" t="e">
        <f t="shared" si="8"/>
        <v>#DIV/0!</v>
      </c>
      <c r="R143" s="144" t="e">
        <f t="shared" si="9"/>
        <v>#DIV/0!</v>
      </c>
      <c r="S143" s="145" t="e">
        <f t="shared" si="10"/>
        <v>#DIV/0!</v>
      </c>
    </row>
    <row r="144" spans="1:19" s="59" customFormat="1" ht="32.1" customHeight="1">
      <c r="A144" s="419" t="s">
        <v>135</v>
      </c>
      <c r="B144" s="238" t="s">
        <v>3873</v>
      </c>
      <c r="C144" s="238" t="s">
        <v>3874</v>
      </c>
      <c r="D144" s="114"/>
      <c r="E144" s="79"/>
      <c r="F144" s="79"/>
      <c r="G144" s="79"/>
      <c r="H144" s="79"/>
      <c r="I144" s="79"/>
      <c r="J144" s="79"/>
      <c r="K144" s="79"/>
      <c r="L144" s="79"/>
      <c r="M144" s="79"/>
      <c r="N144" s="79"/>
      <c r="O144" s="79"/>
      <c r="P144" s="79"/>
      <c r="Q144" s="139" t="e">
        <f t="shared" si="8"/>
        <v>#DIV/0!</v>
      </c>
      <c r="R144" s="144" t="e">
        <f t="shared" si="9"/>
        <v>#DIV/0!</v>
      </c>
      <c r="S144" s="145" t="e">
        <f t="shared" si="10"/>
        <v>#DIV/0!</v>
      </c>
    </row>
    <row r="145" spans="1:19" s="59" customFormat="1" ht="32.1" customHeight="1">
      <c r="A145" s="419" t="s">
        <v>135</v>
      </c>
      <c r="B145" s="238" t="s">
        <v>3875</v>
      </c>
      <c r="C145" s="238" t="s">
        <v>3876</v>
      </c>
      <c r="D145" s="119"/>
      <c r="E145" s="79"/>
      <c r="F145" s="79"/>
      <c r="G145" s="79"/>
      <c r="H145" s="79"/>
      <c r="I145" s="79"/>
      <c r="J145" s="79"/>
      <c r="K145" s="79"/>
      <c r="L145" s="79"/>
      <c r="M145" s="79"/>
      <c r="N145" s="79"/>
      <c r="O145" s="79"/>
      <c r="P145" s="79"/>
      <c r="Q145" s="139" t="e">
        <f t="shared" si="8"/>
        <v>#DIV/0!</v>
      </c>
      <c r="R145" s="144" t="e">
        <f t="shared" si="9"/>
        <v>#DIV/0!</v>
      </c>
      <c r="S145" s="145" t="e">
        <f t="shared" si="10"/>
        <v>#DIV/0!</v>
      </c>
    </row>
    <row r="146" spans="1:19" s="59" customFormat="1" ht="32.1" customHeight="1">
      <c r="A146" s="419" t="s">
        <v>135</v>
      </c>
      <c r="B146" s="238" t="s">
        <v>3877</v>
      </c>
      <c r="C146" s="238" t="s">
        <v>3878</v>
      </c>
      <c r="D146" s="119"/>
      <c r="E146" s="79"/>
      <c r="F146" s="79"/>
      <c r="G146" s="79"/>
      <c r="H146" s="79"/>
      <c r="I146" s="79"/>
      <c r="J146" s="79"/>
      <c r="K146" s="79"/>
      <c r="L146" s="79"/>
      <c r="M146" s="79"/>
      <c r="N146" s="79"/>
      <c r="O146" s="79"/>
      <c r="P146" s="79"/>
      <c r="Q146" s="139" t="e">
        <f t="shared" si="8"/>
        <v>#DIV/0!</v>
      </c>
      <c r="R146" s="144" t="e">
        <f t="shared" si="9"/>
        <v>#DIV/0!</v>
      </c>
      <c r="S146" s="145" t="e">
        <f t="shared" si="10"/>
        <v>#DIV/0!</v>
      </c>
    </row>
    <row r="147" spans="1:19" s="59" customFormat="1" ht="32.1" customHeight="1">
      <c r="A147" s="419" t="s">
        <v>135</v>
      </c>
      <c r="B147" s="238" t="s">
        <v>3879</v>
      </c>
      <c r="C147" s="238" t="s">
        <v>3880</v>
      </c>
      <c r="D147" s="119">
        <v>72</v>
      </c>
      <c r="E147" s="79"/>
      <c r="F147" s="79"/>
      <c r="G147" s="79"/>
      <c r="H147" s="79"/>
      <c r="I147" s="79"/>
      <c r="J147" s="79"/>
      <c r="K147" s="79"/>
      <c r="L147" s="79"/>
      <c r="M147" s="79"/>
      <c r="N147" s="79">
        <v>97.35</v>
      </c>
      <c r="O147" s="79"/>
      <c r="P147" s="79"/>
      <c r="Q147" s="139">
        <f t="shared" si="8"/>
        <v>97.35</v>
      </c>
      <c r="R147" s="144" t="str">
        <f t="shared" si="9"/>
        <v>NO</v>
      </c>
      <c r="S147" s="145" t="str">
        <f t="shared" si="10"/>
        <v>Inviable Sanitariamente</v>
      </c>
    </row>
    <row r="148" spans="1:19" s="59" customFormat="1" ht="32.1" customHeight="1">
      <c r="A148" s="419" t="s">
        <v>135</v>
      </c>
      <c r="B148" s="238" t="s">
        <v>3881</v>
      </c>
      <c r="C148" s="238" t="s">
        <v>3882</v>
      </c>
      <c r="D148" s="119"/>
      <c r="E148" s="79"/>
      <c r="F148" s="79"/>
      <c r="G148" s="79"/>
      <c r="H148" s="79"/>
      <c r="I148" s="79"/>
      <c r="J148" s="79"/>
      <c r="K148" s="79"/>
      <c r="L148" s="79"/>
      <c r="M148" s="79"/>
      <c r="N148" s="79"/>
      <c r="O148" s="79"/>
      <c r="P148" s="79"/>
      <c r="Q148" s="139" t="e">
        <f t="shared" si="8"/>
        <v>#DIV/0!</v>
      </c>
      <c r="R148" s="144" t="e">
        <f t="shared" si="9"/>
        <v>#DIV/0!</v>
      </c>
      <c r="S148" s="145" t="e">
        <f t="shared" si="10"/>
        <v>#DIV/0!</v>
      </c>
    </row>
    <row r="149" spans="1:19" s="59" customFormat="1" ht="32.1" customHeight="1">
      <c r="A149" s="419" t="s">
        <v>135</v>
      </c>
      <c r="B149" s="238" t="s">
        <v>1886</v>
      </c>
      <c r="C149" s="238" t="s">
        <v>3883</v>
      </c>
      <c r="D149" s="119"/>
      <c r="E149" s="79"/>
      <c r="F149" s="79"/>
      <c r="G149" s="79"/>
      <c r="H149" s="79"/>
      <c r="I149" s="79"/>
      <c r="J149" s="79"/>
      <c r="K149" s="79"/>
      <c r="L149" s="79"/>
      <c r="M149" s="79"/>
      <c r="N149" s="79"/>
      <c r="O149" s="79"/>
      <c r="P149" s="79"/>
      <c r="Q149" s="139" t="e">
        <f t="shared" si="8"/>
        <v>#DIV/0!</v>
      </c>
      <c r="R149" s="144" t="e">
        <f t="shared" si="9"/>
        <v>#DIV/0!</v>
      </c>
      <c r="S149" s="145" t="e">
        <f t="shared" si="10"/>
        <v>#DIV/0!</v>
      </c>
    </row>
    <row r="150" spans="1:19" s="59" customFormat="1" ht="32.1" customHeight="1">
      <c r="A150" s="419" t="s">
        <v>135</v>
      </c>
      <c r="B150" s="238" t="s">
        <v>3884</v>
      </c>
      <c r="C150" s="238" t="s">
        <v>3885</v>
      </c>
      <c r="D150" s="119"/>
      <c r="E150" s="79"/>
      <c r="F150" s="79"/>
      <c r="G150" s="79"/>
      <c r="H150" s="79"/>
      <c r="I150" s="79"/>
      <c r="J150" s="79"/>
      <c r="K150" s="79"/>
      <c r="L150" s="79"/>
      <c r="M150" s="79"/>
      <c r="N150" s="79"/>
      <c r="O150" s="79"/>
      <c r="P150" s="79"/>
      <c r="Q150" s="139" t="e">
        <f t="shared" si="8"/>
        <v>#DIV/0!</v>
      </c>
      <c r="R150" s="144" t="e">
        <f t="shared" si="9"/>
        <v>#DIV/0!</v>
      </c>
      <c r="S150" s="145" t="e">
        <f t="shared" si="10"/>
        <v>#DIV/0!</v>
      </c>
    </row>
    <row r="151" spans="1:19" s="59" customFormat="1" ht="32.1" customHeight="1">
      <c r="A151" s="419" t="s">
        <v>135</v>
      </c>
      <c r="B151" s="238" t="s">
        <v>3111</v>
      </c>
      <c r="C151" s="238" t="s">
        <v>3886</v>
      </c>
      <c r="D151" s="119"/>
      <c r="E151" s="79"/>
      <c r="F151" s="79"/>
      <c r="G151" s="79"/>
      <c r="H151" s="79"/>
      <c r="I151" s="79"/>
      <c r="J151" s="79"/>
      <c r="K151" s="79"/>
      <c r="L151" s="79"/>
      <c r="M151" s="79"/>
      <c r="N151" s="79"/>
      <c r="O151" s="79"/>
      <c r="P151" s="79"/>
      <c r="Q151" s="139" t="e">
        <f t="shared" si="8"/>
        <v>#DIV/0!</v>
      </c>
      <c r="R151" s="144" t="e">
        <f t="shared" si="9"/>
        <v>#DIV/0!</v>
      </c>
      <c r="S151" s="145" t="e">
        <f t="shared" si="10"/>
        <v>#DIV/0!</v>
      </c>
    </row>
    <row r="152" spans="1:19" s="59" customFormat="1" ht="32.1" customHeight="1">
      <c r="A152" s="419" t="s">
        <v>135</v>
      </c>
      <c r="B152" s="238" t="s">
        <v>3887</v>
      </c>
      <c r="C152" s="238" t="s">
        <v>3888</v>
      </c>
      <c r="D152" s="119"/>
      <c r="E152" s="79"/>
      <c r="F152" s="79"/>
      <c r="G152" s="79"/>
      <c r="H152" s="79"/>
      <c r="I152" s="79"/>
      <c r="J152" s="79"/>
      <c r="K152" s="79"/>
      <c r="L152" s="79"/>
      <c r="M152" s="79"/>
      <c r="N152" s="79"/>
      <c r="O152" s="79"/>
      <c r="P152" s="79"/>
      <c r="Q152" s="139" t="e">
        <f t="shared" si="8"/>
        <v>#DIV/0!</v>
      </c>
      <c r="R152" s="144" t="e">
        <f t="shared" si="9"/>
        <v>#DIV/0!</v>
      </c>
      <c r="S152" s="145" t="e">
        <f t="shared" si="10"/>
        <v>#DIV/0!</v>
      </c>
    </row>
    <row r="153" spans="1:19" s="59" customFormat="1" ht="32.1" customHeight="1">
      <c r="A153" s="419" t="s">
        <v>135</v>
      </c>
      <c r="B153" s="238" t="s">
        <v>3889</v>
      </c>
      <c r="C153" s="238" t="s">
        <v>3890</v>
      </c>
      <c r="D153" s="119">
        <v>25</v>
      </c>
      <c r="E153" s="79"/>
      <c r="F153" s="79"/>
      <c r="G153" s="79"/>
      <c r="H153" s="79"/>
      <c r="I153" s="79"/>
      <c r="J153" s="79"/>
      <c r="K153" s="79"/>
      <c r="L153" s="79"/>
      <c r="M153" s="79">
        <v>97.3</v>
      </c>
      <c r="N153" s="79"/>
      <c r="O153" s="79"/>
      <c r="P153" s="79"/>
      <c r="Q153" s="139">
        <f t="shared" si="8"/>
        <v>97.3</v>
      </c>
      <c r="R153" s="144" t="str">
        <f t="shared" si="9"/>
        <v>NO</v>
      </c>
      <c r="S153" s="145" t="str">
        <f t="shared" si="10"/>
        <v>Inviable Sanitariamente</v>
      </c>
    </row>
    <row r="154" spans="1:19" s="59" customFormat="1" ht="32.1" customHeight="1">
      <c r="A154" s="419" t="s">
        <v>135</v>
      </c>
      <c r="B154" s="238" t="s">
        <v>3891</v>
      </c>
      <c r="C154" s="238" t="s">
        <v>3892</v>
      </c>
      <c r="D154" s="119">
        <v>20</v>
      </c>
      <c r="E154" s="79"/>
      <c r="F154" s="79"/>
      <c r="G154" s="79"/>
      <c r="H154" s="79"/>
      <c r="I154" s="79"/>
      <c r="J154" s="79"/>
      <c r="K154" s="79"/>
      <c r="L154" s="79"/>
      <c r="M154" s="79">
        <v>97.3</v>
      </c>
      <c r="N154" s="79"/>
      <c r="O154" s="79"/>
      <c r="P154" s="79"/>
      <c r="Q154" s="139">
        <f t="shared" si="8"/>
        <v>97.3</v>
      </c>
      <c r="R154" s="144" t="str">
        <f t="shared" si="9"/>
        <v>NO</v>
      </c>
      <c r="S154" s="145" t="str">
        <f t="shared" si="10"/>
        <v>Inviable Sanitariamente</v>
      </c>
    </row>
    <row r="155" spans="1:19" s="59" customFormat="1" ht="32.1" customHeight="1">
      <c r="A155" s="419" t="s">
        <v>135</v>
      </c>
      <c r="B155" s="238" t="s">
        <v>1542</v>
      </c>
      <c r="C155" s="238" t="s">
        <v>3893</v>
      </c>
      <c r="D155" s="119">
        <v>10</v>
      </c>
      <c r="E155" s="79"/>
      <c r="F155" s="79"/>
      <c r="G155" s="79"/>
      <c r="H155" s="79"/>
      <c r="I155" s="79"/>
      <c r="J155" s="79"/>
      <c r="K155" s="79"/>
      <c r="L155" s="79"/>
      <c r="M155" s="79">
        <v>97.3</v>
      </c>
      <c r="N155" s="79"/>
      <c r="O155" s="79"/>
      <c r="P155" s="79"/>
      <c r="Q155" s="139">
        <f t="shared" si="8"/>
        <v>97.3</v>
      </c>
      <c r="R155" s="144" t="str">
        <f t="shared" si="9"/>
        <v>NO</v>
      </c>
      <c r="S155" s="145" t="str">
        <f t="shared" si="10"/>
        <v>Inviable Sanitariamente</v>
      </c>
    </row>
    <row r="156" spans="1:19" s="59" customFormat="1" ht="32.1" customHeight="1">
      <c r="A156" s="419" t="s">
        <v>135</v>
      </c>
      <c r="B156" s="238" t="s">
        <v>3894</v>
      </c>
      <c r="C156" s="238" t="s">
        <v>3895</v>
      </c>
      <c r="D156" s="119"/>
      <c r="E156" s="79"/>
      <c r="F156" s="79"/>
      <c r="G156" s="79"/>
      <c r="H156" s="79"/>
      <c r="I156" s="79"/>
      <c r="J156" s="79"/>
      <c r="K156" s="79"/>
      <c r="L156" s="79"/>
      <c r="M156" s="79"/>
      <c r="N156" s="79"/>
      <c r="O156" s="79"/>
      <c r="P156" s="79"/>
      <c r="Q156" s="139">
        <f t="shared" ref="Q156:Q162" si="11">AVERAGE(E158:P158)</f>
        <v>97.35</v>
      </c>
      <c r="R156" s="144" t="str">
        <f t="shared" si="9"/>
        <v>NO</v>
      </c>
      <c r="S156" s="145" t="str">
        <f t="shared" si="10"/>
        <v>Inviable Sanitariamente</v>
      </c>
    </row>
    <row r="157" spans="1:19" s="59" customFormat="1" ht="32.1" customHeight="1">
      <c r="A157" s="419" t="s">
        <v>135</v>
      </c>
      <c r="B157" s="238" t="s">
        <v>2</v>
      </c>
      <c r="C157" s="238" t="s">
        <v>3896</v>
      </c>
      <c r="D157" s="119"/>
      <c r="E157" s="79"/>
      <c r="F157" s="79"/>
      <c r="G157" s="79"/>
      <c r="H157" s="79"/>
      <c r="I157" s="79"/>
      <c r="J157" s="79"/>
      <c r="K157" s="79"/>
      <c r="L157" s="79"/>
      <c r="M157" s="79"/>
      <c r="N157" s="79"/>
      <c r="O157" s="79"/>
      <c r="P157" s="79"/>
      <c r="Q157" s="139" t="e">
        <f t="shared" si="11"/>
        <v>#DIV/0!</v>
      </c>
      <c r="R157" s="144" t="e">
        <f t="shared" si="9"/>
        <v>#DIV/0!</v>
      </c>
      <c r="S157" s="145" t="e">
        <f t="shared" si="10"/>
        <v>#DIV/0!</v>
      </c>
    </row>
    <row r="158" spans="1:19" s="59" customFormat="1" ht="32.1" customHeight="1">
      <c r="A158" s="419" t="s">
        <v>135</v>
      </c>
      <c r="B158" s="238" t="s">
        <v>3897</v>
      </c>
      <c r="C158" s="238" t="s">
        <v>3898</v>
      </c>
      <c r="D158" s="119">
        <v>20</v>
      </c>
      <c r="E158" s="79"/>
      <c r="F158" s="79"/>
      <c r="G158" s="79"/>
      <c r="H158" s="79"/>
      <c r="I158" s="79"/>
      <c r="J158" s="79">
        <v>97.35</v>
      </c>
      <c r="K158" s="79"/>
      <c r="L158" s="79"/>
      <c r="M158" s="79"/>
      <c r="N158" s="79"/>
      <c r="O158" s="79"/>
      <c r="P158" s="79"/>
      <c r="Q158" s="139" t="e">
        <f t="shared" si="11"/>
        <v>#DIV/0!</v>
      </c>
      <c r="R158" s="144" t="e">
        <f t="shared" si="9"/>
        <v>#DIV/0!</v>
      </c>
      <c r="S158" s="145" t="e">
        <f t="shared" si="10"/>
        <v>#DIV/0!</v>
      </c>
    </row>
    <row r="159" spans="1:19" s="59" customFormat="1" ht="32.1" customHeight="1">
      <c r="A159" s="419" t="s">
        <v>135</v>
      </c>
      <c r="B159" s="238" t="s">
        <v>3899</v>
      </c>
      <c r="C159" s="238" t="s">
        <v>3900</v>
      </c>
      <c r="D159" s="119"/>
      <c r="E159" s="79"/>
      <c r="F159" s="79"/>
      <c r="G159" s="79"/>
      <c r="H159" s="79"/>
      <c r="I159" s="79"/>
      <c r="J159" s="79"/>
      <c r="K159" s="79"/>
      <c r="L159" s="79"/>
      <c r="M159" s="79"/>
      <c r="N159" s="79"/>
      <c r="O159" s="79"/>
      <c r="P159" s="79"/>
      <c r="Q159" s="139" t="e">
        <f t="shared" si="11"/>
        <v>#DIV/0!</v>
      </c>
      <c r="R159" s="144" t="e">
        <f t="shared" si="9"/>
        <v>#DIV/0!</v>
      </c>
      <c r="S159" s="145" t="e">
        <f t="shared" si="10"/>
        <v>#DIV/0!</v>
      </c>
    </row>
    <row r="160" spans="1:19" s="59" customFormat="1" ht="32.1" customHeight="1">
      <c r="A160" s="419" t="s">
        <v>135</v>
      </c>
      <c r="B160" s="238" t="s">
        <v>1547</v>
      </c>
      <c r="C160" s="238" t="s">
        <v>3901</v>
      </c>
      <c r="D160" s="119"/>
      <c r="E160" s="79"/>
      <c r="F160" s="79"/>
      <c r="G160" s="79"/>
      <c r="H160" s="79"/>
      <c r="I160" s="79"/>
      <c r="J160" s="79"/>
      <c r="K160" s="79"/>
      <c r="L160" s="79"/>
      <c r="M160" s="79"/>
      <c r="N160" s="79"/>
      <c r="O160" s="79"/>
      <c r="P160" s="79"/>
      <c r="Q160" s="139" t="e">
        <f t="shared" si="11"/>
        <v>#DIV/0!</v>
      </c>
      <c r="R160" s="144" t="e">
        <f t="shared" si="9"/>
        <v>#DIV/0!</v>
      </c>
      <c r="S160" s="145" t="e">
        <f t="shared" si="10"/>
        <v>#DIV/0!</v>
      </c>
    </row>
    <row r="161" spans="1:20" s="59" customFormat="1" ht="32.1" customHeight="1">
      <c r="A161" s="419" t="s">
        <v>135</v>
      </c>
      <c r="B161" s="238" t="s">
        <v>3902</v>
      </c>
      <c r="C161" s="238" t="s">
        <v>3903</v>
      </c>
      <c r="D161" s="119"/>
      <c r="E161" s="79"/>
      <c r="F161" s="79"/>
      <c r="G161" s="79"/>
      <c r="H161" s="79"/>
      <c r="I161" s="79"/>
      <c r="J161" s="79"/>
      <c r="K161" s="79"/>
      <c r="L161" s="79"/>
      <c r="M161" s="79"/>
      <c r="N161" s="79"/>
      <c r="O161" s="79"/>
      <c r="P161" s="79"/>
      <c r="Q161" s="139" t="e">
        <f t="shared" si="11"/>
        <v>#DIV/0!</v>
      </c>
      <c r="R161" s="144" t="e">
        <f t="shared" si="9"/>
        <v>#DIV/0!</v>
      </c>
      <c r="S161" s="145" t="e">
        <f t="shared" si="10"/>
        <v>#DIV/0!</v>
      </c>
    </row>
    <row r="162" spans="1:20" s="59" customFormat="1" ht="32.1" customHeight="1">
      <c r="A162" s="419" t="s">
        <v>135</v>
      </c>
      <c r="B162" s="238" t="s">
        <v>3904</v>
      </c>
      <c r="C162" s="238" t="s">
        <v>3905</v>
      </c>
      <c r="D162" s="119"/>
      <c r="E162" s="79"/>
      <c r="F162" s="79"/>
      <c r="G162" s="79"/>
      <c r="H162" s="79"/>
      <c r="I162" s="79"/>
      <c r="J162" s="79"/>
      <c r="K162" s="79"/>
      <c r="L162" s="79"/>
      <c r="M162" s="79"/>
      <c r="N162" s="79"/>
      <c r="O162" s="79"/>
      <c r="P162" s="79"/>
      <c r="Q162" s="139">
        <f t="shared" si="11"/>
        <v>97.3</v>
      </c>
      <c r="R162" s="144" t="str">
        <f t="shared" si="9"/>
        <v>NO</v>
      </c>
      <c r="S162" s="145" t="str">
        <f t="shared" si="10"/>
        <v>Inviable Sanitariamente</v>
      </c>
    </row>
    <row r="163" spans="1:20" s="59" customFormat="1" ht="32.1" customHeight="1">
      <c r="A163" s="419" t="s">
        <v>135</v>
      </c>
      <c r="B163" s="238" t="s">
        <v>2827</v>
      </c>
      <c r="C163" s="238" t="s">
        <v>3906</v>
      </c>
      <c r="D163" s="119"/>
      <c r="E163" s="79"/>
      <c r="F163" s="79"/>
      <c r="G163" s="79"/>
      <c r="H163" s="79"/>
      <c r="I163" s="79"/>
      <c r="J163" s="79"/>
      <c r="K163" s="79"/>
      <c r="L163" s="79"/>
      <c r="M163" s="79"/>
      <c r="N163" s="79"/>
      <c r="O163" s="79"/>
      <c r="P163" s="79"/>
      <c r="Q163" s="139" t="e">
        <f>AVERAGE(E163:P163)</f>
        <v>#DIV/0!</v>
      </c>
      <c r="R163" s="144" t="e">
        <f t="shared" si="9"/>
        <v>#DIV/0!</v>
      </c>
      <c r="S163" s="145" t="e">
        <f t="shared" si="10"/>
        <v>#DIV/0!</v>
      </c>
    </row>
    <row r="164" spans="1:20" s="59" customFormat="1" ht="32.1" customHeight="1">
      <c r="A164" s="419" t="s">
        <v>135</v>
      </c>
      <c r="B164" s="238" t="s">
        <v>3907</v>
      </c>
      <c r="C164" s="238" t="s">
        <v>3908</v>
      </c>
      <c r="D164" s="119">
        <v>160</v>
      </c>
      <c r="E164" s="79"/>
      <c r="F164" s="79">
        <v>97.3</v>
      </c>
      <c r="G164" s="79"/>
      <c r="H164" s="79"/>
      <c r="I164" s="79"/>
      <c r="J164" s="79"/>
      <c r="K164" s="79"/>
      <c r="L164" s="79"/>
      <c r="M164" s="79"/>
      <c r="N164" s="79"/>
      <c r="O164" s="79"/>
      <c r="P164" s="79"/>
      <c r="Q164" s="139">
        <f>AVERAGE(E164:P164)</f>
        <v>97.3</v>
      </c>
      <c r="R164" s="144" t="str">
        <f t="shared" si="9"/>
        <v>NO</v>
      </c>
      <c r="S164" s="145" t="str">
        <f t="shared" si="10"/>
        <v>Inviable Sanitariamente</v>
      </c>
    </row>
    <row r="165" spans="1:20" s="59" customFormat="1" ht="32.1" customHeight="1">
      <c r="A165" s="419" t="s">
        <v>135</v>
      </c>
      <c r="B165" s="238" t="s">
        <v>3909</v>
      </c>
      <c r="C165" s="238" t="s">
        <v>3910</v>
      </c>
      <c r="D165" s="119">
        <v>20</v>
      </c>
      <c r="E165" s="79">
        <v>90.32</v>
      </c>
      <c r="F165" s="79">
        <v>70.97</v>
      </c>
      <c r="G165" s="79">
        <v>98.06</v>
      </c>
      <c r="H165" s="79">
        <v>98.06</v>
      </c>
      <c r="I165" s="79">
        <v>70.97</v>
      </c>
      <c r="J165" s="79">
        <v>85.89</v>
      </c>
      <c r="K165" s="79">
        <v>90.32</v>
      </c>
      <c r="L165" s="79">
        <v>98.06</v>
      </c>
      <c r="M165" s="79">
        <v>90.32</v>
      </c>
      <c r="N165" s="79">
        <v>98.06</v>
      </c>
      <c r="O165" s="79"/>
      <c r="P165" s="79"/>
      <c r="Q165" s="139">
        <v>87.7</v>
      </c>
      <c r="R165" s="144" t="str">
        <f t="shared" si="9"/>
        <v>NO</v>
      </c>
      <c r="S165" s="145" t="str">
        <f t="shared" si="10"/>
        <v>Inviable Sanitariamente</v>
      </c>
    </row>
    <row r="166" spans="1:20" s="59" customFormat="1" ht="32.1" customHeight="1">
      <c r="A166" s="419" t="s">
        <v>135</v>
      </c>
      <c r="B166" s="238" t="s">
        <v>2198</v>
      </c>
      <c r="C166" s="238" t="s">
        <v>3911</v>
      </c>
      <c r="D166" s="119">
        <v>40</v>
      </c>
      <c r="E166" s="79"/>
      <c r="F166" s="79"/>
      <c r="G166" s="79"/>
      <c r="H166" s="79"/>
      <c r="I166" s="79">
        <v>97.3</v>
      </c>
      <c r="J166" s="79"/>
      <c r="K166" s="79"/>
      <c r="L166" s="79"/>
      <c r="M166" s="79"/>
      <c r="N166" s="79"/>
      <c r="O166" s="79"/>
      <c r="P166" s="79"/>
      <c r="Q166" s="139">
        <v>97.3</v>
      </c>
      <c r="R166" s="144" t="str">
        <f t="shared" si="9"/>
        <v>NO</v>
      </c>
      <c r="S166" s="145" t="str">
        <f t="shared" si="10"/>
        <v>Inviable Sanitariamente</v>
      </c>
    </row>
    <row r="167" spans="1:20" s="59" customFormat="1" ht="32.1" customHeight="1">
      <c r="A167" s="419" t="s">
        <v>135</v>
      </c>
      <c r="B167" s="238" t="s">
        <v>3912</v>
      </c>
      <c r="C167" s="238" t="s">
        <v>3913</v>
      </c>
      <c r="D167" s="119"/>
      <c r="E167" s="79"/>
      <c r="F167" s="79"/>
      <c r="G167" s="79"/>
      <c r="H167" s="79"/>
      <c r="I167" s="79"/>
      <c r="J167" s="79"/>
      <c r="K167" s="79"/>
      <c r="L167" s="79"/>
      <c r="M167" s="79"/>
      <c r="N167" s="79"/>
      <c r="O167" s="79"/>
      <c r="P167" s="79"/>
      <c r="Q167" s="139">
        <v>97.3</v>
      </c>
      <c r="R167" s="144" t="str">
        <f t="shared" ref="R167" si="12">IF(Q167&lt;5,"SI","NO")</f>
        <v>NO</v>
      </c>
      <c r="S167" s="145" t="str">
        <f t="shared" si="10"/>
        <v>Inviable Sanitariamente</v>
      </c>
    </row>
    <row r="168" spans="1:20" s="59" customFormat="1" ht="32.1" customHeight="1">
      <c r="A168" s="419" t="s">
        <v>135</v>
      </c>
      <c r="B168" s="238" t="s">
        <v>4528</v>
      </c>
      <c r="C168" s="238" t="s">
        <v>4529</v>
      </c>
      <c r="D168" s="119">
        <v>130</v>
      </c>
      <c r="E168" s="79"/>
      <c r="F168" s="79">
        <v>97.35</v>
      </c>
      <c r="G168" s="79"/>
      <c r="H168" s="79"/>
      <c r="I168" s="79"/>
      <c r="J168" s="79"/>
      <c r="K168" s="79"/>
      <c r="L168" s="79"/>
      <c r="M168" s="79"/>
      <c r="N168" s="79"/>
      <c r="O168" s="79"/>
      <c r="P168" s="79"/>
      <c r="Q168" s="139">
        <v>97.3</v>
      </c>
      <c r="R168" s="144" t="str">
        <f t="shared" si="9"/>
        <v>NO</v>
      </c>
      <c r="S168" s="145" t="str">
        <f t="shared" si="10"/>
        <v>Inviable Sanitariamente</v>
      </c>
    </row>
    <row r="169" spans="1:20" s="59" customFormat="1" ht="32.1" customHeight="1">
      <c r="A169" s="419" t="s">
        <v>136</v>
      </c>
      <c r="B169" s="238" t="s">
        <v>3914</v>
      </c>
      <c r="C169" s="486" t="s">
        <v>3915</v>
      </c>
      <c r="D169" s="119"/>
      <c r="E169" s="79"/>
      <c r="F169" s="79"/>
      <c r="G169" s="79"/>
      <c r="H169" s="79"/>
      <c r="I169" s="79"/>
      <c r="J169" s="79"/>
      <c r="K169" s="79"/>
      <c r="L169" s="79"/>
      <c r="M169" s="79"/>
      <c r="N169" s="79"/>
      <c r="O169" s="79"/>
      <c r="P169" s="79"/>
      <c r="Q169" s="139" t="e">
        <f t="shared" ref="Q169:Q200" si="13">AVERAGE(E169:P169)</f>
        <v>#DIV/0!</v>
      </c>
      <c r="R169" s="144" t="e">
        <f t="shared" si="9"/>
        <v>#DIV/0!</v>
      </c>
      <c r="S169" s="145" t="e">
        <f t="shared" si="10"/>
        <v>#DIV/0!</v>
      </c>
    </row>
    <row r="170" spans="1:20" s="59" customFormat="1" ht="32.1" customHeight="1">
      <c r="A170" s="419" t="s">
        <v>136</v>
      </c>
      <c r="B170" s="238" t="s">
        <v>3916</v>
      </c>
      <c r="C170" s="486" t="s">
        <v>3917</v>
      </c>
      <c r="D170" s="119">
        <v>65</v>
      </c>
      <c r="E170" s="79"/>
      <c r="F170" s="79"/>
      <c r="G170" s="79"/>
      <c r="H170" s="79"/>
      <c r="I170" s="79"/>
      <c r="J170" s="79"/>
      <c r="K170" s="79"/>
      <c r="L170" s="79">
        <v>53.1</v>
      </c>
      <c r="M170" s="79">
        <v>53.1</v>
      </c>
      <c r="N170" s="79"/>
      <c r="O170" s="79"/>
      <c r="P170" s="79"/>
      <c r="Q170" s="139">
        <f t="shared" si="13"/>
        <v>53.1</v>
      </c>
      <c r="R170" s="144" t="str">
        <f t="shared" si="9"/>
        <v>NO</v>
      </c>
      <c r="S170" s="145" t="str">
        <f t="shared" si="10"/>
        <v>Alto</v>
      </c>
    </row>
    <row r="171" spans="1:20" s="59" customFormat="1" ht="32.1" customHeight="1">
      <c r="A171" s="419" t="s">
        <v>136</v>
      </c>
      <c r="B171" s="238" t="s">
        <v>1742</v>
      </c>
      <c r="C171" s="486" t="s">
        <v>3918</v>
      </c>
      <c r="D171" s="119"/>
      <c r="E171" s="79"/>
      <c r="F171" s="79"/>
      <c r="G171" s="79"/>
      <c r="H171" s="79"/>
      <c r="I171" s="79"/>
      <c r="J171" s="79"/>
      <c r="K171" s="79"/>
      <c r="L171" s="79"/>
      <c r="M171" s="79"/>
      <c r="N171" s="79"/>
      <c r="O171" s="79"/>
      <c r="P171" s="79"/>
      <c r="Q171" s="139" t="e">
        <f t="shared" si="13"/>
        <v>#DIV/0!</v>
      </c>
      <c r="R171" s="144" t="e">
        <f t="shared" si="9"/>
        <v>#DIV/0!</v>
      </c>
      <c r="S171" s="145" t="e">
        <f t="shared" si="10"/>
        <v>#DIV/0!</v>
      </c>
    </row>
    <row r="172" spans="1:20" s="59" customFormat="1" ht="32.1" customHeight="1">
      <c r="A172" s="419" t="s">
        <v>136</v>
      </c>
      <c r="B172" s="238" t="s">
        <v>3919</v>
      </c>
      <c r="C172" s="486" t="s">
        <v>3920</v>
      </c>
      <c r="D172" s="119"/>
      <c r="E172" s="79"/>
      <c r="F172" s="79"/>
      <c r="G172" s="79"/>
      <c r="H172" s="79"/>
      <c r="I172" s="79"/>
      <c r="J172" s="79"/>
      <c r="K172" s="79"/>
      <c r="L172" s="79"/>
      <c r="M172" s="79"/>
      <c r="N172" s="79"/>
      <c r="O172" s="79"/>
      <c r="P172" s="79"/>
      <c r="Q172" s="139" t="e">
        <f t="shared" si="13"/>
        <v>#DIV/0!</v>
      </c>
      <c r="R172" s="144" t="e">
        <f t="shared" si="9"/>
        <v>#DIV/0!</v>
      </c>
      <c r="S172" s="145" t="e">
        <f t="shared" si="10"/>
        <v>#DIV/0!</v>
      </c>
      <c r="T172" s="60"/>
    </row>
    <row r="173" spans="1:20" s="59" customFormat="1" ht="32.1" customHeight="1">
      <c r="A173" s="419" t="s">
        <v>136</v>
      </c>
      <c r="B173" s="238" t="s">
        <v>906</v>
      </c>
      <c r="C173" s="486" t="s">
        <v>3921</v>
      </c>
      <c r="D173" s="119"/>
      <c r="E173" s="79"/>
      <c r="F173" s="79"/>
      <c r="G173" s="79"/>
      <c r="H173" s="79"/>
      <c r="I173" s="79"/>
      <c r="J173" s="79"/>
      <c r="K173" s="79"/>
      <c r="L173" s="79"/>
      <c r="M173" s="79"/>
      <c r="N173" s="79"/>
      <c r="O173" s="79"/>
      <c r="P173" s="79"/>
      <c r="Q173" s="139" t="e">
        <f t="shared" si="13"/>
        <v>#DIV/0!</v>
      </c>
      <c r="R173" s="144" t="e">
        <f t="shared" si="9"/>
        <v>#DIV/0!</v>
      </c>
      <c r="S173" s="145" t="e">
        <f t="shared" si="10"/>
        <v>#DIV/0!</v>
      </c>
      <c r="T173" s="60"/>
    </row>
    <row r="174" spans="1:20" s="59" customFormat="1" ht="32.1" customHeight="1">
      <c r="A174" s="419" t="s">
        <v>136</v>
      </c>
      <c r="B174" s="238" t="s">
        <v>1267</v>
      </c>
      <c r="C174" s="486" t="s">
        <v>3922</v>
      </c>
      <c r="D174" s="119"/>
      <c r="E174" s="79"/>
      <c r="F174" s="79"/>
      <c r="G174" s="79"/>
      <c r="H174" s="79"/>
      <c r="I174" s="79"/>
      <c r="J174" s="79"/>
      <c r="K174" s="79"/>
      <c r="L174" s="79"/>
      <c r="M174" s="79"/>
      <c r="N174" s="79"/>
      <c r="O174" s="79"/>
      <c r="P174" s="79"/>
      <c r="Q174" s="139" t="e">
        <f t="shared" si="13"/>
        <v>#DIV/0!</v>
      </c>
      <c r="R174" s="144" t="e">
        <f t="shared" si="9"/>
        <v>#DIV/0!</v>
      </c>
      <c r="S174" s="145" t="e">
        <f t="shared" si="10"/>
        <v>#DIV/0!</v>
      </c>
      <c r="T174" s="60"/>
    </row>
    <row r="175" spans="1:20" s="59" customFormat="1" ht="32.1" customHeight="1">
      <c r="A175" s="419" t="s">
        <v>136</v>
      </c>
      <c r="B175" s="238" t="s">
        <v>1543</v>
      </c>
      <c r="C175" s="486" t="s">
        <v>3923</v>
      </c>
      <c r="D175" s="119"/>
      <c r="E175" s="79"/>
      <c r="F175" s="79"/>
      <c r="G175" s="79"/>
      <c r="H175" s="79"/>
      <c r="I175" s="79"/>
      <c r="J175" s="79"/>
      <c r="K175" s="79"/>
      <c r="L175" s="79"/>
      <c r="M175" s="79"/>
      <c r="N175" s="79"/>
      <c r="O175" s="79"/>
      <c r="P175" s="79"/>
      <c r="Q175" s="139" t="e">
        <f t="shared" si="13"/>
        <v>#DIV/0!</v>
      </c>
      <c r="R175" s="144" t="e">
        <f t="shared" si="9"/>
        <v>#DIV/0!</v>
      </c>
      <c r="S175" s="145" t="e">
        <f t="shared" si="10"/>
        <v>#DIV/0!</v>
      </c>
      <c r="T175" s="60"/>
    </row>
    <row r="176" spans="1:20" s="59" customFormat="1" ht="32.1" customHeight="1">
      <c r="A176" s="419" t="s">
        <v>136</v>
      </c>
      <c r="B176" s="238" t="s">
        <v>3204</v>
      </c>
      <c r="C176" s="486" t="s">
        <v>3924</v>
      </c>
      <c r="D176" s="114">
        <v>11</v>
      </c>
      <c r="E176" s="79"/>
      <c r="F176" s="79">
        <v>86.2</v>
      </c>
      <c r="G176" s="79"/>
      <c r="H176" s="79"/>
      <c r="I176" s="79"/>
      <c r="J176" s="79"/>
      <c r="K176" s="79"/>
      <c r="L176" s="79"/>
      <c r="M176" s="79"/>
      <c r="N176" s="79"/>
      <c r="O176" s="79"/>
      <c r="P176" s="79"/>
      <c r="Q176" s="139">
        <f t="shared" si="13"/>
        <v>86.2</v>
      </c>
      <c r="R176" s="144" t="str">
        <f t="shared" si="9"/>
        <v>NO</v>
      </c>
      <c r="S176" s="145" t="str">
        <f t="shared" si="10"/>
        <v>Inviable Sanitariamente</v>
      </c>
      <c r="T176" s="60"/>
    </row>
    <row r="177" spans="1:20" s="59" customFormat="1" ht="32.1" customHeight="1">
      <c r="A177" s="419" t="s">
        <v>136</v>
      </c>
      <c r="B177" s="238" t="s">
        <v>699</v>
      </c>
      <c r="C177" s="486" t="s">
        <v>3925</v>
      </c>
      <c r="D177" s="119">
        <v>28</v>
      </c>
      <c r="E177" s="79"/>
      <c r="F177" s="79">
        <v>53.9</v>
      </c>
      <c r="G177" s="79"/>
      <c r="H177" s="79"/>
      <c r="I177" s="79"/>
      <c r="J177" s="79">
        <v>53.9</v>
      </c>
      <c r="K177" s="79">
        <v>53.1</v>
      </c>
      <c r="L177" s="79"/>
      <c r="M177" s="79"/>
      <c r="N177" s="79"/>
      <c r="O177" s="79"/>
      <c r="P177" s="79"/>
      <c r="Q177" s="139">
        <f t="shared" si="13"/>
        <v>53.633333333333333</v>
      </c>
      <c r="R177" s="144" t="str">
        <f t="shared" si="9"/>
        <v>NO</v>
      </c>
      <c r="S177" s="145" t="str">
        <f t="shared" si="10"/>
        <v>Alto</v>
      </c>
      <c r="T177" s="60"/>
    </row>
    <row r="178" spans="1:20" s="59" customFormat="1" ht="32.1" customHeight="1">
      <c r="A178" s="419" t="s">
        <v>136</v>
      </c>
      <c r="B178" s="238" t="s">
        <v>3926</v>
      </c>
      <c r="C178" s="486" t="s">
        <v>2820</v>
      </c>
      <c r="D178" s="119">
        <v>28</v>
      </c>
      <c r="E178" s="79"/>
      <c r="F178" s="79"/>
      <c r="G178" s="79"/>
      <c r="H178" s="79"/>
      <c r="I178" s="79"/>
      <c r="J178" s="79"/>
      <c r="K178" s="79"/>
      <c r="L178" s="79"/>
      <c r="M178" s="79"/>
      <c r="N178" s="79"/>
      <c r="O178" s="79"/>
      <c r="P178" s="79"/>
      <c r="Q178" s="139" t="e">
        <f t="shared" si="13"/>
        <v>#DIV/0!</v>
      </c>
      <c r="R178" s="144" t="e">
        <f t="shared" si="9"/>
        <v>#DIV/0!</v>
      </c>
      <c r="S178" s="145" t="e">
        <f t="shared" si="10"/>
        <v>#DIV/0!</v>
      </c>
      <c r="T178" s="60"/>
    </row>
    <row r="179" spans="1:20" s="59" customFormat="1" ht="32.1" customHeight="1">
      <c r="A179" s="419" t="s">
        <v>136</v>
      </c>
      <c r="B179" s="238" t="s">
        <v>733</v>
      </c>
      <c r="C179" s="486" t="s">
        <v>3461</v>
      </c>
      <c r="D179" s="114">
        <v>17</v>
      </c>
      <c r="E179" s="79"/>
      <c r="F179" s="79"/>
      <c r="G179" s="79"/>
      <c r="H179" s="79"/>
      <c r="I179" s="79">
        <v>53.1</v>
      </c>
      <c r="J179" s="79"/>
      <c r="K179" s="79"/>
      <c r="L179" s="79"/>
      <c r="M179" s="79"/>
      <c r="N179" s="79"/>
      <c r="O179" s="79"/>
      <c r="P179" s="79"/>
      <c r="Q179" s="139">
        <f t="shared" si="13"/>
        <v>53.1</v>
      </c>
      <c r="R179" s="144" t="str">
        <f t="shared" si="9"/>
        <v>NO</v>
      </c>
      <c r="S179" s="145" t="str">
        <f t="shared" si="10"/>
        <v>Alto</v>
      </c>
      <c r="T179" s="60"/>
    </row>
    <row r="180" spans="1:20" s="59" customFormat="1" ht="32.1" customHeight="1">
      <c r="A180" s="419" t="s">
        <v>136</v>
      </c>
      <c r="B180" s="238" t="s">
        <v>3927</v>
      </c>
      <c r="C180" s="486" t="s">
        <v>3928</v>
      </c>
      <c r="D180" s="119"/>
      <c r="E180" s="79"/>
      <c r="F180" s="79"/>
      <c r="G180" s="79"/>
      <c r="H180" s="79"/>
      <c r="I180" s="79"/>
      <c r="J180" s="79"/>
      <c r="K180" s="79"/>
      <c r="L180" s="79"/>
      <c r="M180" s="79"/>
      <c r="N180" s="79"/>
      <c r="O180" s="79"/>
      <c r="P180" s="79"/>
      <c r="Q180" s="139" t="e">
        <f t="shared" si="13"/>
        <v>#DIV/0!</v>
      </c>
      <c r="R180" s="144" t="e">
        <f t="shared" si="9"/>
        <v>#DIV/0!</v>
      </c>
      <c r="S180" s="145" t="e">
        <f t="shared" si="10"/>
        <v>#DIV/0!</v>
      </c>
      <c r="T180" s="60"/>
    </row>
    <row r="181" spans="1:20" s="59" customFormat="1" ht="32.1" customHeight="1">
      <c r="A181" s="419" t="s">
        <v>136</v>
      </c>
      <c r="B181" s="238" t="s">
        <v>962</v>
      </c>
      <c r="C181" s="486" t="s">
        <v>3929</v>
      </c>
      <c r="D181" s="119"/>
      <c r="E181" s="79"/>
      <c r="F181" s="79"/>
      <c r="G181" s="79"/>
      <c r="H181" s="79"/>
      <c r="I181" s="79"/>
      <c r="J181" s="79"/>
      <c r="K181" s="79"/>
      <c r="L181" s="79"/>
      <c r="M181" s="79"/>
      <c r="N181" s="79"/>
      <c r="O181" s="79"/>
      <c r="P181" s="79"/>
      <c r="Q181" s="139" t="e">
        <f t="shared" si="13"/>
        <v>#DIV/0!</v>
      </c>
      <c r="R181" s="144" t="e">
        <f t="shared" si="9"/>
        <v>#DIV/0!</v>
      </c>
      <c r="S181" s="145" t="e">
        <f t="shared" si="10"/>
        <v>#DIV/0!</v>
      </c>
      <c r="T181" s="60"/>
    </row>
    <row r="182" spans="1:20" s="59" customFormat="1" ht="32.1" customHeight="1">
      <c r="A182" s="419" t="s">
        <v>136</v>
      </c>
      <c r="B182" s="238" t="s">
        <v>68</v>
      </c>
      <c r="C182" s="486" t="s">
        <v>3930</v>
      </c>
      <c r="D182" s="114"/>
      <c r="E182" s="79"/>
      <c r="F182" s="79"/>
      <c r="G182" s="79"/>
      <c r="H182" s="79"/>
      <c r="I182" s="79"/>
      <c r="J182" s="79"/>
      <c r="K182" s="79"/>
      <c r="L182" s="79"/>
      <c r="M182" s="79"/>
      <c r="N182" s="79"/>
      <c r="O182" s="79"/>
      <c r="P182" s="79"/>
      <c r="Q182" s="139" t="e">
        <f t="shared" si="13"/>
        <v>#DIV/0!</v>
      </c>
      <c r="R182" s="144" t="e">
        <f t="shared" si="9"/>
        <v>#DIV/0!</v>
      </c>
      <c r="S182" s="145" t="e">
        <f t="shared" si="10"/>
        <v>#DIV/0!</v>
      </c>
      <c r="T182" s="60"/>
    </row>
    <row r="183" spans="1:20" s="59" customFormat="1" ht="32.1" customHeight="1">
      <c r="A183" s="419" t="s">
        <v>136</v>
      </c>
      <c r="B183" s="238" t="s">
        <v>3931</v>
      </c>
      <c r="C183" s="486" t="s">
        <v>3932</v>
      </c>
      <c r="D183" s="119"/>
      <c r="E183" s="79"/>
      <c r="F183" s="79"/>
      <c r="G183" s="79"/>
      <c r="H183" s="79"/>
      <c r="I183" s="79"/>
      <c r="J183" s="79"/>
      <c r="K183" s="79"/>
      <c r="L183" s="79"/>
      <c r="M183" s="79"/>
      <c r="N183" s="79"/>
      <c r="O183" s="79"/>
      <c r="P183" s="79"/>
      <c r="Q183" s="139" t="e">
        <f t="shared" si="13"/>
        <v>#DIV/0!</v>
      </c>
      <c r="R183" s="144" t="e">
        <f t="shared" si="9"/>
        <v>#DIV/0!</v>
      </c>
      <c r="S183" s="145" t="e">
        <f t="shared" si="10"/>
        <v>#DIV/0!</v>
      </c>
      <c r="T183" s="60"/>
    </row>
    <row r="184" spans="1:20" s="59" customFormat="1" ht="32.1" customHeight="1">
      <c r="A184" s="419" t="s">
        <v>136</v>
      </c>
      <c r="B184" s="238" t="s">
        <v>3933</v>
      </c>
      <c r="C184" s="486" t="s">
        <v>3934</v>
      </c>
      <c r="D184" s="119">
        <v>49</v>
      </c>
      <c r="E184" s="79"/>
      <c r="F184" s="79"/>
      <c r="G184" s="79">
        <v>53.3</v>
      </c>
      <c r="H184" s="79"/>
      <c r="I184" s="79"/>
      <c r="J184" s="79"/>
      <c r="K184" s="79">
        <v>53.1</v>
      </c>
      <c r="L184" s="79"/>
      <c r="M184" s="79"/>
      <c r="N184" s="79"/>
      <c r="O184" s="79"/>
      <c r="P184" s="79"/>
      <c r="Q184" s="139">
        <f t="shared" si="13"/>
        <v>53.2</v>
      </c>
      <c r="R184" s="144" t="str">
        <f t="shared" si="9"/>
        <v>NO</v>
      </c>
      <c r="S184" s="145" t="str">
        <f t="shared" si="10"/>
        <v>Alto</v>
      </c>
      <c r="T184" s="60"/>
    </row>
    <row r="185" spans="1:20" s="59" customFormat="1" ht="32.1" customHeight="1">
      <c r="A185" s="419" t="s">
        <v>136</v>
      </c>
      <c r="B185" s="238" t="s">
        <v>3935</v>
      </c>
      <c r="C185" s="486" t="s">
        <v>3936</v>
      </c>
      <c r="D185" s="119">
        <v>25</v>
      </c>
      <c r="E185" s="79"/>
      <c r="F185" s="79">
        <v>50.1</v>
      </c>
      <c r="G185" s="79"/>
      <c r="H185" s="79"/>
      <c r="I185" s="79"/>
      <c r="J185" s="79">
        <v>53.9</v>
      </c>
      <c r="K185" s="79">
        <v>53.1</v>
      </c>
      <c r="L185" s="79">
        <v>53.1</v>
      </c>
      <c r="M185" s="79"/>
      <c r="N185" s="79"/>
      <c r="O185" s="79"/>
      <c r="P185" s="79"/>
      <c r="Q185" s="139">
        <f t="shared" si="13"/>
        <v>52.55</v>
      </c>
      <c r="R185" s="144" t="str">
        <f t="shared" si="9"/>
        <v>NO</v>
      </c>
      <c r="S185" s="145" t="str">
        <f t="shared" si="10"/>
        <v>Alto</v>
      </c>
      <c r="T185" s="60"/>
    </row>
    <row r="186" spans="1:20" s="59" customFormat="1" ht="32.1" customHeight="1">
      <c r="A186" s="419" t="s">
        <v>136</v>
      </c>
      <c r="B186" s="238" t="s">
        <v>3937</v>
      </c>
      <c r="C186" s="486" t="s">
        <v>3938</v>
      </c>
      <c r="D186" s="119">
        <v>11</v>
      </c>
      <c r="E186" s="79"/>
      <c r="F186" s="79"/>
      <c r="G186" s="79"/>
      <c r="H186" s="79"/>
      <c r="I186" s="79"/>
      <c r="J186" s="79"/>
      <c r="K186" s="79"/>
      <c r="L186" s="79"/>
      <c r="M186" s="79"/>
      <c r="N186" s="79"/>
      <c r="O186" s="79"/>
      <c r="P186" s="79"/>
      <c r="Q186" s="139" t="e">
        <f t="shared" si="13"/>
        <v>#DIV/0!</v>
      </c>
      <c r="R186" s="144" t="e">
        <f t="shared" si="9"/>
        <v>#DIV/0!</v>
      </c>
      <c r="S186" s="145" t="e">
        <f t="shared" si="10"/>
        <v>#DIV/0!</v>
      </c>
      <c r="T186" s="60"/>
    </row>
    <row r="187" spans="1:20" s="59" customFormat="1" ht="32.1" customHeight="1">
      <c r="A187" s="419" t="s">
        <v>3945</v>
      </c>
      <c r="B187" s="238" t="s">
        <v>3939</v>
      </c>
      <c r="C187" s="486" t="s">
        <v>3940</v>
      </c>
      <c r="D187" s="119">
        <v>35</v>
      </c>
      <c r="E187" s="79"/>
      <c r="F187" s="79">
        <v>53.9</v>
      </c>
      <c r="G187" s="79"/>
      <c r="H187" s="79">
        <v>53.9</v>
      </c>
      <c r="I187" s="79"/>
      <c r="J187" s="79">
        <v>53.9</v>
      </c>
      <c r="K187" s="79"/>
      <c r="L187" s="79">
        <v>53.9</v>
      </c>
      <c r="M187" s="79"/>
      <c r="N187" s="79"/>
      <c r="O187" s="79"/>
      <c r="P187" s="79"/>
      <c r="Q187" s="139">
        <f t="shared" si="13"/>
        <v>53.9</v>
      </c>
      <c r="R187" s="144" t="str">
        <f t="shared" si="9"/>
        <v>NO</v>
      </c>
      <c r="S187" s="145" t="str">
        <f t="shared" si="10"/>
        <v>Alto</v>
      </c>
      <c r="T187" s="60"/>
    </row>
    <row r="188" spans="1:20" s="59" customFormat="1" ht="32.1" customHeight="1">
      <c r="A188" s="419" t="s">
        <v>3945</v>
      </c>
      <c r="B188" s="238" t="s">
        <v>3941</v>
      </c>
      <c r="C188" s="486" t="s">
        <v>3942</v>
      </c>
      <c r="D188" s="119">
        <v>72</v>
      </c>
      <c r="E188" s="79"/>
      <c r="F188" s="79">
        <v>53.9</v>
      </c>
      <c r="G188" s="79">
        <v>53.9</v>
      </c>
      <c r="H188" s="79">
        <v>53.9</v>
      </c>
      <c r="I188" s="79"/>
      <c r="J188" s="79"/>
      <c r="K188" s="79">
        <v>53.9</v>
      </c>
      <c r="L188" s="79"/>
      <c r="M188" s="79">
        <v>53.9</v>
      </c>
      <c r="N188" s="79"/>
      <c r="O188" s="79"/>
      <c r="P188" s="79"/>
      <c r="Q188" s="139">
        <f t="shared" si="13"/>
        <v>53.9</v>
      </c>
      <c r="R188" s="144" t="str">
        <f t="shared" si="9"/>
        <v>NO</v>
      </c>
      <c r="S188" s="145" t="str">
        <f t="shared" si="10"/>
        <v>Alto</v>
      </c>
      <c r="T188" s="60"/>
    </row>
    <row r="189" spans="1:20" s="59" customFormat="1" ht="32.1" customHeight="1">
      <c r="A189" s="419" t="s">
        <v>3945</v>
      </c>
      <c r="B189" s="238" t="s">
        <v>3943</v>
      </c>
      <c r="C189" s="486" t="s">
        <v>3944</v>
      </c>
      <c r="D189" s="119">
        <v>14</v>
      </c>
      <c r="E189" s="79"/>
      <c r="F189" s="79"/>
      <c r="G189" s="79">
        <v>53.9</v>
      </c>
      <c r="H189" s="79"/>
      <c r="I189" s="79">
        <v>53.9</v>
      </c>
      <c r="J189" s="79">
        <v>53.9</v>
      </c>
      <c r="K189" s="79"/>
      <c r="L189" s="79">
        <v>53.9</v>
      </c>
      <c r="M189" s="79">
        <v>53.9</v>
      </c>
      <c r="N189" s="79"/>
      <c r="O189" s="79"/>
      <c r="P189" s="79"/>
      <c r="Q189" s="139">
        <f t="shared" si="13"/>
        <v>53.9</v>
      </c>
      <c r="R189" s="144" t="str">
        <f t="shared" si="9"/>
        <v>NO</v>
      </c>
      <c r="S189" s="145" t="str">
        <f t="shared" si="10"/>
        <v>Alto</v>
      </c>
      <c r="T189" s="60"/>
    </row>
    <row r="190" spans="1:20" s="59" customFormat="1" ht="32.1" customHeight="1">
      <c r="A190" s="419" t="s">
        <v>3945</v>
      </c>
      <c r="B190" s="238" t="s">
        <v>863</v>
      </c>
      <c r="C190" s="486" t="s">
        <v>732</v>
      </c>
      <c r="D190" s="119">
        <v>20</v>
      </c>
      <c r="E190" s="79"/>
      <c r="F190" s="79"/>
      <c r="G190" s="79"/>
      <c r="H190" s="79">
        <v>53.9</v>
      </c>
      <c r="I190" s="79"/>
      <c r="J190" s="79"/>
      <c r="K190" s="79">
        <v>53.9</v>
      </c>
      <c r="L190" s="79"/>
      <c r="M190" s="79"/>
      <c r="N190" s="79"/>
      <c r="O190" s="79"/>
      <c r="P190" s="79"/>
      <c r="Q190" s="139">
        <f t="shared" si="13"/>
        <v>53.9</v>
      </c>
      <c r="R190" s="144" t="str">
        <f t="shared" si="9"/>
        <v>NO</v>
      </c>
      <c r="S190" s="145" t="str">
        <f t="shared" si="10"/>
        <v>Alto</v>
      </c>
      <c r="T190" s="60"/>
    </row>
    <row r="191" spans="1:20" s="59" customFormat="1" ht="32.1" customHeight="1">
      <c r="A191" s="419" t="s">
        <v>138</v>
      </c>
      <c r="B191" s="238" t="s">
        <v>3946</v>
      </c>
      <c r="C191" s="238" t="s">
        <v>3947</v>
      </c>
      <c r="D191" s="119">
        <v>89</v>
      </c>
      <c r="E191" s="79">
        <v>26.55</v>
      </c>
      <c r="F191" s="79"/>
      <c r="G191" s="79"/>
      <c r="H191" s="79"/>
      <c r="I191" s="79"/>
      <c r="J191" s="79"/>
      <c r="K191" s="79"/>
      <c r="L191" s="79"/>
      <c r="M191" s="79"/>
      <c r="N191" s="79"/>
      <c r="O191" s="79"/>
      <c r="P191" s="79"/>
      <c r="Q191" s="139">
        <f t="shared" si="13"/>
        <v>26.55</v>
      </c>
      <c r="R191" s="144" t="str">
        <f t="shared" si="9"/>
        <v>NO</v>
      </c>
      <c r="S191" s="145" t="str">
        <f t="shared" si="10"/>
        <v>Medio</v>
      </c>
      <c r="T191" s="60"/>
    </row>
    <row r="192" spans="1:20" s="59" customFormat="1" ht="32.1" customHeight="1">
      <c r="A192" s="419" t="s">
        <v>138</v>
      </c>
      <c r="B192" s="238" t="s">
        <v>3948</v>
      </c>
      <c r="C192" s="238" t="s">
        <v>3949</v>
      </c>
      <c r="D192" s="119">
        <v>112</v>
      </c>
      <c r="E192" s="79">
        <v>0</v>
      </c>
      <c r="F192" s="79"/>
      <c r="G192" s="79"/>
      <c r="H192" s="79"/>
      <c r="I192" s="79"/>
      <c r="J192" s="79"/>
      <c r="K192" s="79"/>
      <c r="L192" s="79"/>
      <c r="M192" s="79"/>
      <c r="N192" s="79"/>
      <c r="O192" s="79"/>
      <c r="P192" s="79"/>
      <c r="Q192" s="139">
        <f t="shared" si="13"/>
        <v>0</v>
      </c>
      <c r="R192" s="144" t="str">
        <f t="shared" si="9"/>
        <v>SI</v>
      </c>
      <c r="S192" s="145" t="str">
        <f t="shared" si="10"/>
        <v>Sin Riesgo</v>
      </c>
      <c r="T192" s="60"/>
    </row>
    <row r="193" spans="1:20" s="59" customFormat="1" ht="32.1" customHeight="1">
      <c r="A193" s="419" t="s">
        <v>138</v>
      </c>
      <c r="B193" s="238" t="s">
        <v>3950</v>
      </c>
      <c r="C193" s="238" t="s">
        <v>3951</v>
      </c>
      <c r="D193" s="119">
        <v>375</v>
      </c>
      <c r="E193" s="79">
        <v>0</v>
      </c>
      <c r="F193" s="79"/>
      <c r="G193" s="79"/>
      <c r="H193" s="79"/>
      <c r="I193" s="79"/>
      <c r="J193" s="79"/>
      <c r="K193" s="79"/>
      <c r="L193" s="79"/>
      <c r="M193" s="79"/>
      <c r="N193" s="79"/>
      <c r="O193" s="79"/>
      <c r="P193" s="79"/>
      <c r="Q193" s="139">
        <f t="shared" si="13"/>
        <v>0</v>
      </c>
      <c r="R193" s="144" t="str">
        <f t="shared" si="9"/>
        <v>SI</v>
      </c>
      <c r="S193" s="145" t="str">
        <f t="shared" si="10"/>
        <v>Sin Riesgo</v>
      </c>
      <c r="T193" s="60"/>
    </row>
    <row r="194" spans="1:20" s="59" customFormat="1" ht="32.1" customHeight="1">
      <c r="A194" s="419" t="s">
        <v>138</v>
      </c>
      <c r="B194" s="238" t="s">
        <v>3952</v>
      </c>
      <c r="C194" s="238" t="s">
        <v>3953</v>
      </c>
      <c r="D194" s="119">
        <v>168</v>
      </c>
      <c r="E194" s="79"/>
      <c r="F194" s="79"/>
      <c r="G194" s="79"/>
      <c r="H194" s="79"/>
      <c r="I194" s="79"/>
      <c r="J194" s="79">
        <v>100</v>
      </c>
      <c r="K194" s="79"/>
      <c r="L194" s="79"/>
      <c r="M194" s="79"/>
      <c r="N194" s="79"/>
      <c r="O194" s="79"/>
      <c r="P194" s="79"/>
      <c r="Q194" s="139">
        <f t="shared" si="13"/>
        <v>100</v>
      </c>
      <c r="R194" s="144" t="str">
        <f t="shared" si="9"/>
        <v>NO</v>
      </c>
      <c r="S194" s="145" t="str">
        <f t="shared" si="10"/>
        <v>Inviable Sanitariamente</v>
      </c>
      <c r="T194" s="60"/>
    </row>
    <row r="195" spans="1:20" s="59" customFormat="1" ht="32.1" customHeight="1">
      <c r="A195" s="419" t="s">
        <v>138</v>
      </c>
      <c r="B195" s="238" t="s">
        <v>3954</v>
      </c>
      <c r="C195" s="238" t="s">
        <v>3955</v>
      </c>
      <c r="D195" s="119">
        <v>150</v>
      </c>
      <c r="E195" s="79">
        <v>0</v>
      </c>
      <c r="F195" s="79"/>
      <c r="G195" s="79"/>
      <c r="H195" s="79"/>
      <c r="I195" s="79"/>
      <c r="J195" s="79"/>
      <c r="K195" s="79"/>
      <c r="L195" s="79"/>
      <c r="M195" s="79"/>
      <c r="N195" s="79"/>
      <c r="O195" s="79"/>
      <c r="P195" s="79"/>
      <c r="Q195" s="139">
        <f t="shared" si="13"/>
        <v>0</v>
      </c>
      <c r="R195" s="144" t="str">
        <f t="shared" si="9"/>
        <v>SI</v>
      </c>
      <c r="S195" s="145" t="str">
        <f t="shared" si="10"/>
        <v>Sin Riesgo</v>
      </c>
      <c r="T195" s="60"/>
    </row>
    <row r="196" spans="1:20" s="59" customFormat="1" ht="32.1" customHeight="1">
      <c r="A196" s="419" t="s">
        <v>138</v>
      </c>
      <c r="B196" s="238" t="s">
        <v>3956</v>
      </c>
      <c r="C196" s="238" t="s">
        <v>3957</v>
      </c>
      <c r="D196" s="119">
        <v>100</v>
      </c>
      <c r="E196" s="79"/>
      <c r="F196" s="79"/>
      <c r="G196" s="79"/>
      <c r="H196" s="79"/>
      <c r="I196" s="79"/>
      <c r="J196" s="79">
        <v>97.35</v>
      </c>
      <c r="K196" s="79"/>
      <c r="L196" s="79"/>
      <c r="M196" s="79"/>
      <c r="N196" s="79"/>
      <c r="O196" s="79"/>
      <c r="P196" s="79"/>
      <c r="Q196" s="139">
        <f t="shared" si="13"/>
        <v>97.35</v>
      </c>
      <c r="R196" s="144" t="str">
        <f t="shared" si="9"/>
        <v>NO</v>
      </c>
      <c r="S196" s="145" t="str">
        <f t="shared" si="10"/>
        <v>Inviable Sanitariamente</v>
      </c>
      <c r="T196" s="60"/>
    </row>
    <row r="197" spans="1:20" s="59" customFormat="1" ht="32.1" customHeight="1">
      <c r="A197" s="419" t="s">
        <v>138</v>
      </c>
      <c r="B197" s="238" t="s">
        <v>3958</v>
      </c>
      <c r="C197" s="238" t="s">
        <v>3959</v>
      </c>
      <c r="D197" s="119">
        <v>22</v>
      </c>
      <c r="E197" s="79"/>
      <c r="F197" s="79"/>
      <c r="G197" s="79"/>
      <c r="H197" s="79"/>
      <c r="I197" s="79">
        <v>97.35</v>
      </c>
      <c r="J197" s="79"/>
      <c r="K197" s="79"/>
      <c r="L197" s="79"/>
      <c r="M197" s="79"/>
      <c r="N197" s="79"/>
      <c r="O197" s="79"/>
      <c r="P197" s="79"/>
      <c r="Q197" s="139">
        <f t="shared" si="13"/>
        <v>97.35</v>
      </c>
      <c r="R197" s="144" t="str">
        <f t="shared" si="9"/>
        <v>NO</v>
      </c>
      <c r="S197" s="145" t="str">
        <f t="shared" si="10"/>
        <v>Inviable Sanitariamente</v>
      </c>
      <c r="T197" s="60"/>
    </row>
    <row r="198" spans="1:20" s="293" customFormat="1" ht="32.1" customHeight="1">
      <c r="A198" s="419" t="s">
        <v>138</v>
      </c>
      <c r="B198" s="238" t="s">
        <v>3960</v>
      </c>
      <c r="C198" s="238" t="s">
        <v>3961</v>
      </c>
      <c r="D198" s="114">
        <v>235</v>
      </c>
      <c r="E198" s="79"/>
      <c r="F198" s="79">
        <v>0</v>
      </c>
      <c r="G198" s="79"/>
      <c r="H198" s="79"/>
      <c r="I198" s="79"/>
      <c r="J198" s="79">
        <v>0</v>
      </c>
      <c r="K198" s="79"/>
      <c r="L198" s="79"/>
      <c r="M198" s="79"/>
      <c r="N198" s="79"/>
      <c r="O198" s="79"/>
      <c r="P198" s="79"/>
      <c r="Q198" s="139">
        <f t="shared" si="13"/>
        <v>0</v>
      </c>
      <c r="R198" s="144" t="str">
        <f t="shared" si="9"/>
        <v>SI</v>
      </c>
      <c r="S198" s="145" t="str">
        <f t="shared" si="10"/>
        <v>Sin Riesgo</v>
      </c>
    </row>
    <row r="199" spans="1:20" s="293" customFormat="1" ht="32.1" customHeight="1">
      <c r="A199" s="419" t="s">
        <v>138</v>
      </c>
      <c r="B199" s="238" t="s">
        <v>3962</v>
      </c>
      <c r="C199" s="238" t="s">
        <v>3963</v>
      </c>
      <c r="D199" s="119">
        <v>200</v>
      </c>
      <c r="E199" s="79"/>
      <c r="F199" s="79">
        <v>0</v>
      </c>
      <c r="G199" s="79"/>
      <c r="H199" s="79"/>
      <c r="I199" s="79"/>
      <c r="J199" s="79">
        <v>0</v>
      </c>
      <c r="K199" s="79"/>
      <c r="L199" s="79"/>
      <c r="M199" s="79"/>
      <c r="N199" s="79"/>
      <c r="O199" s="79"/>
      <c r="P199" s="79"/>
      <c r="Q199" s="139">
        <f t="shared" si="13"/>
        <v>0</v>
      </c>
      <c r="R199" s="144" t="str">
        <f t="shared" si="9"/>
        <v>SI</v>
      </c>
      <c r="S199" s="145" t="str">
        <f t="shared" si="10"/>
        <v>Sin Riesgo</v>
      </c>
    </row>
    <row r="200" spans="1:20" s="59" customFormat="1" ht="32.1" customHeight="1">
      <c r="A200" s="419" t="s">
        <v>138</v>
      </c>
      <c r="B200" s="238" t="s">
        <v>3964</v>
      </c>
      <c r="C200" s="238" t="s">
        <v>3965</v>
      </c>
      <c r="D200" s="119">
        <v>58</v>
      </c>
      <c r="E200" s="79"/>
      <c r="F200" s="79"/>
      <c r="G200" s="79"/>
      <c r="H200" s="79"/>
      <c r="I200" s="79"/>
      <c r="J200" s="79">
        <v>100</v>
      </c>
      <c r="K200" s="79"/>
      <c r="L200" s="79"/>
      <c r="M200" s="79"/>
      <c r="N200" s="79"/>
      <c r="O200" s="79"/>
      <c r="P200" s="79"/>
      <c r="Q200" s="139">
        <f t="shared" si="13"/>
        <v>100</v>
      </c>
      <c r="R200" s="144" t="str">
        <f t="shared" si="9"/>
        <v>NO</v>
      </c>
      <c r="S200" s="145" t="str">
        <f t="shared" si="10"/>
        <v>Inviable Sanitariamente</v>
      </c>
      <c r="T200" s="60"/>
    </row>
    <row r="201" spans="1:20" s="59" customFormat="1" ht="32.1" customHeight="1">
      <c r="A201" s="419" t="s">
        <v>138</v>
      </c>
      <c r="B201" s="238" t="s">
        <v>3966</v>
      </c>
      <c r="C201" s="238" t="s">
        <v>3967</v>
      </c>
      <c r="D201" s="114">
        <v>197</v>
      </c>
      <c r="E201" s="79"/>
      <c r="F201" s="79"/>
      <c r="G201" s="79"/>
      <c r="H201" s="79"/>
      <c r="I201" s="79"/>
      <c r="J201" s="79">
        <v>97.35</v>
      </c>
      <c r="K201" s="79"/>
      <c r="L201" s="79"/>
      <c r="M201" s="79"/>
      <c r="N201" s="79"/>
      <c r="O201" s="79"/>
      <c r="P201" s="79"/>
      <c r="Q201" s="139">
        <f t="shared" ref="Q201:Q232" si="14">AVERAGE(E201:P201)</f>
        <v>97.35</v>
      </c>
      <c r="R201" s="144" t="str">
        <f t="shared" si="9"/>
        <v>NO</v>
      </c>
      <c r="S201" s="145" t="str">
        <f t="shared" si="10"/>
        <v>Inviable Sanitariamente</v>
      </c>
      <c r="T201" s="60"/>
    </row>
    <row r="202" spans="1:20" s="59" customFormat="1" ht="32.1" customHeight="1">
      <c r="A202" s="419" t="s">
        <v>138</v>
      </c>
      <c r="B202" s="238" t="s">
        <v>3968</v>
      </c>
      <c r="C202" s="238" t="s">
        <v>3969</v>
      </c>
      <c r="D202" s="119">
        <v>32</v>
      </c>
      <c r="E202" s="79"/>
      <c r="F202" s="79"/>
      <c r="G202" s="79"/>
      <c r="H202" s="79"/>
      <c r="I202" s="79"/>
      <c r="J202" s="79">
        <v>97.35</v>
      </c>
      <c r="K202" s="79"/>
      <c r="L202" s="79"/>
      <c r="M202" s="79"/>
      <c r="N202" s="79"/>
      <c r="O202" s="79"/>
      <c r="P202" s="79"/>
      <c r="Q202" s="139">
        <f t="shared" si="14"/>
        <v>97.35</v>
      </c>
      <c r="R202" s="144" t="str">
        <f t="shared" si="9"/>
        <v>NO</v>
      </c>
      <c r="S202" s="145" t="str">
        <f t="shared" si="10"/>
        <v>Inviable Sanitariamente</v>
      </c>
      <c r="T202" s="60"/>
    </row>
    <row r="203" spans="1:20" s="59" customFormat="1" ht="32.1" customHeight="1">
      <c r="A203" s="419" t="s">
        <v>138</v>
      </c>
      <c r="B203" s="238" t="s">
        <v>3970</v>
      </c>
      <c r="C203" s="238" t="s">
        <v>3971</v>
      </c>
      <c r="D203" s="119">
        <v>177</v>
      </c>
      <c r="E203" s="79"/>
      <c r="F203" s="79"/>
      <c r="G203" s="79"/>
      <c r="H203" s="79"/>
      <c r="I203" s="79"/>
      <c r="J203" s="79">
        <v>0</v>
      </c>
      <c r="K203" s="79"/>
      <c r="L203" s="79"/>
      <c r="M203" s="79"/>
      <c r="N203" s="79"/>
      <c r="O203" s="79"/>
      <c r="P203" s="79"/>
      <c r="Q203" s="139">
        <f t="shared" si="14"/>
        <v>0</v>
      </c>
      <c r="R203" s="144" t="str">
        <f t="shared" si="9"/>
        <v>SI</v>
      </c>
      <c r="S203" s="145" t="str">
        <f t="shared" ref="S203:S266" si="15">IF(Q203&lt;=5,"Sin Riesgo",IF(Q203 &lt;=14,"Bajo",IF(Q203&lt;=35,"Medio",IF(Q203&lt;=80,"Alto","Inviable Sanitariamente"))))</f>
        <v>Sin Riesgo</v>
      </c>
      <c r="T203" s="60"/>
    </row>
    <row r="204" spans="1:20" s="59" customFormat="1" ht="32.1" customHeight="1">
      <c r="A204" s="419" t="s">
        <v>138</v>
      </c>
      <c r="B204" s="238" t="s">
        <v>3972</v>
      </c>
      <c r="C204" s="238" t="s">
        <v>3973</v>
      </c>
      <c r="D204" s="114">
        <v>247</v>
      </c>
      <c r="E204" s="79">
        <v>0</v>
      </c>
      <c r="F204" s="79"/>
      <c r="G204" s="79"/>
      <c r="H204" s="79"/>
      <c r="I204" s="79"/>
      <c r="J204" s="79"/>
      <c r="K204" s="79"/>
      <c r="L204" s="79"/>
      <c r="M204" s="79"/>
      <c r="N204" s="79"/>
      <c r="O204" s="79"/>
      <c r="P204" s="79"/>
      <c r="Q204" s="139">
        <f t="shared" si="14"/>
        <v>0</v>
      </c>
      <c r="R204" s="144" t="str">
        <f t="shared" ref="R204:R268" si="16">IF(Q204&lt;5,"SI","NO")</f>
        <v>SI</v>
      </c>
      <c r="S204" s="145" t="str">
        <f t="shared" si="15"/>
        <v>Sin Riesgo</v>
      </c>
      <c r="T204" s="60"/>
    </row>
    <row r="205" spans="1:20" s="59" customFormat="1" ht="32.1" customHeight="1">
      <c r="A205" s="419" t="s">
        <v>138</v>
      </c>
      <c r="B205" s="238" t="s">
        <v>3974</v>
      </c>
      <c r="C205" s="238" t="s">
        <v>3975</v>
      </c>
      <c r="D205" s="119">
        <v>50</v>
      </c>
      <c r="E205" s="79"/>
      <c r="F205" s="79"/>
      <c r="G205" s="79"/>
      <c r="H205" s="79"/>
      <c r="I205" s="79"/>
      <c r="J205" s="79"/>
      <c r="K205" s="79"/>
      <c r="L205" s="79"/>
      <c r="M205" s="79">
        <v>97.4</v>
      </c>
      <c r="N205" s="79"/>
      <c r="O205" s="79"/>
      <c r="P205" s="79"/>
      <c r="Q205" s="139">
        <f t="shared" si="14"/>
        <v>97.4</v>
      </c>
      <c r="R205" s="144" t="str">
        <f t="shared" si="16"/>
        <v>NO</v>
      </c>
      <c r="S205" s="145" t="str">
        <f t="shared" si="15"/>
        <v>Inviable Sanitariamente</v>
      </c>
      <c r="T205" s="60"/>
    </row>
    <row r="206" spans="1:20" s="59" customFormat="1" ht="32.1" customHeight="1">
      <c r="A206" s="419" t="s">
        <v>138</v>
      </c>
      <c r="B206" s="238" t="s">
        <v>3976</v>
      </c>
      <c r="C206" s="238" t="s">
        <v>3977</v>
      </c>
      <c r="D206" s="119">
        <v>33</v>
      </c>
      <c r="E206" s="79"/>
      <c r="F206" s="79"/>
      <c r="G206" s="79"/>
      <c r="H206" s="79"/>
      <c r="I206" s="79">
        <v>97.35</v>
      </c>
      <c r="J206" s="79"/>
      <c r="K206" s="79"/>
      <c r="L206" s="79"/>
      <c r="M206" s="79"/>
      <c r="N206" s="79"/>
      <c r="O206" s="79"/>
      <c r="P206" s="79"/>
      <c r="Q206" s="139">
        <f t="shared" si="14"/>
        <v>97.35</v>
      </c>
      <c r="R206" s="144" t="str">
        <f t="shared" si="16"/>
        <v>NO</v>
      </c>
      <c r="S206" s="145" t="str">
        <f t="shared" si="15"/>
        <v>Inviable Sanitariamente</v>
      </c>
      <c r="T206" s="60"/>
    </row>
    <row r="207" spans="1:20" s="59" customFormat="1" ht="32.1" customHeight="1">
      <c r="A207" s="419" t="s">
        <v>139</v>
      </c>
      <c r="B207" s="238" t="s">
        <v>3978</v>
      </c>
      <c r="C207" s="238" t="s">
        <v>3979</v>
      </c>
      <c r="D207" s="119">
        <v>48</v>
      </c>
      <c r="E207" s="79"/>
      <c r="F207" s="79"/>
      <c r="G207" s="79"/>
      <c r="H207" s="79"/>
      <c r="I207" s="79">
        <v>53.1</v>
      </c>
      <c r="J207" s="79"/>
      <c r="K207" s="79"/>
      <c r="L207" s="79"/>
      <c r="M207" s="79"/>
      <c r="N207" s="79"/>
      <c r="O207" s="79">
        <v>26.1</v>
      </c>
      <c r="P207" s="79"/>
      <c r="Q207" s="139">
        <f t="shared" si="14"/>
        <v>39.6</v>
      </c>
      <c r="R207" s="144" t="str">
        <f t="shared" si="16"/>
        <v>NO</v>
      </c>
      <c r="S207" s="145" t="str">
        <f t="shared" si="15"/>
        <v>Alto</v>
      </c>
      <c r="T207" s="60"/>
    </row>
    <row r="208" spans="1:20" s="59" customFormat="1" ht="32.1" customHeight="1">
      <c r="A208" s="419" t="s">
        <v>139</v>
      </c>
      <c r="B208" s="238" t="s">
        <v>3980</v>
      </c>
      <c r="C208" s="238" t="s">
        <v>3981</v>
      </c>
      <c r="D208" s="119">
        <v>160</v>
      </c>
      <c r="E208" s="79"/>
      <c r="F208" s="79">
        <v>53.1</v>
      </c>
      <c r="G208" s="79"/>
      <c r="H208" s="79">
        <v>0</v>
      </c>
      <c r="I208" s="79"/>
      <c r="J208" s="79">
        <v>53.1</v>
      </c>
      <c r="K208" s="79"/>
      <c r="L208" s="79">
        <v>53.1</v>
      </c>
      <c r="M208" s="79"/>
      <c r="N208" s="79">
        <v>53.1</v>
      </c>
      <c r="O208" s="79">
        <v>53.1</v>
      </c>
      <c r="P208" s="79"/>
      <c r="Q208" s="139">
        <f t="shared" si="14"/>
        <v>44.25</v>
      </c>
      <c r="R208" s="144" t="str">
        <f t="shared" si="16"/>
        <v>NO</v>
      </c>
      <c r="S208" s="145" t="str">
        <f t="shared" si="15"/>
        <v>Alto</v>
      </c>
      <c r="T208" s="60"/>
    </row>
    <row r="209" spans="1:20" s="59" customFormat="1" ht="32.1" customHeight="1">
      <c r="A209" s="419" t="s">
        <v>139</v>
      </c>
      <c r="B209" s="238" t="s">
        <v>3982</v>
      </c>
      <c r="C209" s="238" t="s">
        <v>3983</v>
      </c>
      <c r="D209" s="119">
        <v>172</v>
      </c>
      <c r="E209" s="79">
        <v>0</v>
      </c>
      <c r="F209" s="79"/>
      <c r="G209" s="79">
        <v>0</v>
      </c>
      <c r="H209" s="79"/>
      <c r="I209" s="79">
        <v>0</v>
      </c>
      <c r="J209" s="79"/>
      <c r="K209" s="79">
        <v>0</v>
      </c>
      <c r="L209" s="79"/>
      <c r="M209" s="79">
        <v>53.1</v>
      </c>
      <c r="N209" s="79"/>
      <c r="O209" s="79">
        <v>0</v>
      </c>
      <c r="P209" s="79">
        <v>0</v>
      </c>
      <c r="Q209" s="139">
        <f t="shared" si="14"/>
        <v>7.5857142857142863</v>
      </c>
      <c r="R209" s="144" t="str">
        <f t="shared" si="16"/>
        <v>NO</v>
      </c>
      <c r="S209" s="145" t="str">
        <f t="shared" si="15"/>
        <v>Bajo</v>
      </c>
      <c r="T209" s="60"/>
    </row>
    <row r="210" spans="1:20" s="59" customFormat="1" ht="32.1" customHeight="1">
      <c r="A210" s="419" t="s">
        <v>139</v>
      </c>
      <c r="B210" s="238" t="s">
        <v>3984</v>
      </c>
      <c r="C210" s="238" t="s">
        <v>3985</v>
      </c>
      <c r="D210" s="119">
        <v>180</v>
      </c>
      <c r="E210" s="79"/>
      <c r="F210" s="79"/>
      <c r="G210" s="79">
        <v>53.1</v>
      </c>
      <c r="H210" s="79"/>
      <c r="I210" s="79"/>
      <c r="J210" s="79"/>
      <c r="K210" s="79"/>
      <c r="L210" s="79">
        <v>53.1</v>
      </c>
      <c r="M210" s="79"/>
      <c r="N210" s="79"/>
      <c r="O210" s="79"/>
      <c r="P210" s="79"/>
      <c r="Q210" s="139">
        <f t="shared" si="14"/>
        <v>53.1</v>
      </c>
      <c r="R210" s="144" t="str">
        <f t="shared" si="16"/>
        <v>NO</v>
      </c>
      <c r="S210" s="145" t="str">
        <f t="shared" si="15"/>
        <v>Alto</v>
      </c>
      <c r="T210" s="60"/>
    </row>
    <row r="211" spans="1:20" s="59" customFormat="1" ht="32.1" customHeight="1">
      <c r="A211" s="419" t="s">
        <v>139</v>
      </c>
      <c r="B211" s="238" t="s">
        <v>3986</v>
      </c>
      <c r="C211" s="238" t="s">
        <v>3987</v>
      </c>
      <c r="D211" s="119">
        <v>134</v>
      </c>
      <c r="E211" s="79"/>
      <c r="F211" s="79">
        <v>0</v>
      </c>
      <c r="G211" s="79"/>
      <c r="H211" s="79">
        <v>0</v>
      </c>
      <c r="I211" s="79"/>
      <c r="J211" s="79">
        <v>0</v>
      </c>
      <c r="K211" s="79"/>
      <c r="L211" s="79">
        <v>0</v>
      </c>
      <c r="M211" s="79"/>
      <c r="N211" s="79">
        <v>0</v>
      </c>
      <c r="O211" s="79"/>
      <c r="P211" s="79">
        <v>0</v>
      </c>
      <c r="Q211" s="139">
        <f t="shared" si="14"/>
        <v>0</v>
      </c>
      <c r="R211" s="144" t="str">
        <f t="shared" si="16"/>
        <v>SI</v>
      </c>
      <c r="S211" s="145" t="str">
        <f t="shared" si="15"/>
        <v>Sin Riesgo</v>
      </c>
      <c r="T211" s="60"/>
    </row>
    <row r="212" spans="1:20" s="59" customFormat="1" ht="32.1" customHeight="1">
      <c r="A212" s="419" t="s">
        <v>139</v>
      </c>
      <c r="B212" s="238" t="s">
        <v>3988</v>
      </c>
      <c r="C212" s="238" t="s">
        <v>3989</v>
      </c>
      <c r="D212" s="119">
        <v>178</v>
      </c>
      <c r="E212" s="79">
        <v>53.1</v>
      </c>
      <c r="F212" s="79"/>
      <c r="G212" s="79">
        <v>53.1</v>
      </c>
      <c r="H212" s="79"/>
      <c r="I212" s="79">
        <v>53.1</v>
      </c>
      <c r="J212" s="79"/>
      <c r="K212" s="79">
        <v>0</v>
      </c>
      <c r="L212" s="79"/>
      <c r="M212" s="79">
        <v>0</v>
      </c>
      <c r="N212" s="79"/>
      <c r="O212" s="79">
        <v>0</v>
      </c>
      <c r="P212" s="79"/>
      <c r="Q212" s="139">
        <f t="shared" si="14"/>
        <v>26.55</v>
      </c>
      <c r="R212" s="144" t="str">
        <f t="shared" si="16"/>
        <v>NO</v>
      </c>
      <c r="S212" s="145" t="str">
        <f t="shared" si="15"/>
        <v>Medio</v>
      </c>
      <c r="T212" s="60"/>
    </row>
    <row r="213" spans="1:20" s="59" customFormat="1" ht="32.1" customHeight="1">
      <c r="A213" s="419" t="s">
        <v>139</v>
      </c>
      <c r="B213" s="238" t="s">
        <v>3990</v>
      </c>
      <c r="C213" s="238" t="s">
        <v>3991</v>
      </c>
      <c r="D213" s="119">
        <v>48</v>
      </c>
      <c r="E213" s="79"/>
      <c r="F213" s="79"/>
      <c r="G213" s="79">
        <v>53.1</v>
      </c>
      <c r="H213" s="79"/>
      <c r="I213" s="79"/>
      <c r="J213" s="79">
        <v>53.1</v>
      </c>
      <c r="K213" s="79"/>
      <c r="L213" s="79"/>
      <c r="M213" s="79"/>
      <c r="N213" s="79">
        <v>53.1</v>
      </c>
      <c r="O213" s="79"/>
      <c r="P213" s="79"/>
      <c r="Q213" s="139">
        <f t="shared" si="14"/>
        <v>53.1</v>
      </c>
      <c r="R213" s="144" t="str">
        <f t="shared" si="16"/>
        <v>NO</v>
      </c>
      <c r="S213" s="145" t="str">
        <f t="shared" si="15"/>
        <v>Alto</v>
      </c>
      <c r="T213" s="60"/>
    </row>
    <row r="214" spans="1:20" s="59" customFormat="1" ht="32.1" customHeight="1">
      <c r="A214" s="419" t="s">
        <v>139</v>
      </c>
      <c r="B214" s="238" t="s">
        <v>481</v>
      </c>
      <c r="C214" s="238" t="s">
        <v>3992</v>
      </c>
      <c r="D214" s="114">
        <v>54</v>
      </c>
      <c r="E214" s="79"/>
      <c r="F214" s="79"/>
      <c r="G214" s="79"/>
      <c r="H214" s="79"/>
      <c r="I214" s="79">
        <v>53.1</v>
      </c>
      <c r="J214" s="79"/>
      <c r="K214" s="79"/>
      <c r="L214" s="79"/>
      <c r="M214" s="79"/>
      <c r="N214" s="79">
        <v>26.09</v>
      </c>
      <c r="O214" s="79"/>
      <c r="P214" s="79"/>
      <c r="Q214" s="139">
        <f t="shared" si="14"/>
        <v>39.594999999999999</v>
      </c>
      <c r="R214" s="144" t="str">
        <f t="shared" si="16"/>
        <v>NO</v>
      </c>
      <c r="S214" s="145" t="str">
        <f t="shared" si="15"/>
        <v>Alto</v>
      </c>
      <c r="T214" s="60"/>
    </row>
    <row r="215" spans="1:20" s="59" customFormat="1" ht="32.1" customHeight="1">
      <c r="A215" s="419" t="s">
        <v>139</v>
      </c>
      <c r="B215" s="238" t="s">
        <v>3993</v>
      </c>
      <c r="C215" s="238" t="s">
        <v>3994</v>
      </c>
      <c r="D215" s="119">
        <v>70</v>
      </c>
      <c r="E215" s="79"/>
      <c r="F215" s="79"/>
      <c r="G215" s="79"/>
      <c r="H215" s="79"/>
      <c r="I215" s="79">
        <v>53.1</v>
      </c>
      <c r="J215" s="79"/>
      <c r="K215" s="79"/>
      <c r="L215" s="79">
        <v>53.1</v>
      </c>
      <c r="M215" s="79"/>
      <c r="N215" s="79"/>
      <c r="O215" s="79"/>
      <c r="P215" s="79"/>
      <c r="Q215" s="139">
        <f t="shared" si="14"/>
        <v>53.1</v>
      </c>
      <c r="R215" s="144" t="str">
        <f t="shared" si="16"/>
        <v>NO</v>
      </c>
      <c r="S215" s="145" t="str">
        <f t="shared" si="15"/>
        <v>Alto</v>
      </c>
      <c r="T215" s="60"/>
    </row>
    <row r="216" spans="1:20" s="59" customFormat="1" ht="32.1" customHeight="1">
      <c r="A216" s="419" t="s">
        <v>139</v>
      </c>
      <c r="B216" s="238" t="s">
        <v>9</v>
      </c>
      <c r="C216" s="238" t="s">
        <v>3995</v>
      </c>
      <c r="D216" s="119">
        <v>53</v>
      </c>
      <c r="E216" s="79"/>
      <c r="F216" s="79"/>
      <c r="G216" s="79"/>
      <c r="H216" s="79"/>
      <c r="I216" s="79"/>
      <c r="J216" s="79">
        <v>53.1</v>
      </c>
      <c r="K216" s="79"/>
      <c r="L216" s="79"/>
      <c r="M216" s="79">
        <v>53.1</v>
      </c>
      <c r="N216" s="79"/>
      <c r="O216" s="79"/>
      <c r="P216" s="79"/>
      <c r="Q216" s="139">
        <f t="shared" si="14"/>
        <v>53.1</v>
      </c>
      <c r="R216" s="144" t="str">
        <f t="shared" si="16"/>
        <v>NO</v>
      </c>
      <c r="S216" s="145" t="str">
        <f t="shared" si="15"/>
        <v>Alto</v>
      </c>
      <c r="T216" s="60"/>
    </row>
    <row r="217" spans="1:20" s="59" customFormat="1" ht="32.1" customHeight="1">
      <c r="A217" s="419" t="s">
        <v>139</v>
      </c>
      <c r="B217" s="238" t="s">
        <v>3137</v>
      </c>
      <c r="C217" s="238" t="s">
        <v>3996</v>
      </c>
      <c r="D217" s="114">
        <v>74</v>
      </c>
      <c r="E217" s="79"/>
      <c r="F217" s="79"/>
      <c r="G217" s="79">
        <v>0</v>
      </c>
      <c r="H217" s="79"/>
      <c r="I217" s="79"/>
      <c r="J217" s="79"/>
      <c r="K217" s="79"/>
      <c r="L217" s="79">
        <v>53.1</v>
      </c>
      <c r="M217" s="79"/>
      <c r="N217" s="79"/>
      <c r="O217" s="79">
        <v>0</v>
      </c>
      <c r="P217" s="79"/>
      <c r="Q217" s="139">
        <f t="shared" si="14"/>
        <v>17.7</v>
      </c>
      <c r="R217" s="144" t="str">
        <f t="shared" si="16"/>
        <v>NO</v>
      </c>
      <c r="S217" s="145" t="str">
        <f t="shared" si="15"/>
        <v>Medio</v>
      </c>
      <c r="T217" s="60"/>
    </row>
    <row r="218" spans="1:20" s="59" customFormat="1" ht="32.1" customHeight="1">
      <c r="A218" s="419" t="s">
        <v>139</v>
      </c>
      <c r="B218" s="238" t="s">
        <v>3997</v>
      </c>
      <c r="C218" s="238" t="s">
        <v>3998</v>
      </c>
      <c r="D218" s="119">
        <v>41</v>
      </c>
      <c r="E218" s="79"/>
      <c r="F218" s="79"/>
      <c r="G218" s="79">
        <v>53.1</v>
      </c>
      <c r="H218" s="79"/>
      <c r="I218" s="79"/>
      <c r="J218" s="79"/>
      <c r="K218" s="79"/>
      <c r="L218" s="79">
        <v>53.1</v>
      </c>
      <c r="M218" s="79"/>
      <c r="N218" s="79"/>
      <c r="O218" s="79">
        <v>53.1</v>
      </c>
      <c r="P218" s="79"/>
      <c r="Q218" s="139">
        <f t="shared" si="14"/>
        <v>53.1</v>
      </c>
      <c r="R218" s="144" t="str">
        <f t="shared" si="16"/>
        <v>NO</v>
      </c>
      <c r="S218" s="145" t="str">
        <f t="shared" si="15"/>
        <v>Alto</v>
      </c>
      <c r="T218" s="60"/>
    </row>
    <row r="219" spans="1:20" s="59" customFormat="1" ht="32.1" customHeight="1">
      <c r="A219" s="419" t="s">
        <v>139</v>
      </c>
      <c r="B219" s="238" t="s">
        <v>3999</v>
      </c>
      <c r="C219" s="238" t="s">
        <v>4000</v>
      </c>
      <c r="D219" s="119">
        <v>39</v>
      </c>
      <c r="E219" s="79"/>
      <c r="F219" s="79"/>
      <c r="G219" s="79"/>
      <c r="H219" s="79"/>
      <c r="I219" s="79">
        <v>0</v>
      </c>
      <c r="J219" s="79"/>
      <c r="K219" s="79"/>
      <c r="L219" s="79">
        <v>53.1</v>
      </c>
      <c r="M219" s="79"/>
      <c r="N219" s="79">
        <v>0</v>
      </c>
      <c r="O219" s="79"/>
      <c r="P219" s="79"/>
      <c r="Q219" s="139">
        <f t="shared" si="14"/>
        <v>17.7</v>
      </c>
      <c r="R219" s="144" t="str">
        <f t="shared" si="16"/>
        <v>NO</v>
      </c>
      <c r="S219" s="145" t="str">
        <f t="shared" si="15"/>
        <v>Medio</v>
      </c>
      <c r="T219" s="60"/>
    </row>
    <row r="220" spans="1:20" s="59" customFormat="1" ht="32.1" customHeight="1">
      <c r="A220" s="419" t="s">
        <v>139</v>
      </c>
      <c r="B220" s="238" t="s">
        <v>4001</v>
      </c>
      <c r="C220" s="238" t="s">
        <v>4002</v>
      </c>
      <c r="D220" s="114">
        <v>14</v>
      </c>
      <c r="E220" s="79"/>
      <c r="F220" s="79"/>
      <c r="G220" s="79"/>
      <c r="H220" s="79">
        <v>53.1</v>
      </c>
      <c r="I220" s="79"/>
      <c r="J220" s="79"/>
      <c r="K220" s="79"/>
      <c r="L220" s="79"/>
      <c r="M220" s="79"/>
      <c r="N220" s="79">
        <v>53.1</v>
      </c>
      <c r="O220" s="79"/>
      <c r="P220" s="79"/>
      <c r="Q220" s="139">
        <f t="shared" si="14"/>
        <v>53.1</v>
      </c>
      <c r="R220" s="144" t="str">
        <f t="shared" si="16"/>
        <v>NO</v>
      </c>
      <c r="S220" s="145" t="str">
        <f t="shared" si="15"/>
        <v>Alto</v>
      </c>
      <c r="T220" s="60"/>
    </row>
    <row r="221" spans="1:20" s="59" customFormat="1" ht="32.1" customHeight="1">
      <c r="A221" s="419" t="s">
        <v>139</v>
      </c>
      <c r="B221" s="238" t="s">
        <v>64</v>
      </c>
      <c r="C221" s="238" t="s">
        <v>4003</v>
      </c>
      <c r="D221" s="119">
        <v>132</v>
      </c>
      <c r="E221" s="79"/>
      <c r="F221" s="79"/>
      <c r="G221" s="79"/>
      <c r="H221" s="79"/>
      <c r="I221" s="79">
        <v>53.1</v>
      </c>
      <c r="J221" s="79"/>
      <c r="K221" s="79"/>
      <c r="L221" s="79"/>
      <c r="M221" s="79">
        <v>53.1</v>
      </c>
      <c r="N221" s="79"/>
      <c r="O221" s="79"/>
      <c r="P221" s="79"/>
      <c r="Q221" s="139">
        <f t="shared" si="14"/>
        <v>53.1</v>
      </c>
      <c r="R221" s="144" t="str">
        <f t="shared" si="16"/>
        <v>NO</v>
      </c>
      <c r="S221" s="145" t="str">
        <f t="shared" si="15"/>
        <v>Alto</v>
      </c>
      <c r="T221" s="60"/>
    </row>
    <row r="222" spans="1:20" s="59" customFormat="1" ht="32.1" customHeight="1">
      <c r="A222" s="419" t="s">
        <v>139</v>
      </c>
      <c r="B222" s="238" t="s">
        <v>4004</v>
      </c>
      <c r="C222" s="238" t="s">
        <v>4005</v>
      </c>
      <c r="D222" s="119">
        <v>120</v>
      </c>
      <c r="E222" s="79">
        <v>0</v>
      </c>
      <c r="F222" s="79"/>
      <c r="G222" s="79">
        <v>0</v>
      </c>
      <c r="H222" s="79"/>
      <c r="I222" s="79">
        <v>0</v>
      </c>
      <c r="J222" s="79"/>
      <c r="K222" s="79">
        <v>0</v>
      </c>
      <c r="L222" s="79"/>
      <c r="M222" s="79">
        <v>53.1</v>
      </c>
      <c r="N222" s="79"/>
      <c r="O222" s="79">
        <v>0</v>
      </c>
      <c r="P222" s="79">
        <v>0</v>
      </c>
      <c r="Q222" s="139">
        <f t="shared" si="14"/>
        <v>7.5857142857142863</v>
      </c>
      <c r="R222" s="144" t="str">
        <f t="shared" si="16"/>
        <v>NO</v>
      </c>
      <c r="S222" s="145" t="str">
        <f t="shared" si="15"/>
        <v>Bajo</v>
      </c>
      <c r="T222" s="60"/>
    </row>
    <row r="223" spans="1:20" s="59" customFormat="1" ht="32.1" customHeight="1">
      <c r="A223" s="419" t="s">
        <v>139</v>
      </c>
      <c r="B223" s="238" t="s">
        <v>4006</v>
      </c>
      <c r="C223" s="238" t="s">
        <v>4007</v>
      </c>
      <c r="D223" s="119">
        <v>30</v>
      </c>
      <c r="E223" s="79">
        <v>0</v>
      </c>
      <c r="F223" s="79"/>
      <c r="G223" s="79">
        <v>0</v>
      </c>
      <c r="H223" s="79"/>
      <c r="I223" s="79">
        <v>0</v>
      </c>
      <c r="J223" s="79"/>
      <c r="K223" s="79">
        <v>0</v>
      </c>
      <c r="L223" s="79"/>
      <c r="M223" s="79">
        <v>0</v>
      </c>
      <c r="N223" s="79"/>
      <c r="O223" s="79">
        <v>0</v>
      </c>
      <c r="P223" s="79">
        <v>0</v>
      </c>
      <c r="Q223" s="139">
        <f t="shared" si="14"/>
        <v>0</v>
      </c>
      <c r="R223" s="144" t="str">
        <f t="shared" si="16"/>
        <v>SI</v>
      </c>
      <c r="S223" s="145" t="str">
        <f t="shared" si="15"/>
        <v>Sin Riesgo</v>
      </c>
      <c r="T223" s="60"/>
    </row>
    <row r="224" spans="1:20" s="59" customFormat="1" ht="32.1" customHeight="1">
      <c r="A224" s="419" t="s">
        <v>139</v>
      </c>
      <c r="B224" s="238" t="s">
        <v>2014</v>
      </c>
      <c r="C224" s="238" t="s">
        <v>4008</v>
      </c>
      <c r="D224" s="119">
        <v>220</v>
      </c>
      <c r="E224" s="79">
        <v>0</v>
      </c>
      <c r="F224" s="79"/>
      <c r="G224" s="79">
        <v>0</v>
      </c>
      <c r="H224" s="79"/>
      <c r="I224" s="79">
        <v>0</v>
      </c>
      <c r="J224" s="79"/>
      <c r="K224" s="79">
        <v>0</v>
      </c>
      <c r="L224" s="79"/>
      <c r="M224" s="79">
        <v>0</v>
      </c>
      <c r="N224" s="79"/>
      <c r="O224" s="79">
        <v>0</v>
      </c>
      <c r="P224" s="79">
        <v>0</v>
      </c>
      <c r="Q224" s="139">
        <f t="shared" si="14"/>
        <v>0</v>
      </c>
      <c r="R224" s="144" t="str">
        <f t="shared" si="16"/>
        <v>SI</v>
      </c>
      <c r="S224" s="145" t="str">
        <f t="shared" si="15"/>
        <v>Sin Riesgo</v>
      </c>
      <c r="T224" s="60"/>
    </row>
    <row r="225" spans="1:20" s="59" customFormat="1" ht="32.1" customHeight="1">
      <c r="A225" s="419" t="s">
        <v>139</v>
      </c>
      <c r="B225" s="238" t="s">
        <v>4009</v>
      </c>
      <c r="C225" s="238" t="s">
        <v>4010</v>
      </c>
      <c r="D225" s="119">
        <v>160</v>
      </c>
      <c r="E225" s="79"/>
      <c r="F225" s="79"/>
      <c r="G225" s="79">
        <v>53.1</v>
      </c>
      <c r="H225" s="79"/>
      <c r="I225" s="79"/>
      <c r="J225" s="79"/>
      <c r="K225" s="79"/>
      <c r="L225" s="79"/>
      <c r="M225" s="79"/>
      <c r="N225" s="79">
        <v>53.1</v>
      </c>
      <c r="O225" s="79"/>
      <c r="P225" s="79"/>
      <c r="Q225" s="139">
        <f t="shared" si="14"/>
        <v>53.1</v>
      </c>
      <c r="R225" s="144" t="str">
        <f t="shared" si="16"/>
        <v>NO</v>
      </c>
      <c r="S225" s="145" t="str">
        <f t="shared" si="15"/>
        <v>Alto</v>
      </c>
      <c r="T225" s="60"/>
    </row>
    <row r="226" spans="1:20" s="59" customFormat="1" ht="32.1" customHeight="1">
      <c r="A226" s="419" t="s">
        <v>139</v>
      </c>
      <c r="B226" s="238" t="s">
        <v>4011</v>
      </c>
      <c r="C226" s="238" t="s">
        <v>4012</v>
      </c>
      <c r="D226" s="119">
        <v>118</v>
      </c>
      <c r="E226" s="79">
        <v>0</v>
      </c>
      <c r="F226" s="79"/>
      <c r="G226" s="79">
        <v>0</v>
      </c>
      <c r="H226" s="79"/>
      <c r="I226" s="79">
        <v>0</v>
      </c>
      <c r="J226" s="79"/>
      <c r="K226" s="79">
        <v>0</v>
      </c>
      <c r="L226" s="79"/>
      <c r="M226" s="79">
        <v>0</v>
      </c>
      <c r="N226" s="79"/>
      <c r="O226" s="79">
        <v>0</v>
      </c>
      <c r="P226" s="79">
        <v>0</v>
      </c>
      <c r="Q226" s="139">
        <f t="shared" si="14"/>
        <v>0</v>
      </c>
      <c r="R226" s="144" t="str">
        <f t="shared" si="16"/>
        <v>SI</v>
      </c>
      <c r="S226" s="145" t="str">
        <f t="shared" si="15"/>
        <v>Sin Riesgo</v>
      </c>
      <c r="T226" s="60"/>
    </row>
    <row r="227" spans="1:20" s="59" customFormat="1" ht="32.1" customHeight="1">
      <c r="A227" s="419" t="s">
        <v>139</v>
      </c>
      <c r="B227" s="238" t="s">
        <v>20</v>
      </c>
      <c r="C227" s="238" t="s">
        <v>4013</v>
      </c>
      <c r="D227" s="119">
        <v>15</v>
      </c>
      <c r="E227" s="79"/>
      <c r="F227" s="79"/>
      <c r="G227" s="79"/>
      <c r="H227" s="79">
        <v>97.3</v>
      </c>
      <c r="I227" s="79"/>
      <c r="J227" s="79"/>
      <c r="K227" s="79"/>
      <c r="L227" s="79"/>
      <c r="M227" s="79"/>
      <c r="N227" s="79"/>
      <c r="O227" s="79"/>
      <c r="P227" s="79"/>
      <c r="Q227" s="139">
        <f t="shared" si="14"/>
        <v>97.3</v>
      </c>
      <c r="R227" s="144" t="str">
        <f t="shared" si="16"/>
        <v>NO</v>
      </c>
      <c r="S227" s="145" t="str">
        <f t="shared" si="15"/>
        <v>Inviable Sanitariamente</v>
      </c>
      <c r="T227" s="60"/>
    </row>
    <row r="228" spans="1:20" s="59" customFormat="1" ht="32.1" customHeight="1">
      <c r="A228" s="419" t="s">
        <v>139</v>
      </c>
      <c r="B228" s="238" t="s">
        <v>4014</v>
      </c>
      <c r="C228" s="238" t="s">
        <v>4015</v>
      </c>
      <c r="D228" s="119">
        <v>139</v>
      </c>
      <c r="E228" s="79"/>
      <c r="F228" s="79"/>
      <c r="G228" s="79"/>
      <c r="H228" s="79">
        <v>53.1</v>
      </c>
      <c r="I228" s="79"/>
      <c r="J228" s="79"/>
      <c r="K228" s="79"/>
      <c r="L228" s="79"/>
      <c r="M228" s="79">
        <v>53.1</v>
      </c>
      <c r="N228" s="79"/>
      <c r="O228" s="79"/>
      <c r="P228" s="79"/>
      <c r="Q228" s="139">
        <f t="shared" si="14"/>
        <v>53.1</v>
      </c>
      <c r="R228" s="144" t="str">
        <f t="shared" si="16"/>
        <v>NO</v>
      </c>
      <c r="S228" s="145" t="str">
        <f t="shared" si="15"/>
        <v>Alto</v>
      </c>
      <c r="T228" s="60"/>
    </row>
    <row r="229" spans="1:20" s="59" customFormat="1" ht="32.1" customHeight="1">
      <c r="A229" s="419" t="s">
        <v>139</v>
      </c>
      <c r="B229" s="238" t="s">
        <v>3544</v>
      </c>
      <c r="C229" s="238" t="s">
        <v>4016</v>
      </c>
      <c r="D229" s="119">
        <v>65</v>
      </c>
      <c r="E229" s="79"/>
      <c r="F229" s="79">
        <v>0</v>
      </c>
      <c r="G229" s="79"/>
      <c r="H229" s="79">
        <v>53.1</v>
      </c>
      <c r="I229" s="79"/>
      <c r="J229" s="79">
        <v>26.5</v>
      </c>
      <c r="K229" s="79"/>
      <c r="L229" s="79"/>
      <c r="M229" s="79"/>
      <c r="N229" s="79">
        <v>53.1</v>
      </c>
      <c r="O229" s="79">
        <v>0</v>
      </c>
      <c r="P229" s="79"/>
      <c r="Q229" s="139">
        <f t="shared" si="14"/>
        <v>26.54</v>
      </c>
      <c r="R229" s="144" t="str">
        <f t="shared" si="16"/>
        <v>NO</v>
      </c>
      <c r="S229" s="145" t="str">
        <f t="shared" si="15"/>
        <v>Medio</v>
      </c>
      <c r="T229" s="60"/>
    </row>
    <row r="230" spans="1:20" s="59" customFormat="1" ht="32.1" customHeight="1">
      <c r="A230" s="419" t="s">
        <v>139</v>
      </c>
      <c r="B230" s="238" t="s">
        <v>4017</v>
      </c>
      <c r="C230" s="238" t="s">
        <v>4018</v>
      </c>
      <c r="D230" s="119">
        <v>105</v>
      </c>
      <c r="E230" s="79"/>
      <c r="F230" s="79">
        <v>0</v>
      </c>
      <c r="G230" s="79"/>
      <c r="H230" s="79">
        <v>53.1</v>
      </c>
      <c r="I230" s="79"/>
      <c r="J230" s="79">
        <v>0</v>
      </c>
      <c r="K230" s="79"/>
      <c r="L230" s="79"/>
      <c r="M230" s="79"/>
      <c r="N230" s="79">
        <v>53.1</v>
      </c>
      <c r="O230" s="79">
        <v>0</v>
      </c>
      <c r="P230" s="79"/>
      <c r="Q230" s="139">
        <f t="shared" si="14"/>
        <v>21.240000000000002</v>
      </c>
      <c r="R230" s="144" t="str">
        <f t="shared" si="16"/>
        <v>NO</v>
      </c>
      <c r="S230" s="145" t="str">
        <f t="shared" si="15"/>
        <v>Medio</v>
      </c>
      <c r="T230" s="60"/>
    </row>
    <row r="231" spans="1:20" s="59" customFormat="1" ht="32.1" customHeight="1">
      <c r="A231" s="419" t="s">
        <v>139</v>
      </c>
      <c r="B231" s="238" t="s">
        <v>4019</v>
      </c>
      <c r="C231" s="238" t="s">
        <v>4020</v>
      </c>
      <c r="D231" s="119">
        <v>160</v>
      </c>
      <c r="E231" s="79"/>
      <c r="F231" s="79">
        <v>0</v>
      </c>
      <c r="G231" s="79"/>
      <c r="H231" s="79">
        <v>53.1</v>
      </c>
      <c r="I231" s="79"/>
      <c r="J231" s="79">
        <v>53.1</v>
      </c>
      <c r="K231" s="79"/>
      <c r="L231" s="79"/>
      <c r="M231" s="79">
        <v>53.1</v>
      </c>
      <c r="N231" s="79"/>
      <c r="O231" s="79">
        <v>53.1</v>
      </c>
      <c r="P231" s="79"/>
      <c r="Q231" s="139">
        <f t="shared" si="14"/>
        <v>42.480000000000004</v>
      </c>
      <c r="R231" s="144" t="str">
        <f t="shared" si="16"/>
        <v>NO</v>
      </c>
      <c r="S231" s="145" t="str">
        <f t="shared" si="15"/>
        <v>Alto</v>
      </c>
      <c r="T231" s="60"/>
    </row>
    <row r="232" spans="1:20" s="59" customFormat="1" ht="32.1" customHeight="1">
      <c r="A232" s="419" t="s">
        <v>139</v>
      </c>
      <c r="B232" s="238" t="s">
        <v>4021</v>
      </c>
      <c r="C232" s="238" t="s">
        <v>4022</v>
      </c>
      <c r="D232" s="119">
        <v>89</v>
      </c>
      <c r="E232" s="79"/>
      <c r="F232" s="79">
        <v>0</v>
      </c>
      <c r="G232" s="79"/>
      <c r="H232" s="79">
        <v>53.1</v>
      </c>
      <c r="I232" s="79"/>
      <c r="J232" s="79">
        <v>53.1</v>
      </c>
      <c r="K232" s="79"/>
      <c r="L232" s="79"/>
      <c r="M232" s="79">
        <v>53.1</v>
      </c>
      <c r="N232" s="79"/>
      <c r="O232" s="79">
        <v>53.1</v>
      </c>
      <c r="P232" s="79"/>
      <c r="Q232" s="139">
        <f t="shared" si="14"/>
        <v>42.480000000000004</v>
      </c>
      <c r="R232" s="144" t="str">
        <f t="shared" si="16"/>
        <v>NO</v>
      </c>
      <c r="S232" s="145" t="str">
        <f t="shared" si="15"/>
        <v>Alto</v>
      </c>
      <c r="T232" s="60"/>
    </row>
    <row r="233" spans="1:20" s="59" customFormat="1" ht="32.1" customHeight="1">
      <c r="A233" s="419" t="s">
        <v>139</v>
      </c>
      <c r="B233" s="238" t="s">
        <v>707</v>
      </c>
      <c r="C233" s="238" t="s">
        <v>4023</v>
      </c>
      <c r="D233" s="119">
        <v>26</v>
      </c>
      <c r="E233" s="79"/>
      <c r="F233" s="79"/>
      <c r="G233" s="79"/>
      <c r="H233" s="79">
        <v>53.1</v>
      </c>
      <c r="I233" s="79"/>
      <c r="J233" s="79"/>
      <c r="K233" s="79"/>
      <c r="L233" s="79"/>
      <c r="M233" s="79"/>
      <c r="N233" s="79">
        <v>53.1</v>
      </c>
      <c r="O233" s="79"/>
      <c r="P233" s="79"/>
      <c r="Q233" s="139">
        <f t="shared" ref="Q233:Q266" si="17">AVERAGE(E233:P233)</f>
        <v>53.1</v>
      </c>
      <c r="R233" s="144" t="str">
        <f t="shared" si="16"/>
        <v>NO</v>
      </c>
      <c r="S233" s="145" t="str">
        <f t="shared" si="15"/>
        <v>Alto</v>
      </c>
      <c r="T233" s="60"/>
    </row>
    <row r="234" spans="1:20" s="59" customFormat="1" ht="32.1" customHeight="1">
      <c r="A234" s="419" t="s">
        <v>139</v>
      </c>
      <c r="B234" s="238" t="s">
        <v>3157</v>
      </c>
      <c r="C234" s="238" t="s">
        <v>4024</v>
      </c>
      <c r="D234" s="119">
        <v>17</v>
      </c>
      <c r="E234" s="79"/>
      <c r="F234" s="79"/>
      <c r="G234" s="79"/>
      <c r="H234" s="79">
        <v>53.1</v>
      </c>
      <c r="I234" s="79"/>
      <c r="J234" s="79"/>
      <c r="K234" s="79"/>
      <c r="L234" s="79"/>
      <c r="M234" s="79"/>
      <c r="N234" s="79">
        <v>53.1</v>
      </c>
      <c r="O234" s="79"/>
      <c r="P234" s="79"/>
      <c r="Q234" s="139">
        <f t="shared" si="17"/>
        <v>53.1</v>
      </c>
      <c r="R234" s="144" t="str">
        <f t="shared" si="16"/>
        <v>NO</v>
      </c>
      <c r="S234" s="145" t="str">
        <f t="shared" si="15"/>
        <v>Alto</v>
      </c>
      <c r="T234" s="60"/>
    </row>
    <row r="235" spans="1:20" s="59" customFormat="1" ht="32.1" customHeight="1">
      <c r="A235" s="419" t="s">
        <v>139</v>
      </c>
      <c r="B235" s="238" t="s">
        <v>240</v>
      </c>
      <c r="C235" s="238" t="s">
        <v>4441</v>
      </c>
      <c r="D235" s="119"/>
      <c r="E235" s="79"/>
      <c r="F235" s="79"/>
      <c r="G235" s="79"/>
      <c r="H235" s="79"/>
      <c r="I235" s="79">
        <v>53.1</v>
      </c>
      <c r="J235" s="79"/>
      <c r="K235" s="79"/>
      <c r="L235" s="79"/>
      <c r="M235" s="79">
        <v>53.1</v>
      </c>
      <c r="N235" s="79"/>
      <c r="O235" s="79"/>
      <c r="P235" s="79"/>
      <c r="Q235" s="139">
        <f>AVERAGE(E235:P235)</f>
        <v>53.1</v>
      </c>
      <c r="R235" s="144" t="str">
        <f t="shared" si="16"/>
        <v>NO</v>
      </c>
      <c r="S235" s="145" t="str">
        <f t="shared" si="15"/>
        <v>Alto</v>
      </c>
      <c r="T235" s="60"/>
    </row>
    <row r="236" spans="1:20" s="59" customFormat="1" ht="32.1" customHeight="1">
      <c r="A236" s="419" t="s">
        <v>139</v>
      </c>
      <c r="B236" s="238" t="s">
        <v>4442</v>
      </c>
      <c r="C236" s="238" t="s">
        <v>4441</v>
      </c>
      <c r="D236" s="119"/>
      <c r="E236" s="79"/>
      <c r="F236" s="79"/>
      <c r="G236" s="79"/>
      <c r="H236" s="79"/>
      <c r="I236" s="79"/>
      <c r="J236" s="79">
        <v>53.1</v>
      </c>
      <c r="K236" s="79"/>
      <c r="L236" s="79">
        <v>53.1</v>
      </c>
      <c r="M236" s="79"/>
      <c r="N236" s="79"/>
      <c r="O236" s="79"/>
      <c r="P236" s="79"/>
      <c r="Q236" s="139">
        <f>AVERAGE(E236:P236)</f>
        <v>53.1</v>
      </c>
      <c r="R236" s="144" t="str">
        <f t="shared" si="16"/>
        <v>NO</v>
      </c>
      <c r="S236" s="145" t="str">
        <f t="shared" si="15"/>
        <v>Alto</v>
      </c>
      <c r="T236" s="60"/>
    </row>
    <row r="237" spans="1:20" s="211" customFormat="1" ht="32.1" customHeight="1">
      <c r="A237" s="419" t="s">
        <v>140</v>
      </c>
      <c r="B237" s="238" t="s">
        <v>4025</v>
      </c>
      <c r="C237" s="238" t="s">
        <v>4026</v>
      </c>
      <c r="D237" s="119">
        <v>64</v>
      </c>
      <c r="E237" s="353"/>
      <c r="F237" s="79"/>
      <c r="G237" s="79"/>
      <c r="H237" s="79"/>
      <c r="I237" s="79"/>
      <c r="J237" s="79"/>
      <c r="K237" s="79">
        <v>0</v>
      </c>
      <c r="L237" s="79"/>
      <c r="M237" s="79"/>
      <c r="N237" s="79"/>
      <c r="O237" s="79"/>
      <c r="P237" s="79"/>
      <c r="Q237" s="139">
        <f t="shared" si="17"/>
        <v>0</v>
      </c>
      <c r="R237" s="144" t="str">
        <f t="shared" si="16"/>
        <v>SI</v>
      </c>
      <c r="S237" s="145" t="str">
        <f t="shared" si="15"/>
        <v>Sin Riesgo</v>
      </c>
      <c r="T237" s="215"/>
    </row>
    <row r="238" spans="1:20" s="59" customFormat="1" ht="32.1" customHeight="1">
      <c r="A238" s="419" t="s">
        <v>140</v>
      </c>
      <c r="B238" s="238" t="s">
        <v>4027</v>
      </c>
      <c r="C238" s="238" t="s">
        <v>4028</v>
      </c>
      <c r="D238" s="119">
        <v>100</v>
      </c>
      <c r="E238" s="79"/>
      <c r="F238" s="79"/>
      <c r="G238" s="79"/>
      <c r="H238" s="79"/>
      <c r="I238" s="79"/>
      <c r="J238" s="79"/>
      <c r="K238" s="79"/>
      <c r="L238" s="79">
        <v>90.9</v>
      </c>
      <c r="M238" s="79"/>
      <c r="N238" s="79"/>
      <c r="O238" s="79"/>
      <c r="P238" s="79"/>
      <c r="Q238" s="139">
        <f t="shared" si="17"/>
        <v>90.9</v>
      </c>
      <c r="R238" s="144" t="str">
        <f t="shared" si="16"/>
        <v>NO</v>
      </c>
      <c r="S238" s="145" t="str">
        <f t="shared" si="15"/>
        <v>Inviable Sanitariamente</v>
      </c>
      <c r="T238" s="60"/>
    </row>
    <row r="239" spans="1:20" s="59" customFormat="1" ht="32.1" customHeight="1">
      <c r="A239" s="419" t="s">
        <v>140</v>
      </c>
      <c r="B239" s="238" t="s">
        <v>3157</v>
      </c>
      <c r="C239" s="238" t="s">
        <v>4029</v>
      </c>
      <c r="D239" s="119">
        <v>25</v>
      </c>
      <c r="E239" s="79"/>
      <c r="F239" s="79"/>
      <c r="G239" s="79"/>
      <c r="H239" s="79">
        <v>90.9</v>
      </c>
      <c r="I239" s="79"/>
      <c r="J239" s="79"/>
      <c r="K239" s="79"/>
      <c r="L239" s="79"/>
      <c r="M239" s="79"/>
      <c r="N239" s="79"/>
      <c r="O239" s="79"/>
      <c r="P239" s="79"/>
      <c r="Q239" s="139">
        <f t="shared" si="17"/>
        <v>90.9</v>
      </c>
      <c r="R239" s="144" t="str">
        <f t="shared" si="16"/>
        <v>NO</v>
      </c>
      <c r="S239" s="145" t="str">
        <f t="shared" si="15"/>
        <v>Inviable Sanitariamente</v>
      </c>
      <c r="T239" s="60"/>
    </row>
    <row r="240" spans="1:20" s="59" customFormat="1" ht="32.1" customHeight="1">
      <c r="A240" s="419" t="s">
        <v>140</v>
      </c>
      <c r="B240" s="238" t="s">
        <v>4030</v>
      </c>
      <c r="C240" s="238" t="s">
        <v>4031</v>
      </c>
      <c r="D240" s="119">
        <v>30</v>
      </c>
      <c r="E240" s="79"/>
      <c r="F240" s="79"/>
      <c r="G240" s="79"/>
      <c r="H240" s="79"/>
      <c r="I240" s="79"/>
      <c r="J240" s="79"/>
      <c r="K240" s="79"/>
      <c r="L240" s="79">
        <v>90.9</v>
      </c>
      <c r="M240" s="79"/>
      <c r="N240" s="79"/>
      <c r="O240" s="79"/>
      <c r="P240" s="79"/>
      <c r="Q240" s="139">
        <f t="shared" si="17"/>
        <v>90.9</v>
      </c>
      <c r="R240" s="144" t="str">
        <f t="shared" si="16"/>
        <v>NO</v>
      </c>
      <c r="S240" s="145" t="str">
        <f t="shared" si="15"/>
        <v>Inviable Sanitariamente</v>
      </c>
      <c r="T240" s="60"/>
    </row>
    <row r="241" spans="1:20" s="59" customFormat="1" ht="32.1" customHeight="1">
      <c r="A241" s="419" t="s">
        <v>140</v>
      </c>
      <c r="B241" s="238" t="s">
        <v>4032</v>
      </c>
      <c r="C241" s="238" t="s">
        <v>4033</v>
      </c>
      <c r="D241" s="119">
        <v>176</v>
      </c>
      <c r="E241" s="79"/>
      <c r="F241" s="79"/>
      <c r="G241" s="79"/>
      <c r="H241" s="79"/>
      <c r="I241" s="79"/>
      <c r="J241" s="79"/>
      <c r="K241" s="79"/>
      <c r="L241" s="79"/>
      <c r="M241" s="79"/>
      <c r="N241" s="79"/>
      <c r="O241" s="79">
        <v>0</v>
      </c>
      <c r="P241" s="79"/>
      <c r="Q241" s="139">
        <f t="shared" si="17"/>
        <v>0</v>
      </c>
      <c r="R241" s="144" t="str">
        <f t="shared" si="16"/>
        <v>SI</v>
      </c>
      <c r="S241" s="145" t="str">
        <f t="shared" si="15"/>
        <v>Sin Riesgo</v>
      </c>
      <c r="T241" s="60"/>
    </row>
    <row r="242" spans="1:20" s="59" customFormat="1" ht="32.1" customHeight="1">
      <c r="A242" s="419" t="s">
        <v>140</v>
      </c>
      <c r="B242" s="328" t="s">
        <v>4034</v>
      </c>
      <c r="C242" s="328" t="s">
        <v>4035</v>
      </c>
      <c r="D242" s="119"/>
      <c r="E242" s="79"/>
      <c r="F242" s="79"/>
      <c r="G242" s="79"/>
      <c r="H242" s="79"/>
      <c r="I242" s="79"/>
      <c r="J242" s="79"/>
      <c r="K242" s="79"/>
      <c r="L242" s="79"/>
      <c r="M242" s="79"/>
      <c r="N242" s="79"/>
      <c r="O242" s="79"/>
      <c r="P242" s="79"/>
      <c r="Q242" s="139" t="e">
        <f t="shared" si="17"/>
        <v>#DIV/0!</v>
      </c>
      <c r="R242" s="144" t="e">
        <f t="shared" si="16"/>
        <v>#DIV/0!</v>
      </c>
      <c r="S242" s="145" t="e">
        <f t="shared" si="15"/>
        <v>#DIV/0!</v>
      </c>
      <c r="T242" s="60"/>
    </row>
    <row r="243" spans="1:20" s="59" customFormat="1" ht="32.1" customHeight="1">
      <c r="A243" s="419" t="s">
        <v>140</v>
      </c>
      <c r="B243" s="328" t="s">
        <v>4036</v>
      </c>
      <c r="C243" s="328" t="s">
        <v>4037</v>
      </c>
      <c r="D243" s="119"/>
      <c r="E243" s="79"/>
      <c r="F243" s="79"/>
      <c r="G243" s="79"/>
      <c r="H243" s="79"/>
      <c r="I243" s="79"/>
      <c r="J243" s="79"/>
      <c r="K243" s="79"/>
      <c r="L243" s="79"/>
      <c r="M243" s="79"/>
      <c r="N243" s="79"/>
      <c r="O243" s="79"/>
      <c r="P243" s="79"/>
      <c r="Q243" s="139" t="e">
        <f t="shared" si="17"/>
        <v>#DIV/0!</v>
      </c>
      <c r="R243" s="144" t="e">
        <f t="shared" si="16"/>
        <v>#DIV/0!</v>
      </c>
      <c r="S243" s="145" t="e">
        <f t="shared" si="15"/>
        <v>#DIV/0!</v>
      </c>
      <c r="T243" s="60"/>
    </row>
    <row r="244" spans="1:20" s="59" customFormat="1" ht="32.1" customHeight="1">
      <c r="A244" s="419" t="s">
        <v>140</v>
      </c>
      <c r="B244" s="238" t="s">
        <v>4038</v>
      </c>
      <c r="C244" s="238" t="s">
        <v>4039</v>
      </c>
      <c r="D244" s="114">
        <v>90</v>
      </c>
      <c r="E244" s="79"/>
      <c r="F244" s="79"/>
      <c r="G244" s="79"/>
      <c r="H244" s="79"/>
      <c r="I244" s="79"/>
      <c r="J244" s="79"/>
      <c r="K244" s="79"/>
      <c r="L244" s="79">
        <v>90.9</v>
      </c>
      <c r="M244" s="79"/>
      <c r="N244" s="79"/>
      <c r="O244" s="79"/>
      <c r="P244" s="79"/>
      <c r="Q244" s="139">
        <f t="shared" si="17"/>
        <v>90.9</v>
      </c>
      <c r="R244" s="144" t="str">
        <f t="shared" si="16"/>
        <v>NO</v>
      </c>
      <c r="S244" s="145" t="str">
        <f t="shared" si="15"/>
        <v>Inviable Sanitariamente</v>
      </c>
      <c r="T244" s="60"/>
    </row>
    <row r="245" spans="1:20" s="59" customFormat="1" ht="32.1" customHeight="1">
      <c r="A245" s="419" t="s">
        <v>140</v>
      </c>
      <c r="B245" s="238" t="s">
        <v>1</v>
      </c>
      <c r="C245" s="238" t="s">
        <v>4040</v>
      </c>
      <c r="D245" s="119">
        <v>16</v>
      </c>
      <c r="E245" s="79"/>
      <c r="F245" s="79"/>
      <c r="G245" s="79"/>
      <c r="H245" s="79"/>
      <c r="I245" s="79">
        <v>90.9</v>
      </c>
      <c r="J245" s="79"/>
      <c r="K245" s="79"/>
      <c r="L245" s="79">
        <v>90.85</v>
      </c>
      <c r="M245" s="79"/>
      <c r="N245" s="79"/>
      <c r="O245" s="79"/>
      <c r="P245" s="79"/>
      <c r="Q245" s="139">
        <f t="shared" si="17"/>
        <v>90.875</v>
      </c>
      <c r="R245" s="144" t="str">
        <f t="shared" si="16"/>
        <v>NO</v>
      </c>
      <c r="S245" s="145" t="str">
        <f t="shared" si="15"/>
        <v>Inviable Sanitariamente</v>
      </c>
      <c r="T245" s="60"/>
    </row>
    <row r="246" spans="1:20" s="59" customFormat="1" ht="32.1" customHeight="1">
      <c r="A246" s="419" t="s">
        <v>140</v>
      </c>
      <c r="B246" s="238" t="s">
        <v>4041</v>
      </c>
      <c r="C246" s="238" t="s">
        <v>4042</v>
      </c>
      <c r="D246" s="119">
        <v>16</v>
      </c>
      <c r="E246" s="79"/>
      <c r="F246" s="79"/>
      <c r="G246" s="79"/>
      <c r="H246" s="79"/>
      <c r="I246" s="79"/>
      <c r="J246" s="79"/>
      <c r="K246" s="79"/>
      <c r="L246" s="79">
        <v>90.9</v>
      </c>
      <c r="M246" s="79"/>
      <c r="N246" s="79"/>
      <c r="O246" s="79"/>
      <c r="P246" s="79"/>
      <c r="Q246" s="139">
        <f t="shared" si="17"/>
        <v>90.9</v>
      </c>
      <c r="R246" s="144" t="str">
        <f t="shared" si="16"/>
        <v>NO</v>
      </c>
      <c r="S246" s="145" t="str">
        <f t="shared" si="15"/>
        <v>Inviable Sanitariamente</v>
      </c>
      <c r="T246" s="60"/>
    </row>
    <row r="247" spans="1:20" s="59" customFormat="1" ht="32.1" customHeight="1">
      <c r="A247" s="419" t="s">
        <v>140</v>
      </c>
      <c r="B247" s="238" t="s">
        <v>4043</v>
      </c>
      <c r="C247" s="238" t="s">
        <v>4044</v>
      </c>
      <c r="D247" s="114">
        <v>55</v>
      </c>
      <c r="E247" s="79"/>
      <c r="F247" s="79">
        <v>90.9</v>
      </c>
      <c r="G247" s="79"/>
      <c r="H247" s="79"/>
      <c r="I247" s="79"/>
      <c r="J247" s="79"/>
      <c r="K247" s="79"/>
      <c r="L247" s="79"/>
      <c r="M247" s="79"/>
      <c r="N247" s="79"/>
      <c r="O247" s="79"/>
      <c r="P247" s="79"/>
      <c r="Q247" s="139">
        <f t="shared" si="17"/>
        <v>90.9</v>
      </c>
      <c r="R247" s="144" t="str">
        <f t="shared" si="16"/>
        <v>NO</v>
      </c>
      <c r="S247" s="145" t="str">
        <f t="shared" si="15"/>
        <v>Inviable Sanitariamente</v>
      </c>
      <c r="T247" s="60"/>
    </row>
    <row r="248" spans="1:20" s="59" customFormat="1" ht="32.1" customHeight="1">
      <c r="A248" s="419" t="s">
        <v>140</v>
      </c>
      <c r="B248" s="238" t="s">
        <v>4045</v>
      </c>
      <c r="C248" s="238" t="s">
        <v>4046</v>
      </c>
      <c r="D248" s="119">
        <v>82</v>
      </c>
      <c r="E248" s="79"/>
      <c r="F248" s="79"/>
      <c r="G248" s="79"/>
      <c r="H248" s="79"/>
      <c r="I248" s="79"/>
      <c r="J248" s="79"/>
      <c r="K248" s="79">
        <v>0</v>
      </c>
      <c r="L248" s="79"/>
      <c r="M248" s="79"/>
      <c r="N248" s="79"/>
      <c r="O248" s="79"/>
      <c r="P248" s="79"/>
      <c r="Q248" s="139">
        <f t="shared" si="17"/>
        <v>0</v>
      </c>
      <c r="R248" s="144" t="str">
        <f t="shared" si="16"/>
        <v>SI</v>
      </c>
      <c r="S248" s="145" t="str">
        <f t="shared" si="15"/>
        <v>Sin Riesgo</v>
      </c>
      <c r="T248" s="60"/>
    </row>
    <row r="249" spans="1:20" s="59" customFormat="1" ht="32.1" customHeight="1">
      <c r="A249" s="419" t="s">
        <v>141</v>
      </c>
      <c r="B249" s="238" t="s">
        <v>4047</v>
      </c>
      <c r="C249" s="486" t="s">
        <v>4048</v>
      </c>
      <c r="D249" s="119">
        <v>302</v>
      </c>
      <c r="E249" s="79"/>
      <c r="F249" s="79"/>
      <c r="G249" s="79"/>
      <c r="H249" s="79"/>
      <c r="I249" s="79"/>
      <c r="J249" s="79">
        <v>48</v>
      </c>
      <c r="K249" s="79"/>
      <c r="L249" s="79"/>
      <c r="M249" s="79"/>
      <c r="N249" s="79"/>
      <c r="O249" s="79"/>
      <c r="P249" s="79">
        <v>48</v>
      </c>
      <c r="Q249" s="139">
        <f t="shared" si="17"/>
        <v>48</v>
      </c>
      <c r="R249" s="144" t="str">
        <f t="shared" si="16"/>
        <v>NO</v>
      </c>
      <c r="S249" s="145" t="str">
        <f t="shared" si="15"/>
        <v>Alto</v>
      </c>
      <c r="T249" s="60"/>
    </row>
    <row r="250" spans="1:20" s="59" customFormat="1" ht="32.1" customHeight="1">
      <c r="A250" s="419" t="s">
        <v>141</v>
      </c>
      <c r="B250" s="238" t="s">
        <v>4049</v>
      </c>
      <c r="C250" s="486" t="s">
        <v>4050</v>
      </c>
      <c r="D250" s="119">
        <v>76</v>
      </c>
      <c r="E250" s="79"/>
      <c r="F250" s="79"/>
      <c r="G250" s="79">
        <v>0</v>
      </c>
      <c r="H250" s="79"/>
      <c r="I250" s="79"/>
      <c r="J250" s="79"/>
      <c r="K250" s="79"/>
      <c r="L250" s="79"/>
      <c r="M250" s="79"/>
      <c r="N250" s="79"/>
      <c r="O250" s="79"/>
      <c r="P250" s="79">
        <v>0</v>
      </c>
      <c r="Q250" s="139">
        <f t="shared" si="17"/>
        <v>0</v>
      </c>
      <c r="R250" s="144" t="str">
        <f t="shared" si="16"/>
        <v>SI</v>
      </c>
      <c r="S250" s="145" t="str">
        <f t="shared" si="15"/>
        <v>Sin Riesgo</v>
      </c>
      <c r="T250" s="60"/>
    </row>
    <row r="251" spans="1:20" s="59" customFormat="1" ht="32.1" customHeight="1">
      <c r="A251" s="419" t="s">
        <v>141</v>
      </c>
      <c r="B251" s="238" t="s">
        <v>4051</v>
      </c>
      <c r="C251" s="486" t="s">
        <v>4052</v>
      </c>
      <c r="D251" s="119">
        <v>57</v>
      </c>
      <c r="E251" s="79"/>
      <c r="F251" s="79"/>
      <c r="G251" s="79">
        <v>48</v>
      </c>
      <c r="H251" s="79"/>
      <c r="I251" s="79"/>
      <c r="J251" s="79"/>
      <c r="K251" s="79"/>
      <c r="L251" s="79"/>
      <c r="M251" s="79"/>
      <c r="N251" s="79"/>
      <c r="O251" s="79"/>
      <c r="P251" s="79">
        <v>48</v>
      </c>
      <c r="Q251" s="139">
        <f t="shared" si="17"/>
        <v>48</v>
      </c>
      <c r="R251" s="144" t="str">
        <f t="shared" si="16"/>
        <v>NO</v>
      </c>
      <c r="S251" s="145" t="str">
        <f t="shared" si="15"/>
        <v>Alto</v>
      </c>
      <c r="T251" s="60"/>
    </row>
    <row r="252" spans="1:20" s="59" customFormat="1" ht="32.1" customHeight="1">
      <c r="A252" s="419" t="s">
        <v>141</v>
      </c>
      <c r="B252" s="238" t="s">
        <v>4053</v>
      </c>
      <c r="C252" s="486" t="s">
        <v>4054</v>
      </c>
      <c r="D252" s="119">
        <v>90</v>
      </c>
      <c r="E252" s="79"/>
      <c r="F252" s="79"/>
      <c r="G252" s="79"/>
      <c r="H252" s="79"/>
      <c r="I252" s="79"/>
      <c r="J252" s="79">
        <v>48</v>
      </c>
      <c r="K252" s="79"/>
      <c r="L252" s="79"/>
      <c r="M252" s="79"/>
      <c r="N252" s="79"/>
      <c r="O252" s="79"/>
      <c r="P252" s="79">
        <v>48</v>
      </c>
      <c r="Q252" s="139">
        <f t="shared" si="17"/>
        <v>48</v>
      </c>
      <c r="R252" s="144" t="str">
        <f t="shared" si="16"/>
        <v>NO</v>
      </c>
      <c r="S252" s="145" t="str">
        <f t="shared" si="15"/>
        <v>Alto</v>
      </c>
      <c r="T252" s="60"/>
    </row>
    <row r="253" spans="1:20" s="59" customFormat="1" ht="32.1" customHeight="1">
      <c r="A253" s="419" t="s">
        <v>141</v>
      </c>
      <c r="B253" s="238" t="s">
        <v>4055</v>
      </c>
      <c r="C253" s="486" t="s">
        <v>4056</v>
      </c>
      <c r="D253" s="119">
        <v>103</v>
      </c>
      <c r="E253" s="79"/>
      <c r="F253" s="79"/>
      <c r="G253" s="79"/>
      <c r="H253" s="79"/>
      <c r="I253" s="79">
        <v>48</v>
      </c>
      <c r="J253" s="79"/>
      <c r="K253" s="79"/>
      <c r="L253" s="79"/>
      <c r="M253" s="79"/>
      <c r="N253" s="79"/>
      <c r="O253" s="79"/>
      <c r="P253" s="79">
        <v>48</v>
      </c>
      <c r="Q253" s="139">
        <f t="shared" si="17"/>
        <v>48</v>
      </c>
      <c r="R253" s="144" t="str">
        <f t="shared" si="16"/>
        <v>NO</v>
      </c>
      <c r="S253" s="145" t="str">
        <f t="shared" si="15"/>
        <v>Alto</v>
      </c>
      <c r="T253" s="60"/>
    </row>
    <row r="254" spans="1:20" s="59" customFormat="1" ht="32.1" customHeight="1">
      <c r="A254" s="419" t="s">
        <v>141</v>
      </c>
      <c r="B254" s="238" t="s">
        <v>4057</v>
      </c>
      <c r="C254" s="486" t="s">
        <v>4058</v>
      </c>
      <c r="D254" s="119">
        <v>641</v>
      </c>
      <c r="E254" s="79"/>
      <c r="F254" s="79"/>
      <c r="G254" s="79"/>
      <c r="H254" s="79"/>
      <c r="I254" s="79"/>
      <c r="J254" s="79">
        <v>48</v>
      </c>
      <c r="K254" s="79"/>
      <c r="L254" s="79"/>
      <c r="M254" s="79"/>
      <c r="N254" s="79"/>
      <c r="O254" s="79"/>
      <c r="P254" s="79">
        <v>48</v>
      </c>
      <c r="Q254" s="139">
        <f t="shared" si="17"/>
        <v>48</v>
      </c>
      <c r="R254" s="144" t="str">
        <f t="shared" si="16"/>
        <v>NO</v>
      </c>
      <c r="S254" s="145" t="str">
        <f t="shared" si="15"/>
        <v>Alto</v>
      </c>
      <c r="T254" s="60"/>
    </row>
    <row r="255" spans="1:20" s="59" customFormat="1" ht="32.1" customHeight="1">
      <c r="A255" s="419" t="s">
        <v>141</v>
      </c>
      <c r="B255" s="238" t="s">
        <v>4059</v>
      </c>
      <c r="C255" s="486" t="s">
        <v>4060</v>
      </c>
      <c r="D255" s="119">
        <v>156</v>
      </c>
      <c r="E255" s="79"/>
      <c r="F255" s="79"/>
      <c r="G255" s="79"/>
      <c r="H255" s="79"/>
      <c r="I255" s="79">
        <v>48</v>
      </c>
      <c r="J255" s="79"/>
      <c r="K255" s="79"/>
      <c r="L255" s="79"/>
      <c r="M255" s="79"/>
      <c r="N255" s="79"/>
      <c r="O255" s="79"/>
      <c r="P255" s="79">
        <v>48</v>
      </c>
      <c r="Q255" s="139">
        <f t="shared" si="17"/>
        <v>48</v>
      </c>
      <c r="R255" s="144" t="str">
        <f t="shared" si="16"/>
        <v>NO</v>
      </c>
      <c r="S255" s="145" t="str">
        <f t="shared" si="15"/>
        <v>Alto</v>
      </c>
      <c r="T255" s="60"/>
    </row>
    <row r="256" spans="1:20" s="59" customFormat="1" ht="32.1" customHeight="1">
      <c r="A256" s="419" t="s">
        <v>141</v>
      </c>
      <c r="B256" s="238" t="s">
        <v>4061</v>
      </c>
      <c r="C256" s="486" t="s">
        <v>4062</v>
      </c>
      <c r="D256" s="114">
        <v>120</v>
      </c>
      <c r="E256" s="79"/>
      <c r="F256" s="79"/>
      <c r="G256" s="79"/>
      <c r="H256" s="79"/>
      <c r="I256" s="79"/>
      <c r="J256" s="79">
        <v>48</v>
      </c>
      <c r="K256" s="79"/>
      <c r="L256" s="79"/>
      <c r="M256" s="79"/>
      <c r="N256" s="79"/>
      <c r="O256" s="79"/>
      <c r="P256" s="79">
        <v>48</v>
      </c>
      <c r="Q256" s="139">
        <f t="shared" si="17"/>
        <v>48</v>
      </c>
      <c r="R256" s="144" t="str">
        <f t="shared" si="16"/>
        <v>NO</v>
      </c>
      <c r="S256" s="145" t="str">
        <f t="shared" si="15"/>
        <v>Alto</v>
      </c>
      <c r="T256" s="60"/>
    </row>
    <row r="257" spans="1:20" s="59" customFormat="1" ht="32.1" customHeight="1">
      <c r="A257" s="419" t="s">
        <v>142</v>
      </c>
      <c r="B257" s="238" t="s">
        <v>4063</v>
      </c>
      <c r="C257" s="486" t="s">
        <v>4064</v>
      </c>
      <c r="D257" s="119">
        <v>1184</v>
      </c>
      <c r="E257" s="79">
        <v>0</v>
      </c>
      <c r="F257" s="79">
        <v>0</v>
      </c>
      <c r="G257" s="79">
        <v>0</v>
      </c>
      <c r="H257" s="79">
        <v>19.350000000000001</v>
      </c>
      <c r="I257" s="79">
        <v>27.1</v>
      </c>
      <c r="J257" s="79">
        <v>0</v>
      </c>
      <c r="K257" s="79">
        <v>19.350000000000001</v>
      </c>
      <c r="L257" s="79">
        <v>0</v>
      </c>
      <c r="M257" s="79">
        <v>0</v>
      </c>
      <c r="N257" s="79">
        <v>46.45</v>
      </c>
      <c r="O257" s="79">
        <v>0</v>
      </c>
      <c r="P257" s="79">
        <v>0</v>
      </c>
      <c r="Q257" s="139">
        <f t="shared" si="17"/>
        <v>9.3541666666666679</v>
      </c>
      <c r="R257" s="144" t="str">
        <f t="shared" si="16"/>
        <v>NO</v>
      </c>
      <c r="S257" s="145" t="str">
        <f t="shared" si="15"/>
        <v>Bajo</v>
      </c>
      <c r="T257" s="60"/>
    </row>
    <row r="258" spans="1:20" s="59" customFormat="1" ht="32.1" customHeight="1">
      <c r="A258" s="419" t="s">
        <v>142</v>
      </c>
      <c r="B258" s="238" t="s">
        <v>4065</v>
      </c>
      <c r="C258" s="486" t="s">
        <v>4066</v>
      </c>
      <c r="D258" s="119">
        <v>29</v>
      </c>
      <c r="E258" s="79"/>
      <c r="F258" s="79"/>
      <c r="G258" s="79"/>
      <c r="H258" s="79"/>
      <c r="I258" s="79"/>
      <c r="J258" s="79">
        <v>97.35</v>
      </c>
      <c r="K258" s="79"/>
      <c r="L258" s="79"/>
      <c r="M258" s="79"/>
      <c r="N258" s="79"/>
      <c r="O258" s="79"/>
      <c r="P258" s="79"/>
      <c r="Q258" s="139">
        <f t="shared" si="17"/>
        <v>97.35</v>
      </c>
      <c r="R258" s="144" t="str">
        <f t="shared" si="16"/>
        <v>NO</v>
      </c>
      <c r="S258" s="145" t="str">
        <f t="shared" si="15"/>
        <v>Inviable Sanitariamente</v>
      </c>
      <c r="T258" s="60"/>
    </row>
    <row r="259" spans="1:20" s="59" customFormat="1" ht="32.1" customHeight="1">
      <c r="A259" s="419" t="s">
        <v>142</v>
      </c>
      <c r="B259" s="238" t="s">
        <v>585</v>
      </c>
      <c r="C259" s="486" t="s">
        <v>3127</v>
      </c>
      <c r="D259" s="119">
        <v>60</v>
      </c>
      <c r="E259" s="79"/>
      <c r="F259" s="79"/>
      <c r="G259" s="79"/>
      <c r="H259" s="79"/>
      <c r="I259" s="79"/>
      <c r="J259" s="79">
        <v>90.35</v>
      </c>
      <c r="K259" s="79"/>
      <c r="L259" s="79"/>
      <c r="M259" s="79"/>
      <c r="N259" s="79"/>
      <c r="O259" s="79"/>
      <c r="P259" s="79"/>
      <c r="Q259" s="139">
        <f t="shared" si="17"/>
        <v>90.35</v>
      </c>
      <c r="R259" s="144" t="str">
        <f t="shared" si="16"/>
        <v>NO</v>
      </c>
      <c r="S259" s="145" t="str">
        <f t="shared" si="15"/>
        <v>Inviable Sanitariamente</v>
      </c>
      <c r="T259" s="60"/>
    </row>
    <row r="260" spans="1:20" s="59" customFormat="1" ht="32.1" customHeight="1">
      <c r="A260" s="419" t="s">
        <v>142</v>
      </c>
      <c r="B260" s="238" t="s">
        <v>4067</v>
      </c>
      <c r="C260" s="486" t="s">
        <v>4068</v>
      </c>
      <c r="D260" s="119">
        <v>130</v>
      </c>
      <c r="E260" s="79"/>
      <c r="F260" s="79">
        <v>97.35</v>
      </c>
      <c r="G260" s="79"/>
      <c r="H260" s="79"/>
      <c r="I260" s="79"/>
      <c r="J260" s="79"/>
      <c r="K260" s="79"/>
      <c r="L260" s="79"/>
      <c r="M260" s="79"/>
      <c r="N260" s="79"/>
      <c r="O260" s="79"/>
      <c r="P260" s="79"/>
      <c r="Q260" s="139">
        <f t="shared" si="17"/>
        <v>97.35</v>
      </c>
      <c r="R260" s="144" t="str">
        <f t="shared" si="16"/>
        <v>NO</v>
      </c>
      <c r="S260" s="145" t="str">
        <f t="shared" si="15"/>
        <v>Inviable Sanitariamente</v>
      </c>
      <c r="T260" s="60"/>
    </row>
    <row r="261" spans="1:20" s="59" customFormat="1" ht="32.1" customHeight="1">
      <c r="A261" s="419" t="s">
        <v>142</v>
      </c>
      <c r="B261" s="238" t="s">
        <v>4069</v>
      </c>
      <c r="C261" s="486" t="s">
        <v>4070</v>
      </c>
      <c r="D261" s="119">
        <v>160</v>
      </c>
      <c r="E261" s="79"/>
      <c r="F261" s="79"/>
      <c r="G261" s="79"/>
      <c r="H261" s="79"/>
      <c r="I261" s="79">
        <v>97.35</v>
      </c>
      <c r="J261" s="79"/>
      <c r="K261" s="79"/>
      <c r="L261" s="79"/>
      <c r="M261" s="79"/>
      <c r="N261" s="79"/>
      <c r="O261" s="79"/>
      <c r="P261" s="79"/>
      <c r="Q261" s="139">
        <f t="shared" si="17"/>
        <v>97.35</v>
      </c>
      <c r="R261" s="144" t="str">
        <f t="shared" si="16"/>
        <v>NO</v>
      </c>
      <c r="S261" s="145" t="str">
        <f t="shared" si="15"/>
        <v>Inviable Sanitariamente</v>
      </c>
      <c r="T261" s="60"/>
    </row>
    <row r="262" spans="1:20" s="59" customFormat="1" ht="32.1" customHeight="1">
      <c r="A262" s="419" t="s">
        <v>142</v>
      </c>
      <c r="B262" s="238" t="s">
        <v>4071</v>
      </c>
      <c r="C262" s="486" t="s">
        <v>4072</v>
      </c>
      <c r="D262" s="119">
        <v>110</v>
      </c>
      <c r="E262" s="79"/>
      <c r="F262" s="79"/>
      <c r="G262" s="79"/>
      <c r="H262" s="79">
        <v>90.77</v>
      </c>
      <c r="I262" s="79"/>
      <c r="J262" s="79"/>
      <c r="K262" s="79"/>
      <c r="L262" s="79"/>
      <c r="M262" s="79"/>
      <c r="N262" s="79"/>
      <c r="O262" s="79"/>
      <c r="P262" s="79"/>
      <c r="Q262" s="139">
        <f t="shared" si="17"/>
        <v>90.77</v>
      </c>
      <c r="R262" s="144" t="str">
        <f t="shared" si="16"/>
        <v>NO</v>
      </c>
      <c r="S262" s="145" t="str">
        <f t="shared" si="15"/>
        <v>Inviable Sanitariamente</v>
      </c>
      <c r="T262" s="60"/>
    </row>
    <row r="263" spans="1:20" s="59" customFormat="1" ht="32.1" customHeight="1">
      <c r="A263" s="419" t="s">
        <v>142</v>
      </c>
      <c r="B263" s="238" t="s">
        <v>4073</v>
      </c>
      <c r="C263" s="486" t="s">
        <v>4074</v>
      </c>
      <c r="D263" s="119">
        <v>170</v>
      </c>
      <c r="E263" s="79"/>
      <c r="F263" s="79"/>
      <c r="G263" s="79">
        <v>97.35</v>
      </c>
      <c r="H263" s="79"/>
      <c r="I263" s="79"/>
      <c r="J263" s="79"/>
      <c r="K263" s="79"/>
      <c r="L263" s="79"/>
      <c r="M263" s="79"/>
      <c r="N263" s="79"/>
      <c r="O263" s="79"/>
      <c r="P263" s="79"/>
      <c r="Q263" s="139">
        <f t="shared" si="17"/>
        <v>97.35</v>
      </c>
      <c r="R263" s="144" t="str">
        <f t="shared" si="16"/>
        <v>NO</v>
      </c>
      <c r="S263" s="145" t="str">
        <f t="shared" si="15"/>
        <v>Inviable Sanitariamente</v>
      </c>
      <c r="T263" s="60"/>
    </row>
    <row r="264" spans="1:20" s="59" customFormat="1" ht="32.1" customHeight="1">
      <c r="A264" s="419" t="s">
        <v>142</v>
      </c>
      <c r="B264" s="238" t="s">
        <v>4075</v>
      </c>
      <c r="C264" s="486" t="s">
        <v>4076</v>
      </c>
      <c r="D264" s="119">
        <v>135</v>
      </c>
      <c r="E264" s="79"/>
      <c r="F264" s="79"/>
      <c r="G264" s="79">
        <v>91.97</v>
      </c>
      <c r="H264" s="79"/>
      <c r="I264" s="79"/>
      <c r="J264" s="79"/>
      <c r="K264" s="79"/>
      <c r="L264" s="79"/>
      <c r="M264" s="79"/>
      <c r="N264" s="79"/>
      <c r="O264" s="79"/>
      <c r="P264" s="79"/>
      <c r="Q264" s="139">
        <f t="shared" si="17"/>
        <v>91.97</v>
      </c>
      <c r="R264" s="144" t="str">
        <f t="shared" si="16"/>
        <v>NO</v>
      </c>
      <c r="S264" s="145" t="str">
        <f t="shared" si="15"/>
        <v>Inviable Sanitariamente</v>
      </c>
      <c r="T264" s="60"/>
    </row>
    <row r="265" spans="1:20" s="59" customFormat="1" ht="32.1" customHeight="1">
      <c r="A265" s="419" t="s">
        <v>142</v>
      </c>
      <c r="B265" s="238" t="s">
        <v>4077</v>
      </c>
      <c r="C265" s="486" t="s">
        <v>4078</v>
      </c>
      <c r="D265" s="119">
        <v>55</v>
      </c>
      <c r="E265" s="79"/>
      <c r="F265" s="79"/>
      <c r="G265" s="79"/>
      <c r="H265" s="79"/>
      <c r="I265" s="79"/>
      <c r="J265" s="79">
        <v>97.35</v>
      </c>
      <c r="K265" s="79"/>
      <c r="L265" s="79"/>
      <c r="M265" s="79"/>
      <c r="N265" s="79"/>
      <c r="O265" s="79"/>
      <c r="P265" s="79"/>
      <c r="Q265" s="139">
        <f t="shared" si="17"/>
        <v>97.35</v>
      </c>
      <c r="R265" s="144" t="str">
        <f t="shared" si="16"/>
        <v>NO</v>
      </c>
      <c r="S265" s="145" t="str">
        <f t="shared" si="15"/>
        <v>Inviable Sanitariamente</v>
      </c>
      <c r="T265" s="60"/>
    </row>
    <row r="266" spans="1:20" s="59" customFormat="1" ht="32.1" customHeight="1">
      <c r="A266" s="419" t="s">
        <v>142</v>
      </c>
      <c r="B266" s="238" t="s">
        <v>4079</v>
      </c>
      <c r="C266" s="486" t="s">
        <v>4080</v>
      </c>
      <c r="D266" s="114">
        <v>120</v>
      </c>
      <c r="E266" s="79"/>
      <c r="F266" s="79">
        <v>97.35</v>
      </c>
      <c r="G266" s="79"/>
      <c r="H266" s="79"/>
      <c r="I266" s="79"/>
      <c r="J266" s="79"/>
      <c r="K266" s="79"/>
      <c r="L266" s="79"/>
      <c r="M266" s="79"/>
      <c r="N266" s="79"/>
      <c r="O266" s="79"/>
      <c r="P266" s="79"/>
      <c r="Q266" s="139">
        <f t="shared" si="17"/>
        <v>97.35</v>
      </c>
      <c r="R266" s="144" t="str">
        <f t="shared" si="16"/>
        <v>NO</v>
      </c>
      <c r="S266" s="145" t="str">
        <f t="shared" si="15"/>
        <v>Inviable Sanitariamente</v>
      </c>
      <c r="T266" s="60"/>
    </row>
    <row r="267" spans="1:20" s="59" customFormat="1" ht="32.1" customHeight="1">
      <c r="A267" s="419" t="s">
        <v>142</v>
      </c>
      <c r="B267" s="238" t="s">
        <v>4081</v>
      </c>
      <c r="C267" s="486" t="s">
        <v>4082</v>
      </c>
      <c r="D267" s="119">
        <v>160</v>
      </c>
      <c r="E267" s="79"/>
      <c r="F267" s="79"/>
      <c r="G267" s="79">
        <v>94.07</v>
      </c>
      <c r="H267" s="79"/>
      <c r="I267" s="79"/>
      <c r="J267" s="79"/>
      <c r="K267" s="79"/>
      <c r="L267" s="79"/>
      <c r="M267" s="79"/>
      <c r="N267" s="79"/>
      <c r="O267" s="79"/>
      <c r="P267" s="79"/>
      <c r="Q267" s="139">
        <f t="shared" ref="Q267:Q268" si="18">AVERAGE(E267:P267)</f>
        <v>94.07</v>
      </c>
      <c r="R267" s="144" t="str">
        <f t="shared" si="16"/>
        <v>NO</v>
      </c>
      <c r="S267" s="145" t="str">
        <f t="shared" ref="S267:S268" si="19">IF(Q267&lt;=5,"Sin Riesgo",IF(Q267 &lt;=14,"Bajo",IF(Q267&lt;=35,"Medio",IF(Q267&lt;=80,"Alto","Inviable Sanitariamente"))))</f>
        <v>Inviable Sanitariamente</v>
      </c>
      <c r="T267" s="60"/>
    </row>
    <row r="268" spans="1:20" s="296" customFormat="1" ht="32.1" customHeight="1">
      <c r="A268" s="419" t="s">
        <v>142</v>
      </c>
      <c r="B268" s="238" t="s">
        <v>4083</v>
      </c>
      <c r="C268" s="486" t="s">
        <v>4084</v>
      </c>
      <c r="D268" s="119">
        <v>22</v>
      </c>
      <c r="E268" s="79"/>
      <c r="F268" s="79"/>
      <c r="G268" s="79"/>
      <c r="H268" s="79"/>
      <c r="I268" s="79">
        <v>97.35</v>
      </c>
      <c r="J268" s="79"/>
      <c r="K268" s="79"/>
      <c r="L268" s="79"/>
      <c r="M268" s="79"/>
      <c r="N268" s="79"/>
      <c r="O268" s="79"/>
      <c r="P268" s="79"/>
      <c r="Q268" s="139">
        <f t="shared" si="18"/>
        <v>97.35</v>
      </c>
      <c r="R268" s="144" t="str">
        <f t="shared" si="16"/>
        <v>NO</v>
      </c>
      <c r="S268" s="145" t="str">
        <f t="shared" si="19"/>
        <v>Inviable Sanitariamente</v>
      </c>
      <c r="T268" s="295"/>
    </row>
    <row r="269" spans="1:20" s="1" customFormat="1" ht="32.1" customHeight="1">
      <c r="A269" s="129"/>
      <c r="B269" s="298"/>
      <c r="C269" s="382"/>
      <c r="D269" s="380"/>
      <c r="E269" s="381"/>
      <c r="F269" s="381"/>
      <c r="G269" s="381"/>
      <c r="H269" s="381"/>
      <c r="I269" s="381"/>
      <c r="J269" s="381"/>
      <c r="K269" s="381"/>
      <c r="L269" s="381"/>
      <c r="M269" s="381"/>
      <c r="N269" s="381"/>
      <c r="O269" s="381"/>
      <c r="P269" s="381"/>
      <c r="Q269" s="193"/>
      <c r="R269" s="194"/>
      <c r="S269" s="195"/>
      <c r="T269" s="2"/>
    </row>
    <row r="270" spans="1:20" s="1" customFormat="1" ht="32.1" customHeight="1">
      <c r="A270" s="129"/>
      <c r="B270" s="298"/>
      <c r="C270" s="298"/>
      <c r="D270" s="299"/>
      <c r="E270" s="300"/>
      <c r="F270" s="300"/>
      <c r="G270" s="300"/>
      <c r="H270" s="300"/>
      <c r="I270" s="300"/>
      <c r="J270" s="300"/>
      <c r="K270" s="300"/>
      <c r="L270" s="300"/>
      <c r="M270" s="300"/>
      <c r="N270" s="300"/>
      <c r="O270" s="300"/>
      <c r="P270" s="300"/>
      <c r="Q270" s="301"/>
      <c r="R270" s="301"/>
      <c r="S270" s="302"/>
      <c r="T270" s="2"/>
    </row>
    <row r="271" spans="1:20" s="1" customFormat="1" ht="46.5" customHeight="1">
      <c r="A271" s="438" t="s">
        <v>4385</v>
      </c>
      <c r="B271" s="438" t="s">
        <v>4432</v>
      </c>
      <c r="C271" s="547" t="s">
        <v>4573</v>
      </c>
      <c r="D271" s="548"/>
      <c r="E271" s="548"/>
      <c r="F271" s="548"/>
      <c r="G271" s="548"/>
      <c r="H271" s="548"/>
      <c r="I271" s="548"/>
      <c r="J271" s="548"/>
      <c r="K271" s="548"/>
      <c r="L271" s="548"/>
      <c r="M271" s="548"/>
      <c r="N271" s="548"/>
      <c r="O271" s="548"/>
      <c r="P271" s="548"/>
      <c r="Q271" s="548"/>
      <c r="R271" s="548"/>
      <c r="S271" s="548"/>
      <c r="T271" s="2"/>
    </row>
    <row r="272" spans="1:20" s="1" customFormat="1" ht="32.1" customHeight="1">
      <c r="A272" s="427" t="s">
        <v>4313</v>
      </c>
      <c r="B272" s="435">
        <f>COUNTIF(E10:P268,"&lt;=5")</f>
        <v>126</v>
      </c>
      <c r="C272" s="574" t="s">
        <v>4536</v>
      </c>
      <c r="D272" s="575"/>
      <c r="E272" s="575"/>
      <c r="F272" s="575"/>
      <c r="G272" s="575"/>
      <c r="H272" s="575"/>
      <c r="I272" s="575"/>
      <c r="J272" s="575"/>
      <c r="K272" s="575"/>
      <c r="L272" s="575"/>
      <c r="M272" s="575"/>
      <c r="N272" s="575"/>
      <c r="O272" s="575"/>
      <c r="P272" s="575"/>
      <c r="Q272" s="575"/>
      <c r="R272" s="575"/>
      <c r="S272" s="575"/>
      <c r="T272" s="2"/>
    </row>
    <row r="273" spans="1:20" s="1" customFormat="1" ht="48.75" customHeight="1">
      <c r="A273" s="428" t="s">
        <v>4314</v>
      </c>
      <c r="B273" s="441">
        <f>COUNTIFS(E10:P268,"&gt;5",E10:P268,"&lt;=14")</f>
        <v>0</v>
      </c>
      <c r="C273" s="549" t="s">
        <v>4554</v>
      </c>
      <c r="D273" s="550"/>
      <c r="E273" s="550"/>
      <c r="F273" s="550"/>
      <c r="G273" s="550"/>
      <c r="H273" s="550"/>
      <c r="I273" s="550"/>
      <c r="J273" s="550"/>
      <c r="K273" s="550"/>
      <c r="L273" s="550"/>
      <c r="M273" s="550"/>
      <c r="N273" s="550"/>
      <c r="O273" s="550"/>
      <c r="P273" s="550"/>
      <c r="Q273" s="550"/>
      <c r="R273" s="550"/>
      <c r="S273" s="550"/>
      <c r="T273" s="2"/>
    </row>
    <row r="274" spans="1:20" s="1" customFormat="1" ht="32.1" customHeight="1">
      <c r="A274" s="429" t="s">
        <v>4315</v>
      </c>
      <c r="B274" s="435">
        <f>COUNTIFS(E10:P268,"&gt;14",E10:P268,"&lt;=35")</f>
        <v>14</v>
      </c>
      <c r="D274" s="299"/>
      <c r="E274" s="300"/>
      <c r="F274" s="300"/>
      <c r="G274" s="300"/>
      <c r="H274" s="300"/>
      <c r="I274" s="300"/>
      <c r="J274" s="300"/>
      <c r="K274" s="300"/>
      <c r="L274" s="300"/>
      <c r="M274" s="300"/>
      <c r="N274" s="300"/>
      <c r="O274" s="300"/>
      <c r="P274" s="300"/>
      <c r="Q274" s="301"/>
      <c r="R274" s="301"/>
      <c r="S274" s="302"/>
      <c r="T274" s="2"/>
    </row>
    <row r="275" spans="1:20" s="1" customFormat="1" ht="32.1" customHeight="1">
      <c r="A275" s="430" t="s">
        <v>4316</v>
      </c>
      <c r="B275" s="435">
        <f>COUNTIFS(E10:P268,"&gt;35",E10:P268,"&lt;=80")</f>
        <v>121</v>
      </c>
      <c r="D275" s="299"/>
      <c r="E275" s="300"/>
      <c r="F275" s="300"/>
      <c r="G275" s="300"/>
      <c r="H275" s="300"/>
      <c r="I275" s="300"/>
      <c r="J275" s="300"/>
      <c r="K275" s="300"/>
      <c r="L275" s="300"/>
      <c r="M275" s="300"/>
      <c r="N275" s="300"/>
      <c r="O275" s="300"/>
      <c r="P275" s="300"/>
      <c r="Q275" s="301"/>
      <c r="R275" s="301"/>
      <c r="S275" s="302"/>
      <c r="T275" s="2"/>
    </row>
    <row r="276" spans="1:20" s="1" customFormat="1" ht="39" customHeight="1">
      <c r="A276" s="431" t="s">
        <v>4317</v>
      </c>
      <c r="B276" s="435">
        <f>COUNTIFS(E10:P268,"&gt;80",E10:P268,"&lt;=100")</f>
        <v>106</v>
      </c>
      <c r="D276" s="299"/>
      <c r="E276" s="300"/>
      <c r="F276" s="300"/>
      <c r="G276" s="300"/>
      <c r="H276" s="300"/>
      <c r="I276" s="300"/>
      <c r="J276" s="300"/>
      <c r="K276" s="300"/>
      <c r="L276" s="300"/>
      <c r="M276" s="300"/>
      <c r="N276" s="300"/>
      <c r="O276" s="300"/>
      <c r="P276" s="300"/>
      <c r="Q276" s="301"/>
      <c r="R276" s="301"/>
      <c r="S276" s="302"/>
      <c r="T276" s="2"/>
    </row>
    <row r="277" spans="1:20" s="1" customFormat="1" ht="32.1" customHeight="1">
      <c r="A277" s="451" t="s">
        <v>4318</v>
      </c>
      <c r="B277" s="452">
        <f>COUNT(E10:P268)</f>
        <v>367</v>
      </c>
      <c r="D277" s="299"/>
      <c r="E277" s="300"/>
      <c r="F277" s="300"/>
      <c r="G277" s="300"/>
      <c r="H277" s="300"/>
      <c r="I277" s="300"/>
      <c r="J277" s="300"/>
      <c r="K277" s="300"/>
      <c r="L277" s="300"/>
      <c r="M277" s="300"/>
      <c r="N277" s="300"/>
      <c r="O277" s="300"/>
      <c r="P277" s="300"/>
      <c r="Q277" s="301"/>
      <c r="R277" s="301"/>
      <c r="S277" s="302"/>
      <c r="T277" s="2"/>
    </row>
    <row r="278" spans="1:20" s="1" customFormat="1" ht="36.75" customHeight="1">
      <c r="A278" s="434" t="s">
        <v>4321</v>
      </c>
      <c r="B278" s="436">
        <f>B277-B272</f>
        <v>241</v>
      </c>
      <c r="C278" s="298"/>
      <c r="D278" s="299"/>
      <c r="E278" s="300"/>
      <c r="F278" s="300"/>
      <c r="G278" s="300"/>
      <c r="H278" s="300"/>
      <c r="I278" s="300"/>
      <c r="J278" s="300"/>
      <c r="K278" s="300"/>
      <c r="L278" s="300"/>
      <c r="M278" s="300"/>
      <c r="N278" s="300"/>
      <c r="O278" s="300"/>
      <c r="P278" s="300"/>
      <c r="Q278" s="301"/>
      <c r="R278" s="301"/>
      <c r="S278" s="302"/>
      <c r="T278" s="2"/>
    </row>
    <row r="279" spans="1:20" s="1" customFormat="1" ht="32.1" customHeight="1">
      <c r="A279" s="129"/>
      <c r="B279" s="298"/>
      <c r="E279" s="300"/>
      <c r="F279" s="300"/>
      <c r="G279" s="300"/>
      <c r="H279" s="300"/>
      <c r="I279" s="300"/>
      <c r="J279" s="300"/>
      <c r="K279" s="300"/>
      <c r="L279" s="300"/>
      <c r="M279" s="300"/>
      <c r="N279" s="300"/>
      <c r="O279" s="300"/>
      <c r="P279" s="300"/>
      <c r="Q279" s="301"/>
      <c r="R279" s="301"/>
      <c r="S279" s="302"/>
      <c r="T279" s="2"/>
    </row>
    <row r="280" spans="1:20" s="1" customFormat="1" ht="32.1" customHeight="1">
      <c r="A280" s="129"/>
      <c r="B280" s="298"/>
      <c r="E280" s="300"/>
      <c r="F280" s="300"/>
      <c r="G280" s="300"/>
      <c r="H280" s="300"/>
      <c r="I280" s="300"/>
      <c r="J280" s="300"/>
      <c r="K280" s="300"/>
      <c r="L280" s="300"/>
      <c r="M280" s="300"/>
      <c r="N280" s="300"/>
      <c r="O280" s="300"/>
      <c r="P280" s="300"/>
      <c r="Q280" s="301"/>
      <c r="R280" s="301"/>
      <c r="S280" s="302"/>
      <c r="T280" s="2"/>
    </row>
    <row r="281" spans="1:20" s="1" customFormat="1" ht="32.1" customHeight="1">
      <c r="A281" s="129"/>
      <c r="B281" s="298"/>
      <c r="E281" s="300"/>
      <c r="F281" s="300"/>
      <c r="G281" s="300"/>
      <c r="H281" s="300"/>
      <c r="I281" s="300"/>
      <c r="J281" s="300"/>
      <c r="K281" s="300"/>
      <c r="L281" s="300"/>
      <c r="M281" s="300"/>
      <c r="N281" s="300"/>
      <c r="O281" s="300"/>
      <c r="P281" s="300"/>
      <c r="Q281" s="301"/>
      <c r="R281" s="301"/>
      <c r="S281" s="302"/>
      <c r="T281" s="2"/>
    </row>
    <row r="282" spans="1:20" s="1" customFormat="1" ht="32.1" customHeight="1">
      <c r="A282" s="129"/>
      <c r="B282" s="298"/>
      <c r="E282" s="300"/>
      <c r="F282" s="300"/>
      <c r="G282" s="300"/>
      <c r="H282" s="300"/>
      <c r="I282" s="300"/>
      <c r="J282" s="300"/>
      <c r="K282" s="300"/>
      <c r="L282" s="300"/>
      <c r="M282" s="300"/>
      <c r="N282" s="300"/>
      <c r="O282" s="300"/>
      <c r="P282" s="300"/>
      <c r="Q282" s="301"/>
      <c r="R282" s="301"/>
      <c r="S282" s="302"/>
      <c r="T282" s="2"/>
    </row>
    <row r="283" spans="1:20" s="1" customFormat="1" ht="32.1" customHeight="1">
      <c r="A283" s="129"/>
      <c r="B283" s="298"/>
      <c r="E283" s="300"/>
      <c r="F283" s="300"/>
      <c r="G283" s="300"/>
      <c r="H283" s="300"/>
      <c r="I283" s="300"/>
      <c r="J283" s="300"/>
      <c r="K283" s="300"/>
      <c r="L283" s="300"/>
      <c r="M283" s="300"/>
      <c r="N283" s="300"/>
      <c r="O283" s="300"/>
      <c r="P283" s="300"/>
      <c r="Q283" s="301"/>
      <c r="R283" s="301"/>
      <c r="S283" s="302"/>
      <c r="T283" s="2"/>
    </row>
    <row r="284" spans="1:20" s="1" customFormat="1" ht="32.1" customHeight="1">
      <c r="A284" s="129"/>
      <c r="B284" s="298"/>
      <c r="E284" s="300"/>
      <c r="F284" s="300"/>
      <c r="G284" s="300"/>
      <c r="H284" s="300"/>
      <c r="I284" s="300"/>
      <c r="J284" s="300"/>
      <c r="K284" s="300"/>
      <c r="L284" s="300"/>
      <c r="M284" s="300"/>
      <c r="N284" s="300"/>
      <c r="O284" s="300"/>
      <c r="P284" s="300"/>
      <c r="Q284" s="301"/>
      <c r="R284" s="301"/>
      <c r="S284" s="302"/>
      <c r="T284" s="2"/>
    </row>
    <row r="285" spans="1:20" s="1" customFormat="1" ht="32.1" customHeight="1">
      <c r="A285" s="129"/>
      <c r="B285" s="298"/>
      <c r="E285" s="300"/>
      <c r="F285" s="300"/>
      <c r="G285" s="300"/>
      <c r="H285" s="300"/>
      <c r="I285" s="300"/>
      <c r="J285" s="300"/>
      <c r="K285" s="300"/>
      <c r="L285" s="300"/>
      <c r="M285" s="300"/>
      <c r="N285" s="300"/>
      <c r="O285" s="300"/>
      <c r="P285" s="300"/>
      <c r="Q285" s="301"/>
      <c r="R285" s="301"/>
      <c r="S285" s="302"/>
      <c r="T285" s="2"/>
    </row>
    <row r="286" spans="1:20" s="1" customFormat="1" ht="32.1" customHeight="1">
      <c r="A286" s="129"/>
      <c r="B286" s="298"/>
      <c r="C286" s="298"/>
      <c r="D286" s="299"/>
      <c r="E286" s="300"/>
      <c r="F286" s="300"/>
      <c r="G286" s="300"/>
      <c r="H286" s="300"/>
      <c r="I286" s="300"/>
      <c r="J286" s="300"/>
      <c r="K286" s="300"/>
      <c r="L286" s="300"/>
      <c r="M286" s="300"/>
      <c r="N286" s="300"/>
      <c r="O286" s="300"/>
      <c r="P286" s="300"/>
      <c r="Q286" s="301"/>
      <c r="R286" s="301"/>
      <c r="S286" s="302"/>
      <c r="T286" s="2"/>
    </row>
    <row r="287" spans="1:20" s="1" customFormat="1" ht="32.1" customHeight="1">
      <c r="A287" s="129"/>
      <c r="B287" s="298"/>
      <c r="C287" s="298"/>
      <c r="D287" s="299"/>
      <c r="E287" s="300"/>
      <c r="F287" s="300"/>
      <c r="G287" s="300"/>
      <c r="H287" s="300"/>
      <c r="I287" s="300"/>
      <c r="J287" s="300"/>
      <c r="K287" s="300"/>
      <c r="L287" s="300"/>
      <c r="M287" s="300"/>
      <c r="N287" s="300"/>
      <c r="O287" s="300"/>
      <c r="P287" s="300"/>
      <c r="Q287" s="301"/>
      <c r="R287" s="301"/>
      <c r="S287" s="302"/>
      <c r="T287" s="2"/>
    </row>
    <row r="288" spans="1:20" s="1" customFormat="1" ht="32.1" customHeight="1">
      <c r="A288" s="129"/>
      <c r="B288" s="298"/>
      <c r="C288" s="298"/>
      <c r="D288" s="299"/>
      <c r="E288" s="300"/>
      <c r="F288" s="300"/>
      <c r="G288" s="303"/>
      <c r="H288" s="300"/>
      <c r="I288" s="300"/>
      <c r="J288" s="300"/>
      <c r="K288" s="300"/>
      <c r="L288" s="300"/>
      <c r="M288" s="300"/>
      <c r="N288" s="300"/>
      <c r="O288" s="300"/>
      <c r="P288" s="300"/>
      <c r="Q288" s="301"/>
      <c r="R288" s="301"/>
      <c r="S288" s="302"/>
      <c r="T288" s="2"/>
    </row>
    <row r="289" spans="1:20" s="1" customFormat="1" ht="32.1" customHeight="1">
      <c r="A289" s="129"/>
      <c r="B289" s="298"/>
      <c r="C289" s="298"/>
      <c r="D289" s="299"/>
      <c r="E289" s="300"/>
      <c r="F289" s="300"/>
      <c r="G289" s="300"/>
      <c r="H289" s="300"/>
      <c r="I289" s="300"/>
      <c r="J289" s="300"/>
      <c r="K289" s="300"/>
      <c r="L289" s="300"/>
      <c r="M289" s="300"/>
      <c r="N289" s="300"/>
      <c r="O289" s="300"/>
      <c r="P289" s="300"/>
      <c r="Q289" s="301"/>
      <c r="R289" s="301"/>
      <c r="S289" s="302"/>
      <c r="T289" s="2"/>
    </row>
    <row r="290" spans="1:20" s="1" customFormat="1" ht="32.1" customHeight="1">
      <c r="A290" s="129"/>
      <c r="B290" s="298"/>
      <c r="C290" s="298"/>
      <c r="D290" s="299"/>
      <c r="E290" s="300"/>
      <c r="F290" s="300"/>
      <c r="G290" s="300"/>
      <c r="H290" s="300"/>
      <c r="I290" s="300"/>
      <c r="J290" s="300"/>
      <c r="K290" s="300"/>
      <c r="L290" s="300"/>
      <c r="M290" s="300"/>
      <c r="N290" s="300"/>
      <c r="O290" s="300"/>
      <c r="P290" s="300"/>
      <c r="Q290" s="301"/>
      <c r="R290" s="301"/>
      <c r="S290" s="302"/>
      <c r="T290" s="2"/>
    </row>
    <row r="291" spans="1:20" s="1" customFormat="1" ht="32.1" customHeight="1">
      <c r="A291" s="129"/>
      <c r="B291" s="298"/>
      <c r="C291" s="298"/>
      <c r="D291" s="299"/>
      <c r="E291" s="300"/>
      <c r="F291" s="300"/>
      <c r="G291" s="300"/>
      <c r="H291" s="300"/>
      <c r="I291" s="300"/>
      <c r="J291" s="300"/>
      <c r="K291" s="300"/>
      <c r="L291" s="300"/>
      <c r="M291" s="300"/>
      <c r="N291" s="300"/>
      <c r="O291" s="300"/>
      <c r="P291" s="300"/>
      <c r="Q291" s="301"/>
      <c r="R291" s="301"/>
      <c r="S291" s="302"/>
      <c r="T291" s="2"/>
    </row>
    <row r="292" spans="1:20" s="1" customFormat="1" ht="32.1" customHeight="1">
      <c r="A292" s="129"/>
      <c r="B292" s="298"/>
      <c r="C292" s="298"/>
      <c r="D292" s="299"/>
      <c r="E292" s="300"/>
      <c r="F292" s="300"/>
      <c r="G292" s="300"/>
      <c r="H292" s="300"/>
      <c r="I292" s="300"/>
      <c r="J292" s="300"/>
      <c r="K292" s="300"/>
      <c r="L292" s="300"/>
      <c r="M292" s="300"/>
      <c r="N292" s="300"/>
      <c r="O292" s="300"/>
      <c r="P292" s="300"/>
      <c r="Q292" s="301"/>
      <c r="R292" s="301"/>
      <c r="S292" s="302"/>
      <c r="T292" s="2"/>
    </row>
    <row r="293" spans="1:20" s="1" customFormat="1" ht="32.1" customHeight="1">
      <c r="A293" s="129"/>
      <c r="B293" s="298"/>
      <c r="C293" s="298"/>
      <c r="D293" s="299"/>
      <c r="E293" s="300"/>
      <c r="F293" s="300"/>
      <c r="G293" s="300"/>
      <c r="H293" s="300"/>
      <c r="I293" s="300"/>
      <c r="J293" s="300"/>
      <c r="K293" s="300"/>
      <c r="L293" s="300"/>
      <c r="M293" s="300"/>
      <c r="N293" s="300"/>
      <c r="O293" s="300"/>
      <c r="P293" s="300"/>
      <c r="Q293" s="301"/>
      <c r="R293" s="301"/>
      <c r="S293" s="302"/>
      <c r="T293" s="2"/>
    </row>
    <row r="294" spans="1:20" s="1" customFormat="1" ht="32.1" customHeight="1">
      <c r="A294" s="129"/>
      <c r="B294" s="298"/>
      <c r="C294" s="298"/>
      <c r="D294" s="299"/>
      <c r="E294" s="300"/>
      <c r="F294" s="300"/>
      <c r="G294" s="300"/>
      <c r="H294" s="300"/>
      <c r="I294" s="300"/>
      <c r="J294" s="300"/>
      <c r="K294" s="300"/>
      <c r="L294" s="300"/>
      <c r="M294" s="300"/>
      <c r="N294" s="300"/>
      <c r="O294" s="300"/>
      <c r="P294" s="300"/>
      <c r="Q294" s="301"/>
      <c r="R294" s="301"/>
      <c r="S294" s="302"/>
      <c r="T294" s="2"/>
    </row>
    <row r="295" spans="1:20" s="1" customFormat="1" ht="32.1" customHeight="1">
      <c r="A295" s="129"/>
      <c r="B295" s="298"/>
      <c r="C295" s="298"/>
      <c r="D295" s="299"/>
      <c r="E295" s="300"/>
      <c r="F295" s="300"/>
      <c r="G295" s="300"/>
      <c r="H295" s="300"/>
      <c r="I295" s="300"/>
      <c r="J295" s="300"/>
      <c r="K295" s="300"/>
      <c r="L295" s="300"/>
      <c r="M295" s="300"/>
      <c r="N295" s="300"/>
      <c r="O295" s="300"/>
      <c r="P295" s="300"/>
      <c r="Q295" s="301"/>
      <c r="R295" s="301"/>
      <c r="S295" s="302"/>
      <c r="T295" s="2"/>
    </row>
    <row r="296" spans="1:20" s="1" customFormat="1" ht="32.1" customHeight="1">
      <c r="A296" s="129"/>
      <c r="B296" s="298"/>
      <c r="C296" s="298"/>
      <c r="D296" s="299"/>
      <c r="E296" s="300"/>
      <c r="F296" s="300"/>
      <c r="G296" s="300"/>
      <c r="H296" s="300"/>
      <c r="I296" s="300"/>
      <c r="J296" s="300"/>
      <c r="K296" s="300"/>
      <c r="L296" s="300"/>
      <c r="M296" s="300"/>
      <c r="N296" s="300"/>
      <c r="O296" s="300"/>
      <c r="P296" s="300"/>
      <c r="Q296" s="301"/>
      <c r="R296" s="301"/>
      <c r="S296" s="302"/>
      <c r="T296" s="2"/>
    </row>
    <row r="297" spans="1:20" s="1" customFormat="1" ht="32.1" customHeight="1">
      <c r="A297" s="129"/>
      <c r="B297" s="298"/>
      <c r="C297" s="298"/>
      <c r="D297" s="299"/>
      <c r="E297" s="300"/>
      <c r="F297" s="300"/>
      <c r="G297" s="300"/>
      <c r="H297" s="300"/>
      <c r="I297" s="300"/>
      <c r="J297" s="300"/>
      <c r="K297" s="300"/>
      <c r="L297" s="300"/>
      <c r="M297" s="300"/>
      <c r="N297" s="300"/>
      <c r="O297" s="300"/>
      <c r="P297" s="300"/>
      <c r="Q297" s="301"/>
      <c r="R297" s="301"/>
      <c r="S297" s="302"/>
      <c r="T297" s="2"/>
    </row>
    <row r="298" spans="1:20" s="1" customFormat="1" ht="32.1" customHeight="1">
      <c r="A298" s="129"/>
      <c r="B298" s="298"/>
      <c r="C298" s="298"/>
      <c r="D298" s="299"/>
      <c r="E298" s="300"/>
      <c r="F298" s="300"/>
      <c r="G298" s="300"/>
      <c r="H298" s="300"/>
      <c r="I298" s="300"/>
      <c r="J298" s="300"/>
      <c r="K298" s="300"/>
      <c r="L298" s="300"/>
      <c r="M298" s="300"/>
      <c r="N298" s="300"/>
      <c r="O298" s="300"/>
      <c r="P298" s="300"/>
      <c r="Q298" s="301"/>
      <c r="R298" s="301"/>
      <c r="S298" s="302"/>
      <c r="T298" s="2"/>
    </row>
    <row r="299" spans="1:20" s="1" customFormat="1" ht="32.1" customHeight="1">
      <c r="A299" s="129"/>
      <c r="B299" s="298"/>
      <c r="C299" s="298"/>
      <c r="D299" s="299"/>
      <c r="E299" s="300"/>
      <c r="F299" s="300"/>
      <c r="G299" s="300"/>
      <c r="H299" s="300"/>
      <c r="I299" s="300"/>
      <c r="J299" s="300"/>
      <c r="K299" s="300"/>
      <c r="L299" s="300"/>
      <c r="M299" s="300"/>
      <c r="N299" s="300"/>
      <c r="O299" s="300"/>
      <c r="P299" s="300"/>
      <c r="Q299" s="301"/>
      <c r="R299" s="301"/>
      <c r="S299" s="302"/>
      <c r="T299" s="2"/>
    </row>
    <row r="300" spans="1:20" s="1" customFormat="1" ht="32.1" customHeight="1">
      <c r="A300" s="129"/>
      <c r="B300" s="298"/>
      <c r="C300" s="298"/>
      <c r="D300" s="299"/>
      <c r="E300" s="300"/>
      <c r="F300" s="300"/>
      <c r="G300" s="300"/>
      <c r="H300" s="300"/>
      <c r="I300" s="300"/>
      <c r="J300" s="300"/>
      <c r="K300" s="300"/>
      <c r="L300" s="300"/>
      <c r="M300" s="300"/>
      <c r="N300" s="300"/>
      <c r="O300" s="300"/>
      <c r="P300" s="300"/>
      <c r="Q300" s="301"/>
      <c r="R300" s="301"/>
      <c r="S300" s="302"/>
      <c r="T300" s="2"/>
    </row>
    <row r="301" spans="1:20" s="1" customFormat="1" ht="32.1" customHeight="1">
      <c r="A301" s="129"/>
      <c r="B301" s="298"/>
      <c r="C301" s="298"/>
      <c r="D301" s="299"/>
      <c r="E301" s="300"/>
      <c r="F301" s="300"/>
      <c r="G301" s="300"/>
      <c r="H301" s="300"/>
      <c r="I301" s="300"/>
      <c r="J301" s="300"/>
      <c r="K301" s="300"/>
      <c r="L301" s="300"/>
      <c r="M301" s="300"/>
      <c r="N301" s="300"/>
      <c r="O301" s="300"/>
      <c r="P301" s="300"/>
      <c r="Q301" s="301"/>
      <c r="R301" s="301"/>
      <c r="S301" s="302"/>
      <c r="T301" s="2"/>
    </row>
    <row r="302" spans="1:20" s="1" customFormat="1" ht="32.1" customHeight="1">
      <c r="A302" s="129"/>
      <c r="B302" s="298"/>
      <c r="C302" s="298"/>
      <c r="D302" s="299"/>
      <c r="E302" s="300"/>
      <c r="F302" s="300"/>
      <c r="G302" s="300"/>
      <c r="H302" s="300"/>
      <c r="I302" s="300"/>
      <c r="J302" s="300"/>
      <c r="K302" s="300"/>
      <c r="L302" s="300"/>
      <c r="M302" s="300"/>
      <c r="N302" s="300"/>
      <c r="O302" s="300"/>
      <c r="P302" s="300"/>
      <c r="Q302" s="301"/>
      <c r="R302" s="301"/>
      <c r="S302" s="302"/>
      <c r="T302" s="2"/>
    </row>
    <row r="303" spans="1:20" s="1" customFormat="1" ht="32.1" customHeight="1">
      <c r="A303" s="129"/>
      <c r="B303" s="298"/>
      <c r="C303" s="298"/>
      <c r="D303" s="299"/>
      <c r="E303" s="300"/>
      <c r="F303" s="300"/>
      <c r="G303" s="300"/>
      <c r="H303" s="300"/>
      <c r="I303" s="300"/>
      <c r="J303" s="300"/>
      <c r="K303" s="300"/>
      <c r="L303" s="300"/>
      <c r="M303" s="300"/>
      <c r="N303" s="300"/>
      <c r="O303" s="300"/>
      <c r="P303" s="300"/>
      <c r="Q303" s="301"/>
      <c r="R303" s="301"/>
      <c r="S303" s="302"/>
      <c r="T303" s="2"/>
    </row>
    <row r="304" spans="1:20" s="1" customFormat="1" ht="32.1" customHeight="1">
      <c r="A304" s="129"/>
      <c r="B304" s="298"/>
      <c r="C304" s="298"/>
      <c r="D304" s="299"/>
      <c r="E304" s="300"/>
      <c r="F304" s="300"/>
      <c r="G304" s="300"/>
      <c r="H304" s="300"/>
      <c r="I304" s="300"/>
      <c r="J304" s="300"/>
      <c r="K304" s="300"/>
      <c r="L304" s="300"/>
      <c r="M304" s="300"/>
      <c r="N304" s="300"/>
      <c r="O304" s="300"/>
      <c r="P304" s="300"/>
      <c r="Q304" s="301"/>
      <c r="R304" s="301"/>
      <c r="S304" s="302"/>
      <c r="T304" s="2"/>
    </row>
    <row r="305" spans="1:20" s="1" customFormat="1" ht="32.1" customHeight="1">
      <c r="A305" s="129"/>
      <c r="B305" s="298"/>
      <c r="C305" s="298"/>
      <c r="D305" s="299"/>
      <c r="E305" s="300"/>
      <c r="F305" s="300"/>
      <c r="G305" s="300"/>
      <c r="H305" s="300"/>
      <c r="I305" s="300"/>
      <c r="J305" s="300"/>
      <c r="K305" s="300"/>
      <c r="L305" s="300"/>
      <c r="M305" s="300"/>
      <c r="N305" s="300"/>
      <c r="O305" s="300"/>
      <c r="P305" s="300"/>
      <c r="Q305" s="301"/>
      <c r="R305" s="301"/>
      <c r="S305" s="302"/>
      <c r="T305" s="2"/>
    </row>
    <row r="306" spans="1:20" s="1" customFormat="1" ht="32.1" customHeight="1">
      <c r="A306" s="129"/>
      <c r="B306" s="298"/>
      <c r="C306" s="298"/>
      <c r="D306" s="299"/>
      <c r="E306" s="300"/>
      <c r="F306" s="300"/>
      <c r="G306" s="300"/>
      <c r="H306" s="300"/>
      <c r="I306" s="300"/>
      <c r="J306" s="300"/>
      <c r="K306" s="300"/>
      <c r="L306" s="300"/>
      <c r="M306" s="300"/>
      <c r="N306" s="300"/>
      <c r="O306" s="300"/>
      <c r="P306" s="300"/>
      <c r="Q306" s="301"/>
      <c r="R306" s="301"/>
      <c r="S306" s="302"/>
      <c r="T306" s="2"/>
    </row>
    <row r="307" spans="1:20" s="1" customFormat="1" ht="32.1" customHeight="1">
      <c r="A307" s="129"/>
      <c r="B307" s="298"/>
      <c r="C307" s="298"/>
      <c r="D307" s="299"/>
      <c r="E307" s="300"/>
      <c r="F307" s="300"/>
      <c r="G307" s="300"/>
      <c r="H307" s="300"/>
      <c r="I307" s="300"/>
      <c r="J307" s="300"/>
      <c r="K307" s="300"/>
      <c r="L307" s="300"/>
      <c r="M307" s="300"/>
      <c r="N307" s="300"/>
      <c r="O307" s="300"/>
      <c r="P307" s="300"/>
      <c r="Q307" s="301"/>
      <c r="R307" s="301"/>
      <c r="S307" s="302"/>
      <c r="T307" s="2"/>
    </row>
    <row r="308" spans="1:20" s="1" customFormat="1" ht="32.1" customHeight="1">
      <c r="A308" s="129"/>
      <c r="B308" s="298"/>
      <c r="C308" s="298"/>
      <c r="D308" s="299"/>
      <c r="E308" s="300"/>
      <c r="F308" s="300"/>
      <c r="G308" s="300"/>
      <c r="H308" s="300"/>
      <c r="I308" s="300"/>
      <c r="J308" s="300"/>
      <c r="K308" s="300"/>
      <c r="L308" s="300"/>
      <c r="M308" s="300"/>
      <c r="N308" s="300"/>
      <c r="O308" s="300"/>
      <c r="P308" s="300"/>
      <c r="Q308" s="301"/>
      <c r="R308" s="301"/>
      <c r="S308" s="302"/>
      <c r="T308" s="2"/>
    </row>
    <row r="309" spans="1:20" s="1" customFormat="1" ht="32.1" customHeight="1">
      <c r="A309" s="129"/>
      <c r="B309" s="298"/>
      <c r="C309" s="298"/>
      <c r="D309" s="299"/>
      <c r="E309" s="300"/>
      <c r="F309" s="300"/>
      <c r="G309" s="300"/>
      <c r="H309" s="300"/>
      <c r="I309" s="300"/>
      <c r="J309" s="300"/>
      <c r="K309" s="300"/>
      <c r="L309" s="300"/>
      <c r="M309" s="300"/>
      <c r="N309" s="300"/>
      <c r="O309" s="300"/>
      <c r="P309" s="300"/>
      <c r="Q309" s="301"/>
      <c r="R309" s="301"/>
      <c r="S309" s="302"/>
      <c r="T309" s="2"/>
    </row>
    <row r="310" spans="1:20" s="1" customFormat="1" ht="32.1" customHeight="1">
      <c r="A310" s="129"/>
      <c r="B310" s="298"/>
      <c r="C310" s="298"/>
      <c r="D310" s="299"/>
      <c r="E310" s="300"/>
      <c r="F310" s="300"/>
      <c r="G310" s="300"/>
      <c r="H310" s="300"/>
      <c r="I310" s="300"/>
      <c r="J310" s="300"/>
      <c r="K310" s="300"/>
      <c r="L310" s="300"/>
      <c r="M310" s="300"/>
      <c r="N310" s="300"/>
      <c r="O310" s="300"/>
      <c r="P310" s="300"/>
      <c r="Q310" s="301"/>
      <c r="R310" s="301"/>
      <c r="S310" s="302"/>
      <c r="T310" s="2"/>
    </row>
    <row r="311" spans="1:20" s="1" customFormat="1" ht="32.1" customHeight="1">
      <c r="A311" s="129"/>
      <c r="B311" s="298"/>
      <c r="C311" s="298"/>
      <c r="D311" s="299"/>
      <c r="E311" s="300"/>
      <c r="F311" s="300"/>
      <c r="G311" s="300"/>
      <c r="H311" s="300"/>
      <c r="I311" s="300"/>
      <c r="J311" s="300"/>
      <c r="K311" s="300"/>
      <c r="L311" s="300"/>
      <c r="M311" s="300"/>
      <c r="N311" s="300"/>
      <c r="O311" s="300"/>
      <c r="P311" s="300"/>
      <c r="Q311" s="301"/>
      <c r="R311" s="301"/>
      <c r="S311" s="302"/>
      <c r="T311" s="2"/>
    </row>
    <row r="312" spans="1:20" s="1" customFormat="1" ht="32.1" customHeight="1">
      <c r="A312" s="129"/>
      <c r="B312" s="298"/>
      <c r="C312" s="298"/>
      <c r="D312" s="299"/>
      <c r="E312" s="300"/>
      <c r="F312" s="300"/>
      <c r="G312" s="300"/>
      <c r="H312" s="300"/>
      <c r="I312" s="300"/>
      <c r="J312" s="300"/>
      <c r="K312" s="300"/>
      <c r="L312" s="300"/>
      <c r="M312" s="300"/>
      <c r="N312" s="300"/>
      <c r="O312" s="300"/>
      <c r="P312" s="300"/>
      <c r="Q312" s="301"/>
      <c r="R312" s="301"/>
      <c r="S312" s="302"/>
      <c r="T312" s="2"/>
    </row>
    <row r="313" spans="1:20" s="1" customFormat="1" ht="32.1" customHeight="1">
      <c r="A313" s="129"/>
      <c r="B313" s="298"/>
      <c r="C313" s="298"/>
      <c r="D313" s="299"/>
      <c r="E313" s="300"/>
      <c r="F313" s="300"/>
      <c r="G313" s="300"/>
      <c r="H313" s="300"/>
      <c r="I313" s="300"/>
      <c r="J313" s="300"/>
      <c r="K313" s="300"/>
      <c r="L313" s="300"/>
      <c r="M313" s="300"/>
      <c r="N313" s="300"/>
      <c r="O313" s="303"/>
      <c r="P313" s="300"/>
      <c r="Q313" s="301"/>
      <c r="R313" s="301"/>
      <c r="S313" s="302"/>
      <c r="T313" s="2"/>
    </row>
    <row r="314" spans="1:20" s="1" customFormat="1" ht="32.1" customHeight="1">
      <c r="A314" s="129"/>
      <c r="B314" s="298"/>
      <c r="C314" s="298"/>
      <c r="D314" s="299"/>
      <c r="E314" s="300"/>
      <c r="F314" s="300"/>
      <c r="G314" s="300"/>
      <c r="H314" s="300"/>
      <c r="I314" s="300"/>
      <c r="J314" s="300"/>
      <c r="K314" s="300"/>
      <c r="L314" s="300"/>
      <c r="M314" s="300"/>
      <c r="N314" s="300"/>
      <c r="O314" s="300"/>
      <c r="P314" s="300"/>
      <c r="Q314" s="301"/>
      <c r="R314" s="301"/>
      <c r="S314" s="302"/>
      <c r="T314" s="2"/>
    </row>
    <row r="315" spans="1:20" s="1" customFormat="1" ht="32.1" customHeight="1">
      <c r="A315" s="129"/>
      <c r="B315" s="298"/>
      <c r="C315" s="298"/>
      <c r="D315" s="299"/>
      <c r="E315" s="300"/>
      <c r="F315" s="300"/>
      <c r="G315" s="300"/>
      <c r="H315" s="300"/>
      <c r="I315" s="300"/>
      <c r="J315" s="300"/>
      <c r="K315" s="300"/>
      <c r="L315" s="300"/>
      <c r="M315" s="300"/>
      <c r="N315" s="300"/>
      <c r="O315" s="300"/>
      <c r="P315" s="300"/>
      <c r="Q315" s="301"/>
      <c r="R315" s="301"/>
      <c r="S315" s="302"/>
      <c r="T315" s="2"/>
    </row>
    <row r="316" spans="1:20" s="1" customFormat="1" ht="32.1" customHeight="1">
      <c r="A316" s="129"/>
      <c r="B316" s="298"/>
      <c r="C316" s="298"/>
      <c r="D316" s="299"/>
      <c r="E316" s="300"/>
      <c r="F316" s="300"/>
      <c r="G316" s="300"/>
      <c r="H316" s="300"/>
      <c r="I316" s="300"/>
      <c r="J316" s="300"/>
      <c r="K316" s="300"/>
      <c r="L316" s="300"/>
      <c r="M316" s="300"/>
      <c r="N316" s="300"/>
      <c r="O316" s="300"/>
      <c r="P316" s="300"/>
      <c r="Q316" s="301"/>
      <c r="R316" s="301"/>
      <c r="S316" s="302"/>
      <c r="T316" s="2"/>
    </row>
    <row r="317" spans="1:20" s="1" customFormat="1" ht="32.1" customHeight="1">
      <c r="A317" s="129"/>
      <c r="B317" s="298"/>
      <c r="C317" s="298"/>
      <c r="D317" s="299"/>
      <c r="E317" s="300"/>
      <c r="F317" s="300"/>
      <c r="G317" s="300"/>
      <c r="H317" s="300"/>
      <c r="I317" s="300"/>
      <c r="J317" s="300"/>
      <c r="K317" s="300"/>
      <c r="L317" s="300"/>
      <c r="M317" s="300"/>
      <c r="N317" s="300"/>
      <c r="O317" s="300"/>
      <c r="P317" s="300"/>
      <c r="Q317" s="301"/>
      <c r="R317" s="301"/>
      <c r="S317" s="302"/>
      <c r="T317" s="2"/>
    </row>
    <row r="318" spans="1:20" s="1" customFormat="1" ht="32.1" customHeight="1">
      <c r="A318" s="129"/>
      <c r="B318" s="298"/>
      <c r="C318" s="298"/>
      <c r="D318" s="299"/>
      <c r="E318" s="300"/>
      <c r="F318" s="300"/>
      <c r="G318" s="300"/>
      <c r="H318" s="300"/>
      <c r="I318" s="300"/>
      <c r="J318" s="300"/>
      <c r="K318" s="300"/>
      <c r="L318" s="300"/>
      <c r="M318" s="300"/>
      <c r="N318" s="300"/>
      <c r="O318" s="300"/>
      <c r="P318" s="300"/>
      <c r="Q318" s="301"/>
      <c r="R318" s="301"/>
      <c r="S318" s="302"/>
      <c r="T318" s="2"/>
    </row>
    <row r="319" spans="1:20" s="1" customFormat="1" ht="32.1" customHeight="1">
      <c r="A319" s="129"/>
      <c r="B319" s="298"/>
      <c r="C319" s="298"/>
      <c r="D319" s="299"/>
      <c r="E319" s="300"/>
      <c r="F319" s="300"/>
      <c r="G319" s="300"/>
      <c r="H319" s="300"/>
      <c r="I319" s="300"/>
      <c r="J319" s="300"/>
      <c r="K319" s="300"/>
      <c r="L319" s="300"/>
      <c r="M319" s="300"/>
      <c r="N319" s="300"/>
      <c r="O319" s="300"/>
      <c r="P319" s="300"/>
      <c r="Q319" s="301"/>
      <c r="R319" s="301"/>
      <c r="S319" s="302"/>
      <c r="T319" s="2"/>
    </row>
    <row r="320" spans="1:20" s="1" customFormat="1" ht="32.1" customHeight="1">
      <c r="A320" s="129"/>
      <c r="B320" s="298"/>
      <c r="C320" s="298"/>
      <c r="D320" s="299"/>
      <c r="E320" s="300"/>
      <c r="F320" s="300"/>
      <c r="G320" s="300"/>
      <c r="H320" s="300"/>
      <c r="I320" s="300"/>
      <c r="J320" s="300"/>
      <c r="K320" s="300"/>
      <c r="L320" s="300"/>
      <c r="M320" s="300"/>
      <c r="N320" s="300"/>
      <c r="O320" s="303"/>
      <c r="P320" s="300"/>
      <c r="Q320" s="301"/>
      <c r="R320" s="301"/>
      <c r="S320" s="302"/>
      <c r="T320" s="2"/>
    </row>
    <row r="321" spans="1:20" s="1" customFormat="1" ht="32.1" customHeight="1">
      <c r="A321" s="129"/>
      <c r="B321" s="298"/>
      <c r="C321" s="298"/>
      <c r="D321" s="299"/>
      <c r="E321" s="300"/>
      <c r="F321" s="300"/>
      <c r="G321" s="303"/>
      <c r="H321" s="300"/>
      <c r="I321" s="300"/>
      <c r="J321" s="300"/>
      <c r="K321" s="300"/>
      <c r="L321" s="300"/>
      <c r="M321" s="300"/>
      <c r="N321" s="300"/>
      <c r="O321" s="300"/>
      <c r="P321" s="300"/>
      <c r="Q321" s="301"/>
      <c r="R321" s="301"/>
      <c r="S321" s="302"/>
      <c r="T321" s="2"/>
    </row>
    <row r="322" spans="1:20" s="1" customFormat="1" ht="32.1" customHeight="1">
      <c r="A322" s="129"/>
      <c r="B322" s="298"/>
      <c r="C322" s="298"/>
      <c r="D322" s="299"/>
      <c r="E322" s="300"/>
      <c r="F322" s="300"/>
      <c r="G322" s="300"/>
      <c r="H322" s="300"/>
      <c r="I322" s="300"/>
      <c r="J322" s="300"/>
      <c r="K322" s="300"/>
      <c r="L322" s="300"/>
      <c r="M322" s="300"/>
      <c r="N322" s="300"/>
      <c r="O322" s="303"/>
      <c r="P322" s="300"/>
      <c r="Q322" s="301"/>
      <c r="R322" s="301"/>
      <c r="S322" s="302"/>
      <c r="T322" s="2"/>
    </row>
    <row r="323" spans="1:20" s="1" customFormat="1" ht="32.1" customHeight="1">
      <c r="A323" s="129"/>
      <c r="B323" s="298"/>
      <c r="C323" s="298"/>
      <c r="D323" s="299"/>
      <c r="E323" s="300"/>
      <c r="F323" s="300"/>
      <c r="G323" s="300"/>
      <c r="H323" s="300"/>
      <c r="I323" s="300"/>
      <c r="J323" s="300"/>
      <c r="K323" s="300"/>
      <c r="L323" s="300"/>
      <c r="M323" s="300"/>
      <c r="N323" s="300"/>
      <c r="O323" s="300"/>
      <c r="P323" s="300"/>
      <c r="Q323" s="301"/>
      <c r="R323" s="301"/>
      <c r="S323" s="302"/>
      <c r="T323" s="2"/>
    </row>
    <row r="324" spans="1:20" s="1" customFormat="1" ht="32.1" customHeight="1">
      <c r="A324" s="129"/>
      <c r="B324" s="298"/>
      <c r="C324" s="298"/>
      <c r="D324" s="299"/>
      <c r="E324" s="300"/>
      <c r="F324" s="300"/>
      <c r="G324" s="300"/>
      <c r="H324" s="300"/>
      <c r="I324" s="300"/>
      <c r="J324" s="300"/>
      <c r="K324" s="300"/>
      <c r="L324" s="300"/>
      <c r="M324" s="300"/>
      <c r="N324" s="300"/>
      <c r="O324" s="300"/>
      <c r="P324" s="300"/>
      <c r="Q324" s="301"/>
      <c r="R324" s="301"/>
      <c r="S324" s="302"/>
      <c r="T324" s="2"/>
    </row>
    <row r="325" spans="1:20" s="1" customFormat="1" ht="32.1" customHeight="1">
      <c r="A325" s="129"/>
      <c r="B325" s="298"/>
      <c r="C325" s="298"/>
      <c r="D325" s="299"/>
      <c r="E325" s="300"/>
      <c r="F325" s="300"/>
      <c r="G325" s="300"/>
      <c r="H325" s="300"/>
      <c r="I325" s="300"/>
      <c r="J325" s="300"/>
      <c r="K325" s="300"/>
      <c r="L325" s="300"/>
      <c r="M325" s="300"/>
      <c r="N325" s="300"/>
      <c r="O325" s="300"/>
      <c r="P325" s="300"/>
      <c r="Q325" s="301"/>
      <c r="R325" s="301"/>
      <c r="S325" s="302"/>
      <c r="T325" s="2"/>
    </row>
    <row r="326" spans="1:20" s="1" customFormat="1" ht="32.1" customHeight="1">
      <c r="A326" s="129"/>
      <c r="B326" s="298"/>
      <c r="C326" s="298"/>
      <c r="D326" s="299"/>
      <c r="E326" s="300"/>
      <c r="F326" s="300"/>
      <c r="G326" s="300"/>
      <c r="H326" s="300"/>
      <c r="I326" s="300"/>
      <c r="J326" s="300"/>
      <c r="K326" s="300"/>
      <c r="L326" s="300"/>
      <c r="M326" s="300"/>
      <c r="N326" s="300"/>
      <c r="O326" s="300"/>
      <c r="P326" s="300"/>
      <c r="Q326" s="301"/>
      <c r="R326" s="301"/>
      <c r="S326" s="302"/>
      <c r="T326" s="2"/>
    </row>
    <row r="327" spans="1:20" s="1" customFormat="1" ht="32.1" customHeight="1">
      <c r="A327" s="129"/>
      <c r="B327" s="298"/>
      <c r="C327" s="298"/>
      <c r="D327" s="299"/>
      <c r="E327" s="300"/>
      <c r="F327" s="300"/>
      <c r="G327" s="300"/>
      <c r="H327" s="300"/>
      <c r="I327" s="300"/>
      <c r="J327" s="300"/>
      <c r="K327" s="300"/>
      <c r="L327" s="300"/>
      <c r="M327" s="300"/>
      <c r="N327" s="300"/>
      <c r="O327" s="303"/>
      <c r="P327" s="300"/>
      <c r="Q327" s="301"/>
      <c r="R327" s="301"/>
      <c r="S327" s="302"/>
      <c r="T327" s="2"/>
    </row>
    <row r="328" spans="1:20" s="1" customFormat="1" ht="32.1" customHeight="1">
      <c r="A328" s="129"/>
      <c r="B328" s="298"/>
      <c r="C328" s="298"/>
      <c r="D328" s="299"/>
      <c r="E328" s="300"/>
      <c r="F328" s="300"/>
      <c r="G328" s="300"/>
      <c r="H328" s="300"/>
      <c r="I328" s="300"/>
      <c r="J328" s="300"/>
      <c r="K328" s="300"/>
      <c r="L328" s="300"/>
      <c r="M328" s="300"/>
      <c r="N328" s="300"/>
      <c r="O328" s="300"/>
      <c r="P328" s="300"/>
      <c r="Q328" s="301"/>
      <c r="R328" s="301"/>
      <c r="S328" s="302"/>
      <c r="T328" s="2"/>
    </row>
    <row r="329" spans="1:20" s="1" customFormat="1" ht="32.1" customHeight="1">
      <c r="A329" s="129"/>
      <c r="B329" s="298"/>
      <c r="C329" s="298"/>
      <c r="D329" s="299"/>
      <c r="E329" s="300"/>
      <c r="F329" s="300"/>
      <c r="G329" s="300"/>
      <c r="H329" s="300"/>
      <c r="I329" s="300"/>
      <c r="J329" s="300"/>
      <c r="K329" s="300"/>
      <c r="L329" s="300"/>
      <c r="M329" s="300"/>
      <c r="N329" s="300"/>
      <c r="O329" s="300"/>
      <c r="P329" s="300"/>
      <c r="Q329" s="301"/>
      <c r="R329" s="301"/>
      <c r="S329" s="302"/>
      <c r="T329" s="2"/>
    </row>
    <row r="330" spans="1:20" s="1" customFormat="1" ht="32.1" customHeight="1">
      <c r="A330" s="129"/>
      <c r="B330" s="298"/>
      <c r="C330" s="298"/>
      <c r="D330" s="299"/>
      <c r="E330" s="300"/>
      <c r="F330" s="300"/>
      <c r="G330" s="300"/>
      <c r="H330" s="300"/>
      <c r="I330" s="300"/>
      <c r="J330" s="300"/>
      <c r="K330" s="300"/>
      <c r="L330" s="300"/>
      <c r="M330" s="300"/>
      <c r="N330" s="300"/>
      <c r="O330" s="300"/>
      <c r="P330" s="300"/>
      <c r="Q330" s="301"/>
      <c r="R330" s="301"/>
      <c r="S330" s="302"/>
      <c r="T330" s="2"/>
    </row>
    <row r="331" spans="1:20" ht="32.1" hidden="1" customHeight="1">
      <c r="A331" s="112" t="s">
        <v>3488</v>
      </c>
      <c r="B331" s="235" t="s">
        <v>3508</v>
      </c>
      <c r="C331" s="235" t="s">
        <v>3509</v>
      </c>
      <c r="D331" s="114">
        <v>102</v>
      </c>
      <c r="E331" s="124"/>
      <c r="F331" s="124"/>
      <c r="G331" s="124"/>
      <c r="H331" s="124"/>
      <c r="I331" s="249">
        <v>21</v>
      </c>
      <c r="J331" s="124"/>
      <c r="K331" s="124"/>
      <c r="L331" s="124"/>
      <c r="M331" s="124"/>
      <c r="N331" s="124"/>
      <c r="O331" s="124"/>
      <c r="P331" s="240">
        <v>0</v>
      </c>
      <c r="Q331" s="252">
        <f t="shared" ref="Q331:Q347" si="20">AVERAGE(E331:P331)</f>
        <v>10.5</v>
      </c>
      <c r="R331" s="244" t="str">
        <f t="shared" ref="R331:R364" si="21">IF(Q331&lt;5,"SI","NO")</f>
        <v>NO</v>
      </c>
      <c r="S331" s="253" t="str">
        <f t="shared" ref="S331:S347" si="22">IF(Q331&lt;5,"Sin Riesgo",IF(Q331 &lt;=14,"Bajo",IF(Q331&lt;=35,"Medio",IF(Q331&lt;=80,"Alto","Inviable Sanitariamente"))))</f>
        <v>Bajo</v>
      </c>
    </row>
    <row r="332" spans="1:20" ht="32.1" hidden="1" customHeight="1">
      <c r="A332" s="112" t="s">
        <v>3488</v>
      </c>
      <c r="B332" s="235" t="s">
        <v>3510</v>
      </c>
      <c r="C332" s="235" t="s">
        <v>3511</v>
      </c>
      <c r="D332" s="119">
        <v>65</v>
      </c>
      <c r="E332" s="124"/>
      <c r="F332" s="124"/>
      <c r="G332" s="124"/>
      <c r="H332" s="124"/>
      <c r="I332" s="124"/>
      <c r="J332" s="124"/>
      <c r="K332" s="124"/>
      <c r="L332" s="239">
        <v>97.4</v>
      </c>
      <c r="M332" s="124"/>
      <c r="N332" s="124"/>
      <c r="O332" s="240"/>
      <c r="P332" s="124"/>
      <c r="Q332" s="243">
        <f t="shared" si="20"/>
        <v>97.4</v>
      </c>
      <c r="R332" s="244" t="str">
        <f t="shared" si="21"/>
        <v>NO</v>
      </c>
      <c r="S332" s="245" t="str">
        <f t="shared" si="22"/>
        <v>Inviable Sanitariamente</v>
      </c>
    </row>
    <row r="333" spans="1:20" ht="32.1" hidden="1" customHeight="1">
      <c r="A333" s="112" t="s">
        <v>3488</v>
      </c>
      <c r="B333" s="235" t="s">
        <v>478</v>
      </c>
      <c r="C333" s="235" t="s">
        <v>3512</v>
      </c>
      <c r="D333" s="119">
        <v>15</v>
      </c>
      <c r="E333" s="124"/>
      <c r="F333" s="124"/>
      <c r="G333" s="124"/>
      <c r="H333" s="124"/>
      <c r="I333" s="124"/>
      <c r="J333" s="124"/>
      <c r="K333" s="124"/>
      <c r="L333" s="239">
        <v>97.4</v>
      </c>
      <c r="M333" s="249"/>
      <c r="N333" s="124"/>
      <c r="O333" s="124"/>
      <c r="P333" s="124"/>
      <c r="Q333" s="243">
        <f t="shared" si="20"/>
        <v>97.4</v>
      </c>
      <c r="R333" s="244" t="str">
        <f t="shared" si="21"/>
        <v>NO</v>
      </c>
      <c r="S333" s="245" t="str">
        <f t="shared" si="22"/>
        <v>Inviable Sanitariamente</v>
      </c>
    </row>
    <row r="334" spans="1:20" ht="32.1" hidden="1" customHeight="1">
      <c r="A334" s="112" t="s">
        <v>3488</v>
      </c>
      <c r="B334" s="235" t="s">
        <v>3078</v>
      </c>
      <c r="C334" s="235" t="s">
        <v>3079</v>
      </c>
      <c r="D334" s="114">
        <v>32</v>
      </c>
      <c r="E334" s="124"/>
      <c r="F334" s="124"/>
      <c r="G334" s="124"/>
      <c r="H334" s="124"/>
      <c r="I334" s="124"/>
      <c r="J334" s="124"/>
      <c r="K334" s="124"/>
      <c r="L334" s="246">
        <v>53.1</v>
      </c>
      <c r="M334" s="124"/>
      <c r="N334" s="124"/>
      <c r="O334" s="124"/>
      <c r="P334" s="124"/>
      <c r="Q334" s="247">
        <f t="shared" si="20"/>
        <v>53.1</v>
      </c>
      <c r="R334" s="244" t="str">
        <f t="shared" si="21"/>
        <v>NO</v>
      </c>
      <c r="S334" s="248" t="str">
        <f t="shared" si="22"/>
        <v>Alto</v>
      </c>
    </row>
    <row r="335" spans="1:20" ht="32.1" hidden="1" customHeight="1">
      <c r="A335" s="112" t="s">
        <v>3488</v>
      </c>
      <c r="B335" s="235" t="s">
        <v>3513</v>
      </c>
      <c r="C335" s="235" t="s">
        <v>3514</v>
      </c>
      <c r="D335" s="119">
        <v>86</v>
      </c>
      <c r="E335" s="124"/>
      <c r="F335" s="240">
        <v>0</v>
      </c>
      <c r="G335" s="246">
        <v>70.8</v>
      </c>
      <c r="H335" s="240">
        <v>0</v>
      </c>
      <c r="I335" s="240">
        <v>0</v>
      </c>
      <c r="J335" s="124"/>
      <c r="K335" s="240">
        <v>0</v>
      </c>
      <c r="L335" s="124"/>
      <c r="M335" s="124"/>
      <c r="N335" s="124"/>
      <c r="O335" s="246">
        <v>55.94</v>
      </c>
      <c r="P335" s="240">
        <v>0</v>
      </c>
      <c r="Q335" s="250">
        <f t="shared" si="20"/>
        <v>18.105714285714285</v>
      </c>
      <c r="R335" s="244" t="str">
        <f t="shared" si="21"/>
        <v>NO</v>
      </c>
      <c r="S335" s="251" t="str">
        <f t="shared" si="22"/>
        <v>Medio</v>
      </c>
    </row>
    <row r="336" spans="1:20" ht="32.1" hidden="1" customHeight="1">
      <c r="A336" s="112" t="s">
        <v>3488</v>
      </c>
      <c r="B336" s="235" t="s">
        <v>3515</v>
      </c>
      <c r="C336" s="235" t="s">
        <v>3516</v>
      </c>
      <c r="D336" s="119">
        <v>93</v>
      </c>
      <c r="E336" s="239">
        <v>97.4</v>
      </c>
      <c r="F336" s="124"/>
      <c r="G336" s="124"/>
      <c r="H336" s="124"/>
      <c r="I336" s="124"/>
      <c r="J336" s="124"/>
      <c r="K336" s="124"/>
      <c r="L336" s="124"/>
      <c r="M336" s="124"/>
      <c r="N336" s="124"/>
      <c r="O336" s="124"/>
      <c r="P336" s="124"/>
      <c r="Q336" s="243">
        <f t="shared" si="20"/>
        <v>97.4</v>
      </c>
      <c r="R336" s="244" t="str">
        <f t="shared" si="21"/>
        <v>NO</v>
      </c>
      <c r="S336" s="245" t="str">
        <f t="shared" si="22"/>
        <v>Inviable Sanitariamente</v>
      </c>
    </row>
    <row r="337" spans="1:19" ht="32.1" hidden="1" customHeight="1">
      <c r="A337" s="112" t="s">
        <v>3488</v>
      </c>
      <c r="B337" s="235" t="s">
        <v>3517</v>
      </c>
      <c r="C337" s="235" t="s">
        <v>3518</v>
      </c>
      <c r="D337" s="119">
        <v>55</v>
      </c>
      <c r="E337" s="124"/>
      <c r="F337" s="124"/>
      <c r="G337" s="124"/>
      <c r="H337" s="124"/>
      <c r="I337" s="124"/>
      <c r="J337" s="124"/>
      <c r="K337" s="124"/>
      <c r="L337" s="124"/>
      <c r="M337" s="124"/>
      <c r="N337" s="124"/>
      <c r="O337" s="124"/>
      <c r="P337" s="124"/>
      <c r="Q337" s="184" t="e">
        <f t="shared" si="20"/>
        <v>#DIV/0!</v>
      </c>
      <c r="R337" s="185" t="e">
        <f t="shared" si="21"/>
        <v>#DIV/0!</v>
      </c>
      <c r="S337" s="186" t="e">
        <f t="shared" si="22"/>
        <v>#DIV/0!</v>
      </c>
    </row>
    <row r="338" spans="1:19" ht="32.1" hidden="1" customHeight="1">
      <c r="A338" s="112" t="s">
        <v>3488</v>
      </c>
      <c r="B338" s="235" t="s">
        <v>3519</v>
      </c>
      <c r="C338" s="235" t="s">
        <v>3520</v>
      </c>
      <c r="D338" s="119">
        <v>30</v>
      </c>
      <c r="E338" s="124"/>
      <c r="F338" s="124"/>
      <c r="G338" s="236"/>
      <c r="H338" s="124"/>
      <c r="I338" s="124"/>
      <c r="J338" s="124"/>
      <c r="K338" s="124"/>
      <c r="L338" s="239">
        <v>97.4</v>
      </c>
      <c r="M338" s="124"/>
      <c r="N338" s="124"/>
      <c r="O338" s="246"/>
      <c r="P338" s="124"/>
      <c r="Q338" s="243">
        <f t="shared" si="20"/>
        <v>97.4</v>
      </c>
      <c r="R338" s="244" t="str">
        <f t="shared" si="21"/>
        <v>NO</v>
      </c>
      <c r="S338" s="245" t="str">
        <f t="shared" si="22"/>
        <v>Inviable Sanitariamente</v>
      </c>
    </row>
    <row r="339" spans="1:19" ht="32.1" hidden="1" customHeight="1">
      <c r="A339" s="112" t="s">
        <v>3488</v>
      </c>
      <c r="B339" s="235" t="s">
        <v>3521</v>
      </c>
      <c r="C339" s="235" t="s">
        <v>3522</v>
      </c>
      <c r="D339" s="119">
        <v>15</v>
      </c>
      <c r="E339" s="124"/>
      <c r="F339" s="124"/>
      <c r="G339" s="124"/>
      <c r="H339" s="124"/>
      <c r="I339" s="124"/>
      <c r="J339" s="124"/>
      <c r="K339" s="124"/>
      <c r="L339" s="124"/>
      <c r="M339" s="124"/>
      <c r="N339" s="246">
        <v>53.1</v>
      </c>
      <c r="O339" s="124"/>
      <c r="P339" s="124"/>
      <c r="Q339" s="247">
        <f t="shared" si="20"/>
        <v>53.1</v>
      </c>
      <c r="R339" s="244" t="str">
        <f t="shared" si="21"/>
        <v>NO</v>
      </c>
      <c r="S339" s="248" t="str">
        <f t="shared" si="22"/>
        <v>Alto</v>
      </c>
    </row>
    <row r="340" spans="1:19" ht="32.1" hidden="1" customHeight="1">
      <c r="A340" s="112" t="s">
        <v>3488</v>
      </c>
      <c r="B340" s="235" t="s">
        <v>3427</v>
      </c>
      <c r="C340" s="235" t="s">
        <v>3523</v>
      </c>
      <c r="D340" s="119"/>
      <c r="E340" s="124"/>
      <c r="F340" s="240">
        <v>0</v>
      </c>
      <c r="G340" s="240">
        <v>0</v>
      </c>
      <c r="H340" s="240">
        <v>0</v>
      </c>
      <c r="I340" s="240">
        <v>0</v>
      </c>
      <c r="J340" s="240">
        <v>0</v>
      </c>
      <c r="K340" s="124"/>
      <c r="L340" s="124"/>
      <c r="M340" s="124"/>
      <c r="N340" s="124"/>
      <c r="O340" s="124"/>
      <c r="P340" s="240">
        <v>0</v>
      </c>
      <c r="Q340" s="241">
        <f t="shared" si="20"/>
        <v>0</v>
      </c>
      <c r="R340" s="185" t="str">
        <f t="shared" si="21"/>
        <v>SI</v>
      </c>
      <c r="S340" s="242" t="str">
        <f t="shared" si="22"/>
        <v>Sin Riesgo</v>
      </c>
    </row>
    <row r="341" spans="1:19" ht="32.1" hidden="1" customHeight="1">
      <c r="A341" s="112" t="s">
        <v>3488</v>
      </c>
      <c r="B341" s="235" t="s">
        <v>3524</v>
      </c>
      <c r="C341" s="235" t="s">
        <v>3525</v>
      </c>
      <c r="D341" s="119">
        <v>118</v>
      </c>
      <c r="E341" s="124"/>
      <c r="F341" s="124"/>
      <c r="G341" s="124"/>
      <c r="H341" s="124"/>
      <c r="I341" s="124"/>
      <c r="J341" s="124"/>
      <c r="K341" s="239">
        <v>97.35</v>
      </c>
      <c r="L341" s="124"/>
      <c r="M341" s="124"/>
      <c r="N341" s="124"/>
      <c r="O341" s="124"/>
      <c r="P341" s="124"/>
      <c r="Q341" s="241">
        <f t="shared" si="20"/>
        <v>97.35</v>
      </c>
      <c r="R341" s="244" t="str">
        <f t="shared" si="21"/>
        <v>NO</v>
      </c>
      <c r="S341" s="245" t="str">
        <f t="shared" si="22"/>
        <v>Inviable Sanitariamente</v>
      </c>
    </row>
    <row r="342" spans="1:19" ht="32.1" hidden="1" customHeight="1">
      <c r="A342" s="112" t="s">
        <v>3488</v>
      </c>
      <c r="B342" s="235" t="s">
        <v>3526</v>
      </c>
      <c r="C342" s="235" t="s">
        <v>3527</v>
      </c>
      <c r="D342" s="119">
        <v>271</v>
      </c>
      <c r="E342" s="124"/>
      <c r="F342" s="124"/>
      <c r="G342" s="240">
        <v>0</v>
      </c>
      <c r="H342" s="124"/>
      <c r="I342" s="124"/>
      <c r="J342" s="124"/>
      <c r="K342" s="124"/>
      <c r="L342" s="124"/>
      <c r="M342" s="124"/>
      <c r="N342" s="124"/>
      <c r="O342" s="240">
        <v>0</v>
      </c>
      <c r="P342" s="240">
        <v>0</v>
      </c>
      <c r="Q342" s="241">
        <f t="shared" si="20"/>
        <v>0</v>
      </c>
      <c r="R342" s="185" t="str">
        <f t="shared" si="21"/>
        <v>SI</v>
      </c>
      <c r="S342" s="242" t="str">
        <f t="shared" si="22"/>
        <v>Sin Riesgo</v>
      </c>
    </row>
    <row r="343" spans="1:19" ht="32.1" hidden="1" customHeight="1">
      <c r="A343" s="112" t="s">
        <v>3488</v>
      </c>
      <c r="B343" s="235" t="s">
        <v>3528</v>
      </c>
      <c r="C343" s="235" t="s">
        <v>3529</v>
      </c>
      <c r="D343" s="119">
        <v>380</v>
      </c>
      <c r="E343" s="239">
        <v>97.4</v>
      </c>
      <c r="F343" s="124"/>
      <c r="G343" s="124"/>
      <c r="H343" s="124"/>
      <c r="I343" s="124"/>
      <c r="J343" s="124"/>
      <c r="K343" s="124"/>
      <c r="L343" s="124"/>
      <c r="M343" s="124"/>
      <c r="N343" s="124"/>
      <c r="O343" s="124"/>
      <c r="P343" s="124"/>
      <c r="Q343" s="243">
        <f t="shared" si="20"/>
        <v>97.4</v>
      </c>
      <c r="R343" s="244" t="str">
        <f t="shared" si="21"/>
        <v>NO</v>
      </c>
      <c r="S343" s="245" t="str">
        <f t="shared" si="22"/>
        <v>Inviable Sanitariamente</v>
      </c>
    </row>
    <row r="344" spans="1:19" ht="32.1" hidden="1" customHeight="1">
      <c r="A344" s="112" t="s">
        <v>3488</v>
      </c>
      <c r="B344" s="235" t="s">
        <v>1100</v>
      </c>
      <c r="C344" s="235" t="s">
        <v>3530</v>
      </c>
      <c r="D344" s="119">
        <v>260</v>
      </c>
      <c r="E344" s="240">
        <v>0</v>
      </c>
      <c r="F344" s="240">
        <v>0</v>
      </c>
      <c r="G344" s="240">
        <v>0</v>
      </c>
      <c r="H344" s="240">
        <v>0</v>
      </c>
      <c r="I344" s="240">
        <v>0</v>
      </c>
      <c r="J344" s="240">
        <v>0</v>
      </c>
      <c r="K344" s="124"/>
      <c r="L344" s="124"/>
      <c r="M344" s="124"/>
      <c r="N344" s="124"/>
      <c r="O344" s="124"/>
      <c r="P344" s="240">
        <v>0</v>
      </c>
      <c r="Q344" s="241">
        <f t="shared" si="20"/>
        <v>0</v>
      </c>
      <c r="R344" s="185" t="str">
        <f t="shared" si="21"/>
        <v>SI</v>
      </c>
      <c r="S344" s="242" t="str">
        <f t="shared" si="22"/>
        <v>Sin Riesgo</v>
      </c>
    </row>
    <row r="345" spans="1:19" ht="32.1" hidden="1" customHeight="1">
      <c r="A345" s="112" t="s">
        <v>3488</v>
      </c>
      <c r="B345" s="235" t="s">
        <v>3531</v>
      </c>
      <c r="C345" s="235" t="s">
        <v>3532</v>
      </c>
      <c r="D345" s="119">
        <v>1103</v>
      </c>
      <c r="E345" s="124"/>
      <c r="F345" s="240">
        <v>0</v>
      </c>
      <c r="G345" s="240">
        <v>0</v>
      </c>
      <c r="H345" s="240">
        <v>0</v>
      </c>
      <c r="I345" s="240">
        <v>0</v>
      </c>
      <c r="J345" s="240">
        <v>0</v>
      </c>
      <c r="K345" s="124"/>
      <c r="L345" s="124"/>
      <c r="M345" s="124"/>
      <c r="N345" s="124"/>
      <c r="O345" s="124"/>
      <c r="P345" s="240">
        <v>0</v>
      </c>
      <c r="Q345" s="241">
        <f t="shared" si="20"/>
        <v>0</v>
      </c>
      <c r="R345" s="185" t="str">
        <f t="shared" si="21"/>
        <v>SI</v>
      </c>
      <c r="S345" s="242" t="str">
        <f t="shared" si="22"/>
        <v>Sin Riesgo</v>
      </c>
    </row>
    <row r="346" spans="1:19" ht="32.1" hidden="1" customHeight="1">
      <c r="A346" s="112" t="s">
        <v>3488</v>
      </c>
      <c r="B346" s="235" t="s">
        <v>3533</v>
      </c>
      <c r="C346" s="235" t="s">
        <v>3534</v>
      </c>
      <c r="D346" s="119"/>
      <c r="E346" s="240">
        <v>0</v>
      </c>
      <c r="F346" s="240">
        <v>0</v>
      </c>
      <c r="G346" s="240">
        <v>0</v>
      </c>
      <c r="H346" s="240">
        <v>0</v>
      </c>
      <c r="I346" s="240">
        <v>0</v>
      </c>
      <c r="J346" s="240">
        <v>0</v>
      </c>
      <c r="K346" s="124"/>
      <c r="L346" s="124"/>
      <c r="M346" s="124"/>
      <c r="N346" s="124"/>
      <c r="O346" s="124"/>
      <c r="P346" s="124"/>
      <c r="Q346" s="241">
        <f t="shared" si="20"/>
        <v>0</v>
      </c>
      <c r="R346" s="185" t="str">
        <f t="shared" si="21"/>
        <v>SI</v>
      </c>
      <c r="S346" s="242" t="str">
        <f t="shared" si="22"/>
        <v>Sin Riesgo</v>
      </c>
    </row>
    <row r="347" spans="1:19" ht="32.1" hidden="1" customHeight="1">
      <c r="A347" s="112" t="s">
        <v>3488</v>
      </c>
      <c r="B347" s="171" t="s">
        <v>3535</v>
      </c>
      <c r="C347" s="171" t="s">
        <v>3536</v>
      </c>
      <c r="D347" s="119">
        <v>40</v>
      </c>
      <c r="E347" s="124"/>
      <c r="F347" s="124"/>
      <c r="G347" s="124"/>
      <c r="H347" s="124"/>
      <c r="I347" s="124"/>
      <c r="J347" s="124"/>
      <c r="K347" s="124"/>
      <c r="L347" s="124"/>
      <c r="M347" s="124"/>
      <c r="N347" s="124"/>
      <c r="O347" s="239">
        <v>97.4</v>
      </c>
      <c r="P347" s="124"/>
      <c r="Q347" s="243">
        <f t="shared" si="20"/>
        <v>97.4</v>
      </c>
      <c r="R347" s="244" t="str">
        <f t="shared" si="21"/>
        <v>NO</v>
      </c>
      <c r="S347" s="245" t="str">
        <f t="shared" si="22"/>
        <v>Inviable Sanitariamente</v>
      </c>
    </row>
    <row r="348" spans="1:19" ht="32.1" hidden="1" customHeight="1">
      <c r="A348" s="120" t="s">
        <v>3537</v>
      </c>
      <c r="B348" s="235" t="s">
        <v>3538</v>
      </c>
      <c r="C348" s="235" t="s">
        <v>3539</v>
      </c>
      <c r="D348" s="119">
        <v>17</v>
      </c>
      <c r="E348" s="124"/>
      <c r="F348" s="239">
        <v>97.34</v>
      </c>
      <c r="G348" s="124"/>
      <c r="H348" s="124"/>
      <c r="I348" s="124"/>
      <c r="J348" s="124"/>
      <c r="K348" s="124"/>
      <c r="L348" s="124"/>
      <c r="M348" s="124"/>
      <c r="N348" s="124"/>
      <c r="O348" s="124"/>
      <c r="P348" s="124"/>
      <c r="Q348" s="243">
        <f>AVERAGE(E348:P348)</f>
        <v>97.34</v>
      </c>
      <c r="R348" s="254" t="str">
        <f t="shared" si="21"/>
        <v>NO</v>
      </c>
      <c r="S348" s="245" t="str">
        <f>IF(Q348&lt;5,"Sin Riesgo",IF(Q348 &lt;=14,"Bajo",IF(Q348&lt;=35,"Medio",IF(Q348&lt;=80,"Alto","Inviable Sanitariamente"))))</f>
        <v>Inviable Sanitariamente</v>
      </c>
    </row>
    <row r="349" spans="1:19" ht="32.1" hidden="1" customHeight="1">
      <c r="A349" s="120" t="s">
        <v>3537</v>
      </c>
      <c r="B349" s="235" t="s">
        <v>3540</v>
      </c>
      <c r="C349" s="235" t="s">
        <v>3541</v>
      </c>
      <c r="D349" s="119">
        <v>26</v>
      </c>
      <c r="E349" s="124"/>
      <c r="F349" s="124"/>
      <c r="G349" s="124"/>
      <c r="H349" s="124"/>
      <c r="I349" s="239">
        <v>97.34</v>
      </c>
      <c r="J349" s="124"/>
      <c r="K349" s="124"/>
      <c r="L349" s="124"/>
      <c r="M349" s="124"/>
      <c r="N349" s="124"/>
      <c r="O349" s="124"/>
      <c r="P349" s="124"/>
      <c r="Q349" s="243">
        <f t="shared" ref="Q349:Q364" si="23">AVERAGE(E349:P349)</f>
        <v>97.34</v>
      </c>
      <c r="R349" s="254" t="str">
        <f t="shared" si="21"/>
        <v>NO</v>
      </c>
      <c r="S349" s="245" t="str">
        <f>IF(Q349&lt;5,"Sin Riesgo",IF(Q349 &lt;=14,"Bajo",IF(Q349&lt;=35,"Medio",IF(Q349&lt;=80,"Alto","Inviable Sanitariamente"))))</f>
        <v>Inviable Sanitariamente</v>
      </c>
    </row>
    <row r="350" spans="1:19" ht="32.1" hidden="1" customHeight="1">
      <c r="A350" s="120" t="s">
        <v>3537</v>
      </c>
      <c r="B350" s="235" t="s">
        <v>3542</v>
      </c>
      <c r="C350" s="235" t="s">
        <v>3543</v>
      </c>
      <c r="D350" s="119">
        <v>67</v>
      </c>
      <c r="E350" s="124"/>
      <c r="F350" s="124"/>
      <c r="G350" s="124"/>
      <c r="H350" s="239">
        <v>97.34</v>
      </c>
      <c r="I350" s="124"/>
      <c r="J350" s="124"/>
      <c r="K350" s="124"/>
      <c r="L350" s="124"/>
      <c r="M350" s="124"/>
      <c r="N350" s="124"/>
      <c r="O350" s="124"/>
      <c r="P350" s="124"/>
      <c r="Q350" s="243">
        <f t="shared" si="23"/>
        <v>97.34</v>
      </c>
      <c r="R350" s="254" t="str">
        <f t="shared" si="21"/>
        <v>NO</v>
      </c>
      <c r="S350" s="245" t="str">
        <f t="shared" ref="S350:S364" si="24">IF(Q350&lt;5,"Sin Riesgo",IF(Q350 &lt;=14,"Bajo",IF(Q350&lt;=35,"Medio",IF(Q350&lt;=80,"Alto","Inviable Sanitariamente"))))</f>
        <v>Inviable Sanitariamente</v>
      </c>
    </row>
    <row r="351" spans="1:19" ht="32.1" hidden="1" customHeight="1">
      <c r="A351" s="120" t="s">
        <v>3537</v>
      </c>
      <c r="B351" s="235" t="s">
        <v>3544</v>
      </c>
      <c r="C351" s="235" t="s">
        <v>3545</v>
      </c>
      <c r="D351" s="119">
        <v>42</v>
      </c>
      <c r="E351" s="124"/>
      <c r="F351" s="124"/>
      <c r="G351" s="124"/>
      <c r="H351" s="124"/>
      <c r="I351" s="239">
        <v>97.34</v>
      </c>
      <c r="J351" s="124"/>
      <c r="K351" s="124"/>
      <c r="L351" s="124"/>
      <c r="M351" s="124"/>
      <c r="N351" s="124"/>
      <c r="O351" s="124"/>
      <c r="P351" s="124"/>
      <c r="Q351" s="243">
        <f t="shared" si="23"/>
        <v>97.34</v>
      </c>
      <c r="R351" s="254" t="str">
        <f t="shared" si="21"/>
        <v>NO</v>
      </c>
      <c r="S351" s="245" t="str">
        <f t="shared" si="24"/>
        <v>Inviable Sanitariamente</v>
      </c>
    </row>
    <row r="352" spans="1:19" ht="32.1" hidden="1" customHeight="1">
      <c r="A352" s="120" t="s">
        <v>3537</v>
      </c>
      <c r="B352" s="235" t="s">
        <v>2918</v>
      </c>
      <c r="C352" s="235" t="s">
        <v>3546</v>
      </c>
      <c r="D352" s="119">
        <v>120</v>
      </c>
      <c r="E352" s="124"/>
      <c r="F352" s="124"/>
      <c r="G352" s="124"/>
      <c r="H352" s="124"/>
      <c r="I352" s="124"/>
      <c r="J352" s="124"/>
      <c r="K352" s="124"/>
      <c r="L352" s="124"/>
      <c r="M352" s="239">
        <v>97.34</v>
      </c>
      <c r="N352" s="124"/>
      <c r="O352" s="124"/>
      <c r="P352" s="124"/>
      <c r="Q352" s="243">
        <f t="shared" si="23"/>
        <v>97.34</v>
      </c>
      <c r="R352" s="254" t="str">
        <f t="shared" si="21"/>
        <v>NO</v>
      </c>
      <c r="S352" s="245" t="str">
        <f t="shared" si="24"/>
        <v>Inviable Sanitariamente</v>
      </c>
    </row>
    <row r="353" spans="1:19" ht="32.1" hidden="1" customHeight="1">
      <c r="A353" s="120" t="s">
        <v>3537</v>
      </c>
      <c r="B353" s="235" t="s">
        <v>702</v>
      </c>
      <c r="C353" s="235" t="s">
        <v>3547</v>
      </c>
      <c r="D353" s="119">
        <v>34</v>
      </c>
      <c r="E353" s="124"/>
      <c r="F353" s="239">
        <v>97.34</v>
      </c>
      <c r="G353" s="124"/>
      <c r="H353" s="124"/>
      <c r="I353" s="124"/>
      <c r="J353" s="124"/>
      <c r="K353" s="124"/>
      <c r="L353" s="124"/>
      <c r="M353" s="124"/>
      <c r="N353" s="124"/>
      <c r="O353" s="124"/>
      <c r="P353" s="124"/>
      <c r="Q353" s="243">
        <f t="shared" si="23"/>
        <v>97.34</v>
      </c>
      <c r="R353" s="254" t="str">
        <f t="shared" si="21"/>
        <v>NO</v>
      </c>
      <c r="S353" s="245" t="str">
        <f t="shared" si="24"/>
        <v>Inviable Sanitariamente</v>
      </c>
    </row>
    <row r="354" spans="1:19" ht="32.1" hidden="1" customHeight="1">
      <c r="A354" s="120" t="s">
        <v>3537</v>
      </c>
      <c r="B354" s="235" t="s">
        <v>1493</v>
      </c>
      <c r="C354" s="235" t="s">
        <v>3548</v>
      </c>
      <c r="D354" s="119">
        <v>7</v>
      </c>
      <c r="E354" s="124"/>
      <c r="F354" s="239">
        <v>97.34</v>
      </c>
      <c r="G354" s="124"/>
      <c r="H354" s="124"/>
      <c r="I354" s="124"/>
      <c r="J354" s="124"/>
      <c r="K354" s="124"/>
      <c r="L354" s="124"/>
      <c r="M354" s="124"/>
      <c r="N354" s="124"/>
      <c r="O354" s="124"/>
      <c r="P354" s="124"/>
      <c r="Q354" s="243">
        <f t="shared" si="23"/>
        <v>97.34</v>
      </c>
      <c r="R354" s="254" t="str">
        <f t="shared" si="21"/>
        <v>NO</v>
      </c>
      <c r="S354" s="245" t="str">
        <f t="shared" si="24"/>
        <v>Inviable Sanitariamente</v>
      </c>
    </row>
    <row r="355" spans="1:19" ht="32.1" hidden="1" customHeight="1">
      <c r="A355" s="120" t="s">
        <v>3537</v>
      </c>
      <c r="B355" s="235" t="s">
        <v>2198</v>
      </c>
      <c r="C355" s="235" t="s">
        <v>3549</v>
      </c>
      <c r="D355" s="114">
        <v>40</v>
      </c>
      <c r="E355" s="124"/>
      <c r="F355" s="124"/>
      <c r="G355" s="124"/>
      <c r="H355" s="239">
        <v>97.34</v>
      </c>
      <c r="I355" s="124"/>
      <c r="J355" s="124"/>
      <c r="K355" s="124"/>
      <c r="L355" s="124"/>
      <c r="M355" s="124"/>
      <c r="N355" s="124"/>
      <c r="O355" s="124"/>
      <c r="P355" s="124"/>
      <c r="Q355" s="243">
        <f t="shared" si="23"/>
        <v>97.34</v>
      </c>
      <c r="R355" s="254" t="str">
        <f t="shared" si="21"/>
        <v>NO</v>
      </c>
      <c r="S355" s="245" t="str">
        <f t="shared" si="24"/>
        <v>Inviable Sanitariamente</v>
      </c>
    </row>
    <row r="356" spans="1:19" ht="32.1" hidden="1" customHeight="1">
      <c r="A356" s="120" t="s">
        <v>3537</v>
      </c>
      <c r="B356" s="235" t="s">
        <v>3550</v>
      </c>
      <c r="C356" s="235" t="s">
        <v>3551</v>
      </c>
      <c r="D356" s="119">
        <v>12</v>
      </c>
      <c r="E356" s="124"/>
      <c r="F356" s="124"/>
      <c r="G356" s="124"/>
      <c r="H356" s="124"/>
      <c r="I356" s="239">
        <v>97.34</v>
      </c>
      <c r="J356" s="124"/>
      <c r="K356" s="124"/>
      <c r="L356" s="124"/>
      <c r="M356" s="124"/>
      <c r="N356" s="124"/>
      <c r="O356" s="124"/>
      <c r="P356" s="124"/>
      <c r="Q356" s="243">
        <f t="shared" si="23"/>
        <v>97.34</v>
      </c>
      <c r="R356" s="254" t="str">
        <f t="shared" si="21"/>
        <v>NO</v>
      </c>
      <c r="S356" s="245" t="str">
        <f t="shared" si="24"/>
        <v>Inviable Sanitariamente</v>
      </c>
    </row>
    <row r="357" spans="1:19" ht="32.1" hidden="1" customHeight="1">
      <c r="A357" s="120" t="s">
        <v>3537</v>
      </c>
      <c r="B357" s="235" t="s">
        <v>3552</v>
      </c>
      <c r="C357" s="235" t="s">
        <v>3553</v>
      </c>
      <c r="D357" s="119" t="s">
        <v>3554</v>
      </c>
      <c r="E357" s="124"/>
      <c r="F357" s="124"/>
      <c r="G357" s="124"/>
      <c r="H357" s="124"/>
      <c r="I357" s="124"/>
      <c r="J357" s="124"/>
      <c r="K357" s="124"/>
      <c r="L357" s="124"/>
      <c r="M357" s="124"/>
      <c r="N357" s="124"/>
      <c r="O357" s="124"/>
      <c r="P357" s="124"/>
      <c r="Q357" s="184" t="e">
        <f t="shared" si="23"/>
        <v>#DIV/0!</v>
      </c>
      <c r="R357" s="185" t="e">
        <f t="shared" si="21"/>
        <v>#DIV/0!</v>
      </c>
      <c r="S357" s="186" t="e">
        <f t="shared" si="24"/>
        <v>#DIV/0!</v>
      </c>
    </row>
    <row r="358" spans="1:19" ht="32.1" hidden="1" customHeight="1">
      <c r="A358" s="120" t="s">
        <v>3537</v>
      </c>
      <c r="B358" s="235" t="s">
        <v>8</v>
      </c>
      <c r="C358" s="235" t="s">
        <v>3555</v>
      </c>
      <c r="D358" s="114">
        <v>20</v>
      </c>
      <c r="E358" s="124"/>
      <c r="F358" s="124"/>
      <c r="G358" s="124"/>
      <c r="H358" s="124"/>
      <c r="I358" s="124"/>
      <c r="J358" s="124"/>
      <c r="K358" s="124"/>
      <c r="L358" s="124"/>
      <c r="M358" s="239">
        <v>97.34</v>
      </c>
      <c r="N358" s="124"/>
      <c r="O358" s="124"/>
      <c r="P358" s="124"/>
      <c r="Q358" s="243">
        <f t="shared" si="23"/>
        <v>97.34</v>
      </c>
      <c r="R358" s="254" t="str">
        <f t="shared" si="21"/>
        <v>NO</v>
      </c>
      <c r="S358" s="245" t="str">
        <f t="shared" si="24"/>
        <v>Inviable Sanitariamente</v>
      </c>
    </row>
    <row r="359" spans="1:19" ht="32.1" hidden="1" customHeight="1">
      <c r="A359" s="120" t="s">
        <v>3537</v>
      </c>
      <c r="B359" s="235" t="s">
        <v>53</v>
      </c>
      <c r="C359" s="235" t="s">
        <v>3556</v>
      </c>
      <c r="D359" s="119">
        <v>28</v>
      </c>
      <c r="E359" s="124"/>
      <c r="F359" s="124"/>
      <c r="G359" s="239">
        <v>97.34</v>
      </c>
      <c r="H359" s="124"/>
      <c r="I359" s="124"/>
      <c r="J359" s="124"/>
      <c r="K359" s="124"/>
      <c r="L359" s="124"/>
      <c r="M359" s="124"/>
      <c r="N359" s="124"/>
      <c r="O359" s="124"/>
      <c r="P359" s="124"/>
      <c r="Q359" s="243">
        <f t="shared" si="23"/>
        <v>97.34</v>
      </c>
      <c r="R359" s="254" t="str">
        <f t="shared" si="21"/>
        <v>NO</v>
      </c>
      <c r="S359" s="245" t="str">
        <f t="shared" si="24"/>
        <v>Inviable Sanitariamente</v>
      </c>
    </row>
    <row r="360" spans="1:19" ht="32.1" hidden="1" customHeight="1">
      <c r="A360" s="120" t="s">
        <v>3537</v>
      </c>
      <c r="B360" s="235" t="s">
        <v>3557</v>
      </c>
      <c r="C360" s="235" t="s">
        <v>3558</v>
      </c>
      <c r="D360" s="119">
        <v>28</v>
      </c>
      <c r="E360" s="124"/>
      <c r="F360" s="124"/>
      <c r="G360" s="124"/>
      <c r="H360" s="124"/>
      <c r="I360" s="239">
        <v>97.34</v>
      </c>
      <c r="J360" s="124"/>
      <c r="K360" s="124"/>
      <c r="L360" s="124"/>
      <c r="M360" s="124"/>
      <c r="N360" s="124"/>
      <c r="O360" s="124"/>
      <c r="P360" s="124"/>
      <c r="Q360" s="243">
        <f t="shared" si="23"/>
        <v>97.34</v>
      </c>
      <c r="R360" s="254" t="str">
        <f t="shared" si="21"/>
        <v>NO</v>
      </c>
      <c r="S360" s="245" t="str">
        <f t="shared" si="24"/>
        <v>Inviable Sanitariamente</v>
      </c>
    </row>
    <row r="361" spans="1:19" ht="32.1" hidden="1" customHeight="1">
      <c r="A361" s="120" t="s">
        <v>3537</v>
      </c>
      <c r="B361" s="235" t="s">
        <v>3559</v>
      </c>
      <c r="C361" s="235" t="s">
        <v>3560</v>
      </c>
      <c r="D361" s="114">
        <v>16</v>
      </c>
      <c r="E361" s="124"/>
      <c r="F361" s="124"/>
      <c r="G361" s="124"/>
      <c r="H361" s="124"/>
      <c r="I361" s="239">
        <v>97.34</v>
      </c>
      <c r="J361" s="124"/>
      <c r="K361" s="124"/>
      <c r="L361" s="124"/>
      <c r="M361" s="124"/>
      <c r="N361" s="124"/>
      <c r="O361" s="124"/>
      <c r="P361" s="124"/>
      <c r="Q361" s="243">
        <f t="shared" si="23"/>
        <v>97.34</v>
      </c>
      <c r="R361" s="254" t="str">
        <f t="shared" si="21"/>
        <v>NO</v>
      </c>
      <c r="S361" s="245" t="str">
        <f t="shared" si="24"/>
        <v>Inviable Sanitariamente</v>
      </c>
    </row>
    <row r="362" spans="1:19" ht="32.1" hidden="1" customHeight="1">
      <c r="A362" s="120" t="s">
        <v>3537</v>
      </c>
      <c r="B362" s="235" t="s">
        <v>3561</v>
      </c>
      <c r="C362" s="235" t="s">
        <v>3562</v>
      </c>
      <c r="D362" s="119">
        <v>25</v>
      </c>
      <c r="E362" s="124"/>
      <c r="F362" s="124"/>
      <c r="G362" s="124"/>
      <c r="H362" s="124"/>
      <c r="I362" s="239">
        <v>97.34</v>
      </c>
      <c r="J362" s="124"/>
      <c r="K362" s="124"/>
      <c r="L362" s="124"/>
      <c r="M362" s="124"/>
      <c r="N362" s="124"/>
      <c r="O362" s="124"/>
      <c r="P362" s="124"/>
      <c r="Q362" s="243">
        <f t="shared" si="23"/>
        <v>97.34</v>
      </c>
      <c r="R362" s="254" t="str">
        <f t="shared" si="21"/>
        <v>NO</v>
      </c>
      <c r="S362" s="245" t="str">
        <f t="shared" si="24"/>
        <v>Inviable Sanitariamente</v>
      </c>
    </row>
    <row r="363" spans="1:19" ht="32.1" hidden="1" customHeight="1">
      <c r="A363" s="120" t="s">
        <v>3537</v>
      </c>
      <c r="B363" s="235" t="s">
        <v>1592</v>
      </c>
      <c r="C363" s="235" t="s">
        <v>3563</v>
      </c>
      <c r="D363" s="119">
        <v>42</v>
      </c>
      <c r="E363" s="124"/>
      <c r="F363" s="124"/>
      <c r="G363" s="239">
        <v>97.34</v>
      </c>
      <c r="H363" s="124"/>
      <c r="I363" s="124"/>
      <c r="J363" s="124"/>
      <c r="K363" s="124"/>
      <c r="L363" s="124"/>
      <c r="M363" s="124"/>
      <c r="N363" s="124"/>
      <c r="O363" s="124"/>
      <c r="P363" s="124"/>
      <c r="Q363" s="243">
        <f t="shared" si="23"/>
        <v>97.34</v>
      </c>
      <c r="R363" s="254" t="str">
        <f t="shared" si="21"/>
        <v>NO</v>
      </c>
      <c r="S363" s="245" t="str">
        <f t="shared" si="24"/>
        <v>Inviable Sanitariamente</v>
      </c>
    </row>
    <row r="364" spans="1:19" ht="32.1" hidden="1" customHeight="1">
      <c r="A364" s="120" t="s">
        <v>3537</v>
      </c>
      <c r="B364" s="235" t="s">
        <v>3564</v>
      </c>
      <c r="C364" s="235" t="s">
        <v>3565</v>
      </c>
      <c r="D364" s="119">
        <v>32</v>
      </c>
      <c r="E364" s="124"/>
      <c r="F364" s="124"/>
      <c r="G364" s="236"/>
      <c r="H364" s="124"/>
      <c r="I364" s="124"/>
      <c r="J364" s="124"/>
      <c r="K364" s="124"/>
      <c r="L364" s="124"/>
      <c r="M364" s="124"/>
      <c r="N364" s="239">
        <v>97.34</v>
      </c>
      <c r="O364" s="124"/>
      <c r="P364" s="124"/>
      <c r="Q364" s="243">
        <f t="shared" si="23"/>
        <v>97.34</v>
      </c>
      <c r="R364" s="254" t="str">
        <f t="shared" si="21"/>
        <v>NO</v>
      </c>
      <c r="S364" s="245" t="str">
        <f t="shared" si="24"/>
        <v>Inviable Sanitariamente</v>
      </c>
    </row>
    <row r="365" spans="1:19" ht="32.1" hidden="1" customHeight="1">
      <c r="A365" s="272"/>
      <c r="B365" s="272"/>
      <c r="C365" s="272"/>
      <c r="D365" s="272"/>
    </row>
    <row r="366" spans="1:19" ht="32.1" hidden="1" customHeight="1">
      <c r="A366" s="272"/>
      <c r="B366" s="272"/>
      <c r="C366" s="272"/>
      <c r="D366" s="272"/>
    </row>
    <row r="367" spans="1:19" ht="32.1" hidden="1" customHeight="1">
      <c r="A367" s="272"/>
      <c r="B367" s="272"/>
      <c r="C367" s="272"/>
      <c r="D367" s="272"/>
    </row>
    <row r="368" spans="1:19" ht="32.1" hidden="1" customHeight="1">
      <c r="A368" s="272"/>
      <c r="B368" s="272"/>
      <c r="C368" s="272"/>
      <c r="D368" s="272"/>
    </row>
    <row r="369" spans="1:4" ht="32.1" hidden="1" customHeight="1">
      <c r="A369" s="272"/>
      <c r="B369" s="272"/>
      <c r="C369" s="272"/>
      <c r="D369" s="272"/>
    </row>
    <row r="370" spans="1:4" ht="32.1" hidden="1" customHeight="1">
      <c r="A370" s="272"/>
      <c r="B370" s="272"/>
      <c r="C370" s="272"/>
      <c r="D370" s="272"/>
    </row>
    <row r="371" spans="1:4" ht="32.1" hidden="1" customHeight="1">
      <c r="A371" s="272"/>
      <c r="B371" s="272"/>
      <c r="C371" s="272"/>
      <c r="D371" s="272"/>
    </row>
    <row r="372" spans="1:4" ht="32.1" hidden="1" customHeight="1">
      <c r="A372" s="272"/>
      <c r="B372" s="272"/>
      <c r="C372" s="272"/>
      <c r="D372" s="272"/>
    </row>
    <row r="373" spans="1:4" ht="32.1" hidden="1" customHeight="1">
      <c r="A373" s="272"/>
      <c r="B373" s="272"/>
      <c r="C373" s="272"/>
      <c r="D373" s="272"/>
    </row>
    <row r="374" spans="1:4" ht="32.1" hidden="1" customHeight="1">
      <c r="A374" s="272"/>
      <c r="B374" s="272"/>
      <c r="C374" s="272"/>
      <c r="D374" s="272"/>
    </row>
    <row r="375" spans="1:4" ht="32.1" hidden="1" customHeight="1">
      <c r="A375" s="272"/>
      <c r="B375" s="272"/>
      <c r="C375" s="272"/>
      <c r="D375" s="272"/>
    </row>
    <row r="376" spans="1:4" ht="32.1" hidden="1" customHeight="1">
      <c r="A376" s="272"/>
      <c r="B376" s="272"/>
      <c r="C376" s="272"/>
      <c r="D376" s="272"/>
    </row>
    <row r="377" spans="1:4" ht="32.1" hidden="1" customHeight="1">
      <c r="A377" s="272"/>
      <c r="B377" s="272"/>
      <c r="C377" s="272"/>
      <c r="D377" s="272"/>
    </row>
    <row r="378" spans="1:4" ht="32.1" hidden="1" customHeight="1">
      <c r="A378" s="272"/>
      <c r="B378" s="272"/>
      <c r="C378" s="272"/>
      <c r="D378" s="272"/>
    </row>
    <row r="379" spans="1:4" ht="32.1" hidden="1" customHeight="1">
      <c r="A379" s="272"/>
      <c r="B379" s="272"/>
      <c r="C379" s="272"/>
      <c r="D379" s="272"/>
    </row>
    <row r="380" spans="1:4" ht="32.1" hidden="1" customHeight="1">
      <c r="A380" s="272"/>
      <c r="B380" s="272"/>
      <c r="C380" s="272"/>
      <c r="D380" s="272"/>
    </row>
    <row r="381" spans="1:4" ht="32.1" hidden="1" customHeight="1">
      <c r="A381" s="272"/>
      <c r="B381" s="272"/>
      <c r="C381" s="272"/>
      <c r="D381" s="272"/>
    </row>
    <row r="382" spans="1:4" ht="32.1" hidden="1" customHeight="1">
      <c r="A382" s="272"/>
      <c r="B382" s="272"/>
      <c r="C382" s="272"/>
      <c r="D382" s="272"/>
    </row>
    <row r="383" spans="1:4" ht="32.1" hidden="1" customHeight="1">
      <c r="A383" s="272"/>
      <c r="B383" s="272"/>
      <c r="C383" s="272"/>
      <c r="D383" s="272"/>
    </row>
    <row r="384" spans="1:4" ht="32.1" hidden="1" customHeight="1">
      <c r="A384" s="272"/>
      <c r="B384" s="272"/>
      <c r="C384" s="272"/>
      <c r="D384" s="272"/>
    </row>
    <row r="385" spans="1:4" ht="32.1" hidden="1" customHeight="1">
      <c r="A385" s="272"/>
      <c r="B385" s="272"/>
      <c r="C385" s="272"/>
      <c r="D385" s="272"/>
    </row>
    <row r="386" spans="1:4" ht="32.1" hidden="1" customHeight="1">
      <c r="A386" s="272"/>
      <c r="B386" s="272"/>
      <c r="C386" s="272"/>
      <c r="D386" s="272"/>
    </row>
    <row r="387" spans="1:4" ht="32.1" hidden="1" customHeight="1">
      <c r="A387" s="272"/>
      <c r="B387" s="272"/>
      <c r="C387" s="272"/>
      <c r="D387" s="272"/>
    </row>
    <row r="388" spans="1:4" ht="32.1" hidden="1" customHeight="1">
      <c r="A388" s="272"/>
      <c r="B388" s="272"/>
      <c r="C388" s="272"/>
      <c r="D388" s="272"/>
    </row>
    <row r="389" spans="1:4" ht="32.1" hidden="1" customHeight="1">
      <c r="A389" s="272"/>
      <c r="B389" s="272"/>
      <c r="C389" s="272"/>
      <c r="D389" s="272"/>
    </row>
    <row r="390" spans="1:4" ht="32.1" hidden="1" customHeight="1">
      <c r="A390" s="272"/>
      <c r="B390" s="272"/>
      <c r="C390" s="272"/>
      <c r="D390" s="272"/>
    </row>
    <row r="391" spans="1:4" ht="32.1" hidden="1" customHeight="1">
      <c r="A391" s="272"/>
      <c r="B391" s="272"/>
      <c r="C391" s="272"/>
      <c r="D391" s="272"/>
    </row>
    <row r="392" spans="1:4" ht="32.1" hidden="1" customHeight="1">
      <c r="A392" s="272"/>
      <c r="B392" s="272"/>
      <c r="C392" s="272"/>
      <c r="D392" s="272"/>
    </row>
    <row r="393" spans="1:4" ht="32.1" hidden="1" customHeight="1">
      <c r="A393" s="272"/>
      <c r="B393" s="272"/>
      <c r="C393" s="272"/>
      <c r="D393" s="272"/>
    </row>
    <row r="394" spans="1:4" ht="32.1" hidden="1" customHeight="1">
      <c r="A394" s="272"/>
      <c r="B394" s="272"/>
      <c r="C394" s="272"/>
      <c r="D394" s="272"/>
    </row>
    <row r="395" spans="1:4" ht="32.1" hidden="1" customHeight="1">
      <c r="A395" s="272"/>
      <c r="B395" s="272"/>
      <c r="C395" s="272"/>
      <c r="D395" s="272"/>
    </row>
    <row r="396" spans="1:4" ht="32.1" hidden="1" customHeight="1">
      <c r="A396" s="272"/>
      <c r="B396" s="272"/>
      <c r="C396" s="272"/>
      <c r="D396" s="272"/>
    </row>
    <row r="397" spans="1:4" ht="32.1" hidden="1" customHeight="1">
      <c r="A397" s="272"/>
      <c r="B397" s="272"/>
      <c r="C397" s="272"/>
      <c r="D397" s="272"/>
    </row>
    <row r="398" spans="1:4" ht="32.1" hidden="1" customHeight="1">
      <c r="A398" s="272"/>
      <c r="B398" s="272"/>
      <c r="C398" s="272"/>
      <c r="D398" s="272"/>
    </row>
    <row r="399" spans="1:4" ht="32.1" hidden="1" customHeight="1">
      <c r="A399" s="272"/>
      <c r="B399" s="272"/>
      <c r="C399" s="272"/>
      <c r="D399" s="272"/>
    </row>
    <row r="400" spans="1:4" ht="32.1" hidden="1" customHeight="1">
      <c r="A400" s="272"/>
      <c r="B400" s="272"/>
      <c r="C400" s="272"/>
      <c r="D400" s="272"/>
    </row>
    <row r="401" spans="1:4" ht="32.1" hidden="1" customHeight="1">
      <c r="A401" s="272"/>
      <c r="B401" s="272"/>
      <c r="C401" s="272"/>
      <c r="D401" s="272"/>
    </row>
    <row r="402" spans="1:4" ht="32.1" hidden="1" customHeight="1">
      <c r="A402" s="272"/>
      <c r="B402" s="272"/>
      <c r="C402" s="272"/>
      <c r="D402" s="272"/>
    </row>
    <row r="403" spans="1:4" ht="32.1" hidden="1" customHeight="1">
      <c r="A403" s="272"/>
      <c r="B403" s="272"/>
      <c r="C403" s="272"/>
      <c r="D403" s="272"/>
    </row>
    <row r="404" spans="1:4" ht="32.1" hidden="1" customHeight="1">
      <c r="A404" s="272"/>
      <c r="B404" s="272"/>
      <c r="C404" s="272"/>
      <c r="D404" s="272"/>
    </row>
    <row r="405" spans="1:4" ht="32.1" hidden="1" customHeight="1">
      <c r="A405" s="272"/>
      <c r="B405" s="272"/>
      <c r="C405" s="272"/>
      <c r="D405" s="272"/>
    </row>
    <row r="406" spans="1:4" ht="32.1" hidden="1" customHeight="1">
      <c r="A406" s="272"/>
      <c r="B406" s="272"/>
      <c r="C406" s="272"/>
      <c r="D406" s="272"/>
    </row>
    <row r="407" spans="1:4" ht="32.1" hidden="1" customHeight="1">
      <c r="A407" s="272"/>
      <c r="B407" s="272"/>
      <c r="C407" s="272"/>
      <c r="D407" s="272"/>
    </row>
    <row r="408" spans="1:4" ht="32.1" hidden="1" customHeight="1">
      <c r="A408" s="272"/>
      <c r="B408" s="272"/>
      <c r="C408" s="272"/>
      <c r="D408" s="272"/>
    </row>
    <row r="409" spans="1:4" ht="32.1" hidden="1" customHeight="1">
      <c r="A409" s="272"/>
      <c r="B409" s="272"/>
      <c r="C409" s="272"/>
      <c r="D409" s="272"/>
    </row>
    <row r="410" spans="1:4" ht="32.1" hidden="1" customHeight="1">
      <c r="A410" s="272"/>
      <c r="B410" s="272"/>
      <c r="C410" s="272"/>
      <c r="D410" s="272"/>
    </row>
    <row r="411" spans="1:4" ht="32.1" hidden="1" customHeight="1">
      <c r="A411" s="272"/>
      <c r="B411" s="272"/>
      <c r="C411" s="272"/>
      <c r="D411" s="272"/>
    </row>
    <row r="412" spans="1:4" ht="32.1" hidden="1" customHeight="1">
      <c r="A412" s="272"/>
      <c r="B412" s="272"/>
      <c r="C412" s="272"/>
      <c r="D412" s="272"/>
    </row>
    <row r="413" spans="1:4" ht="32.1" hidden="1" customHeight="1">
      <c r="A413" s="272"/>
      <c r="B413" s="272"/>
      <c r="C413" s="272"/>
      <c r="D413" s="272"/>
    </row>
    <row r="414" spans="1:4" ht="32.1" hidden="1" customHeight="1">
      <c r="A414" s="272"/>
      <c r="B414" s="272"/>
      <c r="C414" s="272"/>
      <c r="D414" s="272"/>
    </row>
    <row r="415" spans="1:4" ht="32.1" hidden="1" customHeight="1">
      <c r="A415" s="272"/>
      <c r="B415" s="272"/>
      <c r="C415" s="272"/>
      <c r="D415" s="272"/>
    </row>
    <row r="416" spans="1:4" ht="32.1" hidden="1" customHeight="1">
      <c r="A416" s="272"/>
      <c r="B416" s="272"/>
      <c r="C416" s="272"/>
      <c r="D416" s="272"/>
    </row>
    <row r="417" spans="1:4" ht="32.1" hidden="1" customHeight="1">
      <c r="A417" s="272"/>
      <c r="B417" s="272"/>
      <c r="C417" s="272"/>
      <c r="D417" s="272"/>
    </row>
    <row r="418" spans="1:4" ht="32.1" hidden="1" customHeight="1">
      <c r="A418" s="272"/>
      <c r="B418" s="272"/>
      <c r="C418" s="272"/>
      <c r="D418" s="272"/>
    </row>
    <row r="419" spans="1:4" ht="32.1" hidden="1" customHeight="1">
      <c r="A419" s="272"/>
      <c r="B419" s="272"/>
      <c r="C419" s="272"/>
      <c r="D419" s="272"/>
    </row>
    <row r="420" spans="1:4" ht="32.1" hidden="1" customHeight="1">
      <c r="A420" s="272"/>
      <c r="B420" s="272"/>
      <c r="C420" s="272"/>
      <c r="D420" s="272"/>
    </row>
    <row r="421" spans="1:4" ht="32.1" hidden="1" customHeight="1">
      <c r="A421" s="272"/>
      <c r="B421" s="272"/>
      <c r="C421" s="272"/>
      <c r="D421" s="272"/>
    </row>
    <row r="422" spans="1:4" ht="32.1" hidden="1" customHeight="1">
      <c r="A422" s="272"/>
      <c r="B422" s="272"/>
      <c r="C422" s="272"/>
      <c r="D422" s="272"/>
    </row>
    <row r="423" spans="1:4" ht="32.1" hidden="1" customHeight="1">
      <c r="A423" s="272"/>
      <c r="B423" s="272"/>
      <c r="C423" s="272"/>
      <c r="D423" s="272"/>
    </row>
    <row r="424" spans="1:4" ht="32.1" hidden="1" customHeight="1">
      <c r="A424" s="272"/>
      <c r="B424" s="272"/>
      <c r="C424" s="272"/>
      <c r="D424" s="272"/>
    </row>
    <row r="425" spans="1:4" ht="32.1" hidden="1" customHeight="1">
      <c r="A425" s="272"/>
      <c r="B425" s="272"/>
      <c r="C425" s="272"/>
      <c r="D425" s="272"/>
    </row>
    <row r="426" spans="1:4" ht="32.1" hidden="1" customHeight="1">
      <c r="A426" s="272"/>
      <c r="B426" s="272"/>
      <c r="C426" s="272"/>
      <c r="D426" s="272"/>
    </row>
    <row r="427" spans="1:4" ht="32.1" hidden="1" customHeight="1">
      <c r="A427" s="272"/>
      <c r="B427" s="272"/>
      <c r="C427" s="272"/>
      <c r="D427" s="272"/>
    </row>
    <row r="428" spans="1:4" ht="32.1" hidden="1" customHeight="1">
      <c r="A428" s="272"/>
      <c r="B428" s="272"/>
      <c r="C428" s="272"/>
      <c r="D428" s="272"/>
    </row>
    <row r="429" spans="1:4" ht="32.1" hidden="1" customHeight="1">
      <c r="A429" s="272"/>
      <c r="B429" s="272"/>
      <c r="C429" s="272"/>
      <c r="D429" s="272"/>
    </row>
    <row r="430" spans="1:4" ht="32.1" hidden="1" customHeight="1">
      <c r="A430" s="272"/>
      <c r="B430" s="272"/>
      <c r="C430" s="272"/>
      <c r="D430" s="272"/>
    </row>
    <row r="431" spans="1:4" ht="32.1" hidden="1" customHeight="1">
      <c r="A431" s="272"/>
      <c r="B431" s="272"/>
      <c r="C431" s="272"/>
      <c r="D431" s="272"/>
    </row>
    <row r="432" spans="1:4" ht="32.1" hidden="1" customHeight="1">
      <c r="A432" s="272"/>
      <c r="B432" s="272"/>
      <c r="C432" s="272"/>
      <c r="D432" s="272"/>
    </row>
    <row r="433" spans="1:4" ht="32.1" hidden="1" customHeight="1">
      <c r="A433" s="272"/>
      <c r="B433" s="272"/>
      <c r="C433" s="272"/>
      <c r="D433" s="272"/>
    </row>
    <row r="434" spans="1:4" ht="32.1" hidden="1" customHeight="1">
      <c r="A434" s="272"/>
      <c r="B434" s="272"/>
      <c r="C434" s="272"/>
      <c r="D434" s="272"/>
    </row>
    <row r="435" spans="1:4" ht="32.1" hidden="1" customHeight="1">
      <c r="A435" s="272"/>
      <c r="B435" s="272"/>
      <c r="C435" s="272"/>
      <c r="D435" s="272"/>
    </row>
    <row r="436" spans="1:4" ht="32.1" hidden="1" customHeight="1">
      <c r="A436" s="272"/>
      <c r="B436" s="272"/>
      <c r="C436" s="272"/>
      <c r="D436" s="272"/>
    </row>
    <row r="437" spans="1:4" ht="32.1" hidden="1" customHeight="1">
      <c r="A437" s="272"/>
      <c r="B437" s="272"/>
      <c r="C437" s="272"/>
      <c r="D437" s="272"/>
    </row>
    <row r="438" spans="1:4" ht="32.1" hidden="1" customHeight="1">
      <c r="A438" s="272"/>
      <c r="B438" s="272"/>
      <c r="C438" s="272"/>
      <c r="D438" s="272"/>
    </row>
    <row r="439" spans="1:4" ht="32.1" hidden="1" customHeight="1">
      <c r="A439" s="272"/>
      <c r="B439" s="272"/>
      <c r="C439" s="272"/>
      <c r="D439" s="272"/>
    </row>
    <row r="440" spans="1:4" ht="32.1" hidden="1" customHeight="1">
      <c r="A440" s="272"/>
      <c r="B440" s="272"/>
      <c r="C440" s="272"/>
      <c r="D440" s="272"/>
    </row>
    <row r="441" spans="1:4" ht="32.1" hidden="1" customHeight="1">
      <c r="A441" s="272"/>
      <c r="B441" s="272"/>
      <c r="C441" s="272"/>
      <c r="D441" s="272"/>
    </row>
    <row r="442" spans="1:4" ht="32.1" hidden="1" customHeight="1">
      <c r="A442" s="272"/>
      <c r="B442" s="272"/>
      <c r="C442" s="272"/>
      <c r="D442" s="272"/>
    </row>
    <row r="443" spans="1:4" ht="32.1" hidden="1" customHeight="1">
      <c r="A443" s="272"/>
      <c r="B443" s="272"/>
      <c r="C443" s="272"/>
      <c r="D443" s="272"/>
    </row>
    <row r="444" spans="1:4" ht="32.1" hidden="1" customHeight="1">
      <c r="A444" s="272"/>
      <c r="B444" s="272"/>
      <c r="C444" s="272"/>
      <c r="D444" s="272"/>
    </row>
    <row r="445" spans="1:4" ht="32.1" hidden="1" customHeight="1">
      <c r="A445" s="272"/>
      <c r="B445" s="272"/>
      <c r="C445" s="272"/>
      <c r="D445" s="272"/>
    </row>
    <row r="446" spans="1:4" ht="32.1" hidden="1" customHeight="1">
      <c r="A446" s="272"/>
      <c r="B446" s="272"/>
      <c r="C446" s="272"/>
      <c r="D446" s="272"/>
    </row>
    <row r="447" spans="1:4" ht="32.1" hidden="1" customHeight="1">
      <c r="A447" s="272"/>
      <c r="B447" s="272"/>
      <c r="C447" s="272"/>
      <c r="D447" s="272"/>
    </row>
    <row r="448" spans="1:4" ht="32.1" hidden="1" customHeight="1">
      <c r="A448" s="272"/>
      <c r="B448" s="272"/>
      <c r="C448" s="272"/>
      <c r="D448" s="272"/>
    </row>
    <row r="449" spans="1:4" ht="32.1" hidden="1" customHeight="1">
      <c r="A449" s="272"/>
      <c r="B449" s="272"/>
      <c r="C449" s="272"/>
      <c r="D449" s="272"/>
    </row>
    <row r="450" spans="1:4" ht="32.1" hidden="1" customHeight="1">
      <c r="A450" s="272"/>
      <c r="B450" s="272"/>
      <c r="C450" s="272"/>
      <c r="D450" s="272"/>
    </row>
    <row r="451" spans="1:4" ht="32.1" hidden="1" customHeight="1">
      <c r="A451" s="272"/>
      <c r="B451" s="272"/>
      <c r="C451" s="272"/>
      <c r="D451" s="272"/>
    </row>
    <row r="452" spans="1:4" ht="32.1" hidden="1" customHeight="1">
      <c r="A452" s="272"/>
      <c r="B452" s="272"/>
      <c r="C452" s="272"/>
      <c r="D452" s="272"/>
    </row>
    <row r="453" spans="1:4" ht="32.1" hidden="1" customHeight="1">
      <c r="A453" s="272"/>
      <c r="B453" s="272"/>
      <c r="C453" s="272"/>
      <c r="D453" s="272"/>
    </row>
    <row r="454" spans="1:4" ht="32.1" hidden="1" customHeight="1">
      <c r="A454" s="272"/>
      <c r="B454" s="272"/>
      <c r="C454" s="272"/>
      <c r="D454" s="272"/>
    </row>
    <row r="455" spans="1:4" ht="32.1" hidden="1" customHeight="1">
      <c r="A455" s="272"/>
      <c r="B455" s="272"/>
      <c r="C455" s="272"/>
      <c r="D455" s="272"/>
    </row>
    <row r="456" spans="1:4" ht="32.1" hidden="1" customHeight="1">
      <c r="A456" s="272"/>
      <c r="B456" s="272"/>
      <c r="C456" s="272"/>
      <c r="D456" s="272"/>
    </row>
    <row r="457" spans="1:4" ht="32.1" hidden="1" customHeight="1">
      <c r="A457" s="272"/>
      <c r="B457" s="272"/>
      <c r="C457" s="272"/>
      <c r="D457" s="272"/>
    </row>
    <row r="458" spans="1:4" ht="32.1" hidden="1" customHeight="1">
      <c r="A458" s="272"/>
      <c r="B458" s="272"/>
      <c r="C458" s="272"/>
      <c r="D458" s="272"/>
    </row>
    <row r="459" spans="1:4" ht="32.1" hidden="1" customHeight="1">
      <c r="A459" s="272"/>
      <c r="B459" s="272"/>
      <c r="C459" s="272"/>
      <c r="D459" s="272"/>
    </row>
    <row r="460" spans="1:4" ht="32.1" hidden="1" customHeight="1">
      <c r="A460" s="272"/>
      <c r="B460" s="272"/>
      <c r="C460" s="272"/>
      <c r="D460" s="272"/>
    </row>
    <row r="461" spans="1:4" ht="32.1" hidden="1" customHeight="1">
      <c r="A461" s="272"/>
      <c r="B461" s="272"/>
      <c r="C461" s="272"/>
      <c r="D461" s="272"/>
    </row>
    <row r="462" spans="1:4" ht="32.1" hidden="1" customHeight="1">
      <c r="A462" s="272"/>
      <c r="B462" s="272"/>
      <c r="C462" s="272"/>
      <c r="D462" s="272"/>
    </row>
    <row r="463" spans="1:4" ht="32.1" hidden="1" customHeight="1">
      <c r="A463" s="272"/>
      <c r="B463" s="272"/>
      <c r="C463" s="272"/>
      <c r="D463" s="272"/>
    </row>
    <row r="464" spans="1:4" ht="32.1" hidden="1" customHeight="1">
      <c r="A464" s="272"/>
      <c r="B464" s="272"/>
      <c r="C464" s="272"/>
      <c r="D464" s="272"/>
    </row>
    <row r="465" spans="1:4" ht="32.1" hidden="1" customHeight="1">
      <c r="A465" s="272"/>
      <c r="B465" s="272"/>
      <c r="C465" s="272"/>
      <c r="D465" s="272"/>
    </row>
    <row r="466" spans="1:4" ht="32.1" hidden="1" customHeight="1">
      <c r="A466" s="272"/>
      <c r="B466" s="272"/>
      <c r="C466" s="272"/>
      <c r="D466" s="272"/>
    </row>
    <row r="467" spans="1:4" ht="32.1" hidden="1" customHeight="1">
      <c r="A467" s="272"/>
      <c r="B467" s="272"/>
      <c r="C467" s="272"/>
      <c r="D467" s="272"/>
    </row>
    <row r="468" spans="1:4" ht="32.1" hidden="1" customHeight="1">
      <c r="A468" s="272"/>
      <c r="B468" s="272"/>
      <c r="C468" s="272"/>
      <c r="D468" s="272"/>
    </row>
    <row r="469" spans="1:4" ht="32.1" hidden="1" customHeight="1">
      <c r="A469" s="272"/>
      <c r="B469" s="272"/>
      <c r="C469" s="272"/>
      <c r="D469" s="272"/>
    </row>
    <row r="470" spans="1:4" ht="32.1" hidden="1" customHeight="1">
      <c r="A470" s="272"/>
      <c r="B470" s="272"/>
      <c r="C470" s="272"/>
      <c r="D470" s="272"/>
    </row>
    <row r="471" spans="1:4" ht="32.1" hidden="1" customHeight="1">
      <c r="A471" s="272"/>
      <c r="B471" s="272"/>
      <c r="C471" s="272"/>
      <c r="D471" s="272"/>
    </row>
    <row r="472" spans="1:4" ht="32.1" hidden="1" customHeight="1">
      <c r="A472" s="272"/>
      <c r="B472" s="272"/>
      <c r="C472" s="272"/>
      <c r="D472" s="272"/>
    </row>
    <row r="473" spans="1:4" ht="32.1" hidden="1" customHeight="1">
      <c r="A473" s="272"/>
      <c r="B473" s="272"/>
      <c r="C473" s="272"/>
      <c r="D473" s="272"/>
    </row>
    <row r="474" spans="1:4" ht="32.1" hidden="1" customHeight="1">
      <c r="A474" s="272"/>
      <c r="B474" s="272"/>
      <c r="C474" s="272"/>
      <c r="D474" s="272"/>
    </row>
    <row r="475" spans="1:4" ht="32.1" hidden="1" customHeight="1">
      <c r="A475" s="272"/>
      <c r="B475" s="272"/>
      <c r="C475" s="272"/>
      <c r="D475" s="272"/>
    </row>
    <row r="476" spans="1:4" ht="32.1" hidden="1" customHeight="1">
      <c r="A476" s="272"/>
      <c r="B476" s="272"/>
      <c r="C476" s="272"/>
      <c r="D476" s="272"/>
    </row>
    <row r="477" spans="1:4" ht="32.1" hidden="1" customHeight="1">
      <c r="A477" s="272"/>
      <c r="B477" s="272"/>
      <c r="C477" s="272"/>
      <c r="D477" s="272"/>
    </row>
    <row r="478" spans="1:4" ht="32.1" hidden="1" customHeight="1">
      <c r="A478" s="272"/>
      <c r="B478" s="272"/>
      <c r="C478" s="272"/>
      <c r="D478" s="272"/>
    </row>
    <row r="479" spans="1:4" ht="32.1" hidden="1" customHeight="1">
      <c r="A479" s="272"/>
      <c r="B479" s="272"/>
      <c r="C479" s="272"/>
      <c r="D479" s="272"/>
    </row>
    <row r="480" spans="1:4" ht="32.1" hidden="1" customHeight="1">
      <c r="A480" s="272"/>
      <c r="B480" s="272"/>
      <c r="C480" s="272"/>
      <c r="D480" s="272"/>
    </row>
    <row r="481" spans="1:4" ht="32.1" hidden="1" customHeight="1">
      <c r="A481" s="272"/>
      <c r="B481" s="272"/>
      <c r="C481" s="272"/>
      <c r="D481" s="272"/>
    </row>
    <row r="482" spans="1:4" ht="32.1" hidden="1" customHeight="1">
      <c r="A482" s="272"/>
      <c r="B482" s="272"/>
      <c r="C482" s="272"/>
      <c r="D482" s="272"/>
    </row>
    <row r="483" spans="1:4" ht="32.1" hidden="1" customHeight="1">
      <c r="A483" s="272"/>
      <c r="B483" s="272"/>
      <c r="C483" s="272"/>
      <c r="D483" s="272"/>
    </row>
    <row r="484" spans="1:4" ht="32.1" hidden="1" customHeight="1">
      <c r="A484" s="272"/>
      <c r="B484" s="272"/>
      <c r="C484" s="272"/>
      <c r="D484" s="272"/>
    </row>
    <row r="485" spans="1:4" ht="32.1" hidden="1" customHeight="1">
      <c r="A485" s="272"/>
      <c r="B485" s="272"/>
      <c r="C485" s="272"/>
      <c r="D485" s="272"/>
    </row>
    <row r="486" spans="1:4" ht="32.1" customHeight="1">
      <c r="A486" s="272"/>
      <c r="B486" s="272"/>
      <c r="C486" s="272"/>
      <c r="D486" s="272"/>
    </row>
    <row r="487" spans="1:4" ht="32.1" customHeight="1">
      <c r="A487" s="272"/>
      <c r="B487" s="272"/>
      <c r="C487" s="272"/>
      <c r="D487" s="272"/>
    </row>
    <row r="488" spans="1:4" ht="32.1" customHeight="1">
      <c r="A488" s="272"/>
      <c r="B488" s="272"/>
      <c r="C488" s="272"/>
      <c r="D488" s="272"/>
    </row>
    <row r="489" spans="1:4" ht="32.1" customHeight="1">
      <c r="A489" s="272"/>
      <c r="B489" s="272"/>
      <c r="C489" s="272"/>
      <c r="D489" s="272"/>
    </row>
    <row r="490" spans="1:4" ht="32.1" customHeight="1">
      <c r="A490" s="272"/>
      <c r="B490" s="272"/>
      <c r="C490" s="272"/>
      <c r="D490" s="272"/>
    </row>
    <row r="491" spans="1:4" ht="32.1" customHeight="1">
      <c r="A491" s="272"/>
      <c r="B491" s="272"/>
      <c r="C491" s="272"/>
      <c r="D491" s="272"/>
    </row>
    <row r="492" spans="1:4" ht="32.1" customHeight="1">
      <c r="A492" s="272"/>
      <c r="B492" s="272"/>
      <c r="C492" s="272"/>
      <c r="D492" s="272"/>
    </row>
    <row r="493" spans="1:4" ht="32.1" customHeight="1">
      <c r="A493" s="272"/>
      <c r="B493" s="272"/>
      <c r="C493" s="272"/>
      <c r="D493" s="272"/>
    </row>
    <row r="494" spans="1:4" ht="32.1" customHeight="1">
      <c r="A494" s="272"/>
      <c r="B494" s="272"/>
      <c r="C494" s="272"/>
      <c r="D494" s="272"/>
    </row>
    <row r="495" spans="1:4" ht="32.1" customHeight="1">
      <c r="A495" s="272"/>
      <c r="B495" s="272"/>
      <c r="C495" s="272"/>
      <c r="D495" s="272"/>
    </row>
    <row r="496" spans="1:4" ht="32.1" customHeight="1">
      <c r="A496" s="272"/>
      <c r="B496" s="272"/>
      <c r="C496" s="272"/>
      <c r="D496" s="272"/>
    </row>
    <row r="497" spans="1:4" ht="32.1" customHeight="1">
      <c r="A497" s="272"/>
      <c r="B497" s="272"/>
      <c r="C497" s="272"/>
      <c r="D497" s="272"/>
    </row>
    <row r="498" spans="1:4" ht="32.1" customHeight="1">
      <c r="A498" s="272"/>
      <c r="B498" s="272"/>
      <c r="C498" s="272"/>
      <c r="D498" s="272"/>
    </row>
    <row r="499" spans="1:4" ht="32.1" customHeight="1">
      <c r="A499" s="272"/>
      <c r="B499" s="272"/>
      <c r="C499" s="272"/>
      <c r="D499" s="272"/>
    </row>
    <row r="500" spans="1:4" ht="32.1" customHeight="1">
      <c r="A500" s="272"/>
      <c r="B500" s="272"/>
      <c r="C500" s="272"/>
      <c r="D500" s="272"/>
    </row>
    <row r="501" spans="1:4" ht="32.1" customHeight="1">
      <c r="A501" s="272"/>
      <c r="B501" s="272"/>
      <c r="C501" s="272"/>
      <c r="D501" s="272"/>
    </row>
    <row r="502" spans="1:4" ht="32.1" customHeight="1">
      <c r="A502" s="272"/>
      <c r="B502" s="272"/>
      <c r="C502" s="272"/>
      <c r="D502" s="272"/>
    </row>
    <row r="503" spans="1:4" ht="32.1" customHeight="1">
      <c r="A503" s="272"/>
      <c r="B503" s="272"/>
      <c r="C503" s="272"/>
      <c r="D503" s="272"/>
    </row>
    <row r="504" spans="1:4" ht="32.1" customHeight="1">
      <c r="A504" s="272"/>
      <c r="B504" s="272"/>
      <c r="C504" s="272"/>
      <c r="D504" s="272"/>
    </row>
    <row r="505" spans="1:4" ht="32.1" customHeight="1">
      <c r="A505" s="272"/>
      <c r="B505" s="272"/>
      <c r="C505" s="272"/>
      <c r="D505" s="272"/>
    </row>
    <row r="506" spans="1:4">
      <c r="A506" s="272"/>
      <c r="B506" s="272"/>
      <c r="C506" s="272"/>
      <c r="D506" s="272"/>
    </row>
    <row r="507" spans="1:4">
      <c r="A507" s="272"/>
      <c r="B507" s="272"/>
      <c r="C507" s="272"/>
      <c r="D507" s="272"/>
    </row>
    <row r="508" spans="1:4">
      <c r="A508" s="272"/>
      <c r="B508" s="272"/>
      <c r="C508" s="272"/>
      <c r="D508" s="272"/>
    </row>
    <row r="509" spans="1:4">
      <c r="A509" s="272"/>
      <c r="B509" s="272"/>
      <c r="C509" s="272"/>
      <c r="D509" s="272"/>
    </row>
    <row r="510" spans="1:4">
      <c r="A510" s="272"/>
      <c r="B510" s="272"/>
      <c r="C510" s="272"/>
      <c r="D510" s="272"/>
    </row>
    <row r="511" spans="1:4">
      <c r="A511" s="272"/>
      <c r="B511" s="272"/>
      <c r="C511" s="272"/>
      <c r="D511" s="272"/>
    </row>
    <row r="512" spans="1:4"/>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customHeight="1"/>
  </sheetData>
  <autoFilter ref="A9:W268">
    <sortState ref="A11:W264">
      <sortCondition ref="A9:A264"/>
    </sortState>
  </autoFilter>
  <customSheetViews>
    <customSheetView guid="{45C8AF51-29EC-46A5-AB7F-1F0634E55D82}" scale="60" showAutoFilter="1" hiddenRows="1" hiddenColumns="1">
      <pane xSplit="3" ySplit="9" topLeftCell="D271" activePane="bottomRight" state="frozenSplit"/>
      <selection pane="bottomRight" activeCell="B277" sqref="B277"/>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S264">
        <filterColumn colId="1" showButton="0"/>
        <filterColumn colId="2" showButton="0"/>
      </autoFilter>
    </customSheetView>
    <customSheetView guid="{FCC3B493-4306-43B2-9C73-76324485DD47}" scale="60" hiddenRows="1" hiddenColumns="1">
      <pane xSplit="3" ySplit="9" topLeftCell="D70" activePane="bottomRight" state="frozenSplit"/>
      <selection pane="bottomRight" activeCell="C72" sqref="C72"/>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55" hiddenRows="1" hiddenColumns="1">
      <pane xSplit="3" ySplit="9" topLeftCell="S250" activePane="bottomRight" state="frozenSplit"/>
      <selection pane="bottomRight" activeCell="S270" sqref="S27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9" topLeftCell="E10" activePane="bottomRight" state="frozenSplit"/>
      <selection pane="bottomRight" activeCell="D268" sqref="D26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264">
        <sortState ref="A11:W264">
          <sortCondition ref="A9:A264"/>
        </sortState>
      </autoFilter>
    </customSheetView>
  </customSheetViews>
  <mergeCells count="23">
    <mergeCell ref="C271:S271"/>
    <mergeCell ref="C272:S272"/>
    <mergeCell ref="C273:S273"/>
    <mergeCell ref="S5:S6"/>
    <mergeCell ref="B1:D1"/>
    <mergeCell ref="B2:D2"/>
    <mergeCell ref="B4:D4"/>
    <mergeCell ref="B5:B6"/>
    <mergeCell ref="C5:C6"/>
    <mergeCell ref="D5:D6"/>
    <mergeCell ref="E5:G6"/>
    <mergeCell ref="H5:J6"/>
    <mergeCell ref="K5:M6"/>
    <mergeCell ref="N5:P6"/>
    <mergeCell ref="Q5:R6"/>
    <mergeCell ref="R8:R9"/>
    <mergeCell ref="S8:S9"/>
    <mergeCell ref="A8:A9"/>
    <mergeCell ref="B8:B9"/>
    <mergeCell ref="C8:C9"/>
    <mergeCell ref="D8:D9"/>
    <mergeCell ref="E8:P8"/>
    <mergeCell ref="Q8:Q9"/>
  </mergeCells>
  <conditionalFormatting sqref="E96:P140 E225:P244 E141:J152 E60:P72 E155:P166 E168:P222">
    <cfRule type="containsBlanks" dxfId="6478" priority="1257" stopIfTrue="1">
      <formula>LEN(TRIM(E60))=0</formula>
    </cfRule>
    <cfRule type="cellIs" dxfId="6477" priority="1258" stopIfTrue="1" operator="between">
      <formula>79.1</formula>
      <formula>100</formula>
    </cfRule>
    <cfRule type="cellIs" dxfId="6476" priority="1259" stopIfTrue="1" operator="between">
      <formula>34.1</formula>
      <formula>79</formula>
    </cfRule>
    <cfRule type="cellIs" dxfId="6475" priority="1260" stopIfTrue="1" operator="between">
      <formula>13.1</formula>
      <formula>34</formula>
    </cfRule>
    <cfRule type="cellIs" dxfId="6474" priority="1261" stopIfTrue="1" operator="between">
      <formula>5.1</formula>
      <formula>13</formula>
    </cfRule>
    <cfRule type="cellIs" dxfId="6473" priority="1262" stopIfTrue="1" operator="between">
      <formula>0</formula>
      <formula>5</formula>
    </cfRule>
    <cfRule type="containsBlanks" dxfId="6472" priority="1263" stopIfTrue="1">
      <formula>LEN(TRIM(E60))=0</formula>
    </cfRule>
  </conditionalFormatting>
  <conditionalFormatting sqref="E224:P224 E248:P251 O245:P245 M247:P247 E254:P254 O252:P252 N253:P253 E257:P270 N255:P255 E153:P154 E330:Q330 Q148:Q166 E38:Q42 Q168:Q270 E274:P299 Q274:Q329">
    <cfRule type="containsBlanks" dxfId="6471" priority="1250" stopIfTrue="1">
      <formula>LEN(TRIM(E38))=0</formula>
    </cfRule>
    <cfRule type="cellIs" dxfId="6470" priority="1251" stopIfTrue="1" operator="between">
      <formula>80.1</formula>
      <formula>100</formula>
    </cfRule>
    <cfRule type="cellIs" dxfId="6469" priority="1252" stopIfTrue="1" operator="between">
      <formula>35.1</formula>
      <formula>80</formula>
    </cfRule>
    <cfRule type="cellIs" dxfId="6468" priority="1253" stopIfTrue="1" operator="between">
      <formula>14.1</formula>
      <formula>35</formula>
    </cfRule>
    <cfRule type="cellIs" dxfId="6467" priority="1254" stopIfTrue="1" operator="between">
      <formula>5.1</formula>
      <formula>14</formula>
    </cfRule>
    <cfRule type="cellIs" dxfId="6466" priority="1255" stopIfTrue="1" operator="between">
      <formula>0</formula>
      <formula>5</formula>
    </cfRule>
    <cfRule type="containsBlanks" dxfId="6465" priority="1256" stopIfTrue="1">
      <formula>LEN(TRIM(E38))=0</formula>
    </cfRule>
  </conditionalFormatting>
  <conditionalFormatting sqref="E223:P223">
    <cfRule type="containsBlanks" dxfId="6464" priority="1229" stopIfTrue="1">
      <formula>LEN(TRIM(E223))=0</formula>
    </cfRule>
    <cfRule type="cellIs" dxfId="6463" priority="1230" stopIfTrue="1" operator="between">
      <formula>79.1</formula>
      <formula>100</formula>
    </cfRule>
    <cfRule type="cellIs" dxfId="6462" priority="1231" stopIfTrue="1" operator="between">
      <formula>34.1</formula>
      <formula>79</formula>
    </cfRule>
    <cfRule type="cellIs" dxfId="6461" priority="1232" stopIfTrue="1" operator="between">
      <formula>13.1</formula>
      <formula>34</formula>
    </cfRule>
    <cfRule type="cellIs" dxfId="6460" priority="1233" stopIfTrue="1" operator="between">
      <formula>5.1</formula>
      <formula>13</formula>
    </cfRule>
    <cfRule type="cellIs" dxfId="6459" priority="1234" stopIfTrue="1" operator="between">
      <formula>0</formula>
      <formula>5</formula>
    </cfRule>
    <cfRule type="containsBlanks" dxfId="6458" priority="1235" stopIfTrue="1">
      <formula>LEN(TRIM(E223))=0</formula>
    </cfRule>
  </conditionalFormatting>
  <conditionalFormatting sqref="E141:P141 E149:P152">
    <cfRule type="containsBlanks" dxfId="6457" priority="1236" stopIfTrue="1">
      <formula>LEN(TRIM(E141))=0</formula>
    </cfRule>
    <cfRule type="cellIs" dxfId="6456" priority="1237" stopIfTrue="1" operator="between">
      <formula>79.1</formula>
      <formula>100</formula>
    </cfRule>
    <cfRule type="cellIs" dxfId="6455" priority="1238" stopIfTrue="1" operator="between">
      <formula>34.1</formula>
      <formula>79</formula>
    </cfRule>
    <cfRule type="cellIs" dxfId="6454" priority="1239" stopIfTrue="1" operator="between">
      <formula>13.1</formula>
      <formula>34</formula>
    </cfRule>
    <cfRule type="cellIs" dxfId="6453" priority="1240" stopIfTrue="1" operator="between">
      <formula>5.1</formula>
      <formula>13</formula>
    </cfRule>
    <cfRule type="cellIs" dxfId="6452" priority="1241" stopIfTrue="1" operator="between">
      <formula>0</formula>
      <formula>5</formula>
    </cfRule>
    <cfRule type="containsBlanks" dxfId="6451" priority="1242" stopIfTrue="1">
      <formula>LEN(TRIM(E141))=0</formula>
    </cfRule>
  </conditionalFormatting>
  <conditionalFormatting sqref="F142:P142">
    <cfRule type="containsBlanks" dxfId="6450" priority="1068" stopIfTrue="1">
      <formula>LEN(TRIM(F142))=0</formula>
    </cfRule>
    <cfRule type="cellIs" dxfId="6449" priority="1069" stopIfTrue="1" operator="between">
      <formula>80.1</formula>
      <formula>100</formula>
    </cfRule>
    <cfRule type="cellIs" dxfId="6448" priority="1070" stopIfTrue="1" operator="between">
      <formula>35.1</formula>
      <formula>80</formula>
    </cfRule>
    <cfRule type="cellIs" dxfId="6447" priority="1071" stopIfTrue="1" operator="between">
      <formula>14.1</formula>
      <formula>35</formula>
    </cfRule>
    <cfRule type="cellIs" dxfId="6446" priority="1072" stopIfTrue="1" operator="between">
      <formula>5.1</formula>
      <formula>14</formula>
    </cfRule>
    <cfRule type="cellIs" dxfId="6445" priority="1073" stopIfTrue="1" operator="between">
      <formula>0</formula>
      <formula>5</formula>
    </cfRule>
    <cfRule type="containsBlanks" dxfId="6444" priority="1074" stopIfTrue="1">
      <formula>LEN(TRIM(F142))=0</formula>
    </cfRule>
  </conditionalFormatting>
  <conditionalFormatting sqref="E142">
    <cfRule type="containsBlanks" dxfId="6443" priority="1061" stopIfTrue="1">
      <formula>LEN(TRIM(E142))=0</formula>
    </cfRule>
    <cfRule type="cellIs" dxfId="6442" priority="1062" stopIfTrue="1" operator="between">
      <formula>80.1</formula>
      <formula>100</formula>
    </cfRule>
    <cfRule type="cellIs" dxfId="6441" priority="1063" stopIfTrue="1" operator="between">
      <formula>35.1</formula>
      <formula>80</formula>
    </cfRule>
    <cfRule type="cellIs" dxfId="6440" priority="1064" stopIfTrue="1" operator="between">
      <formula>14.1</formula>
      <formula>35</formula>
    </cfRule>
    <cfRule type="cellIs" dxfId="6439" priority="1065" stopIfTrue="1" operator="between">
      <formula>5.1</formula>
      <formula>14</formula>
    </cfRule>
    <cfRule type="cellIs" dxfId="6438" priority="1066" stopIfTrue="1" operator="between">
      <formula>0</formula>
      <formula>5</formula>
    </cfRule>
    <cfRule type="containsBlanks" dxfId="6437" priority="1067" stopIfTrue="1">
      <formula>LEN(TRIM(E142))=0</formula>
    </cfRule>
  </conditionalFormatting>
  <conditionalFormatting sqref="F143:P143">
    <cfRule type="containsBlanks" dxfId="6436" priority="1054" stopIfTrue="1">
      <formula>LEN(TRIM(F143))=0</formula>
    </cfRule>
    <cfRule type="cellIs" dxfId="6435" priority="1055" stopIfTrue="1" operator="between">
      <formula>80.1</formula>
      <formula>100</formula>
    </cfRule>
    <cfRule type="cellIs" dxfId="6434" priority="1056" stopIfTrue="1" operator="between">
      <formula>35.1</formula>
      <formula>80</formula>
    </cfRule>
    <cfRule type="cellIs" dxfId="6433" priority="1057" stopIfTrue="1" operator="between">
      <formula>14.1</formula>
      <formula>35</formula>
    </cfRule>
    <cfRule type="cellIs" dxfId="6432" priority="1058" stopIfTrue="1" operator="between">
      <formula>5.1</formula>
      <formula>14</formula>
    </cfRule>
    <cfRule type="cellIs" dxfId="6431" priority="1059" stopIfTrue="1" operator="between">
      <formula>0</formula>
      <formula>5</formula>
    </cfRule>
    <cfRule type="containsBlanks" dxfId="6430" priority="1060" stopIfTrue="1">
      <formula>LEN(TRIM(F143))=0</formula>
    </cfRule>
  </conditionalFormatting>
  <conditionalFormatting sqref="E143">
    <cfRule type="containsBlanks" dxfId="6429" priority="1047" stopIfTrue="1">
      <formula>LEN(TRIM(E143))=0</formula>
    </cfRule>
    <cfRule type="cellIs" dxfId="6428" priority="1048" stopIfTrue="1" operator="between">
      <formula>80.1</formula>
      <formula>100</formula>
    </cfRule>
    <cfRule type="cellIs" dxfId="6427" priority="1049" stopIfTrue="1" operator="between">
      <formula>35.1</formula>
      <formula>80</formula>
    </cfRule>
    <cfRule type="cellIs" dxfId="6426" priority="1050" stopIfTrue="1" operator="between">
      <formula>14.1</formula>
      <formula>35</formula>
    </cfRule>
    <cfRule type="cellIs" dxfId="6425" priority="1051" stopIfTrue="1" operator="between">
      <formula>5.1</formula>
      <formula>14</formula>
    </cfRule>
    <cfRule type="cellIs" dxfId="6424" priority="1052" stopIfTrue="1" operator="between">
      <formula>0</formula>
      <formula>5</formula>
    </cfRule>
    <cfRule type="containsBlanks" dxfId="6423" priority="1053" stopIfTrue="1">
      <formula>LEN(TRIM(E143))=0</formula>
    </cfRule>
  </conditionalFormatting>
  <conditionalFormatting sqref="F144:P144">
    <cfRule type="containsBlanks" dxfId="6422" priority="1040" stopIfTrue="1">
      <formula>LEN(TRIM(F144))=0</formula>
    </cfRule>
    <cfRule type="cellIs" dxfId="6421" priority="1041" stopIfTrue="1" operator="between">
      <formula>80.1</formula>
      <formula>100</formula>
    </cfRule>
    <cfRule type="cellIs" dxfId="6420" priority="1042" stopIfTrue="1" operator="between">
      <formula>35.1</formula>
      <formula>80</formula>
    </cfRule>
    <cfRule type="cellIs" dxfId="6419" priority="1043" stopIfTrue="1" operator="between">
      <formula>14.1</formula>
      <formula>35</formula>
    </cfRule>
    <cfRule type="cellIs" dxfId="6418" priority="1044" stopIfTrue="1" operator="between">
      <formula>5.1</formula>
      <formula>14</formula>
    </cfRule>
    <cfRule type="cellIs" dxfId="6417" priority="1045" stopIfTrue="1" operator="between">
      <formula>0</formula>
      <formula>5</formula>
    </cfRule>
    <cfRule type="containsBlanks" dxfId="6416" priority="1046" stopIfTrue="1">
      <formula>LEN(TRIM(F144))=0</formula>
    </cfRule>
  </conditionalFormatting>
  <conditionalFormatting sqref="E144">
    <cfRule type="containsBlanks" dxfId="6415" priority="1033" stopIfTrue="1">
      <formula>LEN(TRIM(E144))=0</formula>
    </cfRule>
    <cfRule type="cellIs" dxfId="6414" priority="1034" stopIfTrue="1" operator="between">
      <formula>80.1</formula>
      <formula>100</formula>
    </cfRule>
    <cfRule type="cellIs" dxfId="6413" priority="1035" stopIfTrue="1" operator="between">
      <formula>35.1</formula>
      <formula>80</formula>
    </cfRule>
    <cfRule type="cellIs" dxfId="6412" priority="1036" stopIfTrue="1" operator="between">
      <formula>14.1</formula>
      <formula>35</formula>
    </cfRule>
    <cfRule type="cellIs" dxfId="6411" priority="1037" stopIfTrue="1" operator="between">
      <formula>5.1</formula>
      <formula>14</formula>
    </cfRule>
    <cfRule type="cellIs" dxfId="6410" priority="1038" stopIfTrue="1" operator="between">
      <formula>0</formula>
      <formula>5</formula>
    </cfRule>
    <cfRule type="containsBlanks" dxfId="6409" priority="1039" stopIfTrue="1">
      <formula>LEN(TRIM(E144))=0</formula>
    </cfRule>
  </conditionalFormatting>
  <conditionalFormatting sqref="F145:P145">
    <cfRule type="containsBlanks" dxfId="6408" priority="1026" stopIfTrue="1">
      <formula>LEN(TRIM(F145))=0</formula>
    </cfRule>
    <cfRule type="cellIs" dxfId="6407" priority="1027" stopIfTrue="1" operator="between">
      <formula>80.1</formula>
      <formula>100</formula>
    </cfRule>
    <cfRule type="cellIs" dxfId="6406" priority="1028" stopIfTrue="1" operator="between">
      <formula>35.1</formula>
      <formula>80</formula>
    </cfRule>
    <cfRule type="cellIs" dxfId="6405" priority="1029" stopIfTrue="1" operator="between">
      <formula>14.1</formula>
      <formula>35</formula>
    </cfRule>
    <cfRule type="cellIs" dxfId="6404" priority="1030" stopIfTrue="1" operator="between">
      <formula>5.1</formula>
      <formula>14</formula>
    </cfRule>
    <cfRule type="cellIs" dxfId="6403" priority="1031" stopIfTrue="1" operator="between">
      <formula>0</formula>
      <formula>5</formula>
    </cfRule>
    <cfRule type="containsBlanks" dxfId="6402" priority="1032" stopIfTrue="1">
      <formula>LEN(TRIM(F145))=0</formula>
    </cfRule>
  </conditionalFormatting>
  <conditionalFormatting sqref="E145">
    <cfRule type="containsBlanks" dxfId="6401" priority="1019" stopIfTrue="1">
      <formula>LEN(TRIM(E145))=0</formula>
    </cfRule>
    <cfRule type="cellIs" dxfId="6400" priority="1020" stopIfTrue="1" operator="between">
      <formula>80.1</formula>
      <formula>100</formula>
    </cfRule>
    <cfRule type="cellIs" dxfId="6399" priority="1021" stopIfTrue="1" operator="between">
      <formula>35.1</formula>
      <formula>80</formula>
    </cfRule>
    <cfRule type="cellIs" dxfId="6398" priority="1022" stopIfTrue="1" operator="between">
      <formula>14.1</formula>
      <formula>35</formula>
    </cfRule>
    <cfRule type="cellIs" dxfId="6397" priority="1023" stopIfTrue="1" operator="between">
      <formula>5.1</formula>
      <formula>14</formula>
    </cfRule>
    <cfRule type="cellIs" dxfId="6396" priority="1024" stopIfTrue="1" operator="between">
      <formula>0</formula>
      <formula>5</formula>
    </cfRule>
    <cfRule type="containsBlanks" dxfId="6395" priority="1025" stopIfTrue="1">
      <formula>LEN(TRIM(E145))=0</formula>
    </cfRule>
  </conditionalFormatting>
  <conditionalFormatting sqref="F146:P146">
    <cfRule type="containsBlanks" dxfId="6394" priority="1012" stopIfTrue="1">
      <formula>LEN(TRIM(F146))=0</formula>
    </cfRule>
    <cfRule type="cellIs" dxfId="6393" priority="1013" stopIfTrue="1" operator="between">
      <formula>80.1</formula>
      <formula>100</formula>
    </cfRule>
    <cfRule type="cellIs" dxfId="6392" priority="1014" stopIfTrue="1" operator="between">
      <formula>35.1</formula>
      <formula>80</formula>
    </cfRule>
    <cfRule type="cellIs" dxfId="6391" priority="1015" stopIfTrue="1" operator="between">
      <formula>14.1</formula>
      <formula>35</formula>
    </cfRule>
    <cfRule type="cellIs" dxfId="6390" priority="1016" stopIfTrue="1" operator="between">
      <formula>5.1</formula>
      <formula>14</formula>
    </cfRule>
    <cfRule type="cellIs" dxfId="6389" priority="1017" stopIfTrue="1" operator="between">
      <formula>0</formula>
      <formula>5</formula>
    </cfRule>
    <cfRule type="containsBlanks" dxfId="6388" priority="1018" stopIfTrue="1">
      <formula>LEN(TRIM(F146))=0</formula>
    </cfRule>
  </conditionalFormatting>
  <conditionalFormatting sqref="E146">
    <cfRule type="containsBlanks" dxfId="6387" priority="1005" stopIfTrue="1">
      <formula>LEN(TRIM(E146))=0</formula>
    </cfRule>
    <cfRule type="cellIs" dxfId="6386" priority="1006" stopIfTrue="1" operator="between">
      <formula>80.1</formula>
      <formula>100</formula>
    </cfRule>
    <cfRule type="cellIs" dxfId="6385" priority="1007" stopIfTrue="1" operator="between">
      <formula>35.1</formula>
      <formula>80</formula>
    </cfRule>
    <cfRule type="cellIs" dxfId="6384" priority="1008" stopIfTrue="1" operator="between">
      <formula>14.1</formula>
      <formula>35</formula>
    </cfRule>
    <cfRule type="cellIs" dxfId="6383" priority="1009" stopIfTrue="1" operator="between">
      <formula>5.1</formula>
      <formula>14</formula>
    </cfRule>
    <cfRule type="cellIs" dxfId="6382" priority="1010" stopIfTrue="1" operator="between">
      <formula>0</formula>
      <formula>5</formula>
    </cfRule>
    <cfRule type="containsBlanks" dxfId="6381" priority="1011" stopIfTrue="1">
      <formula>LEN(TRIM(E146))=0</formula>
    </cfRule>
  </conditionalFormatting>
  <conditionalFormatting sqref="F148:P148">
    <cfRule type="containsBlanks" dxfId="6380" priority="998" stopIfTrue="1">
      <formula>LEN(TRIM(F148))=0</formula>
    </cfRule>
    <cfRule type="cellIs" dxfId="6379" priority="999" stopIfTrue="1" operator="between">
      <formula>80.1</formula>
      <formula>100</formula>
    </cfRule>
    <cfRule type="cellIs" dxfId="6378" priority="1000" stopIfTrue="1" operator="between">
      <formula>35.1</formula>
      <formula>80</formula>
    </cfRule>
    <cfRule type="cellIs" dxfId="6377" priority="1001" stopIfTrue="1" operator="between">
      <formula>14.1</formula>
      <formula>35</formula>
    </cfRule>
    <cfRule type="cellIs" dxfId="6376" priority="1002" stopIfTrue="1" operator="between">
      <formula>5.1</formula>
      <formula>14</formula>
    </cfRule>
    <cfRule type="cellIs" dxfId="6375" priority="1003" stopIfTrue="1" operator="between">
      <formula>0</formula>
      <formula>5</formula>
    </cfRule>
    <cfRule type="containsBlanks" dxfId="6374" priority="1004" stopIfTrue="1">
      <formula>LEN(TRIM(F148))=0</formula>
    </cfRule>
  </conditionalFormatting>
  <conditionalFormatting sqref="E148">
    <cfRule type="containsBlanks" dxfId="6373" priority="991" stopIfTrue="1">
      <formula>LEN(TRIM(E148))=0</formula>
    </cfRule>
    <cfRule type="cellIs" dxfId="6372" priority="992" stopIfTrue="1" operator="between">
      <formula>80.1</formula>
      <formula>100</formula>
    </cfRule>
    <cfRule type="cellIs" dxfId="6371" priority="993" stopIfTrue="1" operator="between">
      <formula>35.1</formula>
      <formula>80</formula>
    </cfRule>
    <cfRule type="cellIs" dxfId="6370" priority="994" stopIfTrue="1" operator="between">
      <formula>14.1</formula>
      <formula>35</formula>
    </cfRule>
    <cfRule type="cellIs" dxfId="6369" priority="995" stopIfTrue="1" operator="between">
      <formula>5.1</formula>
      <formula>14</formula>
    </cfRule>
    <cfRule type="cellIs" dxfId="6368" priority="996" stopIfTrue="1" operator="between">
      <formula>0</formula>
      <formula>5</formula>
    </cfRule>
    <cfRule type="containsBlanks" dxfId="6367" priority="997" stopIfTrue="1">
      <formula>LEN(TRIM(E148))=0</formula>
    </cfRule>
  </conditionalFormatting>
  <conditionalFormatting sqref="F147:P147">
    <cfRule type="containsBlanks" dxfId="6366" priority="984" stopIfTrue="1">
      <formula>LEN(TRIM(F147))=0</formula>
    </cfRule>
    <cfRule type="cellIs" dxfId="6365" priority="985" stopIfTrue="1" operator="between">
      <formula>80.1</formula>
      <formula>100</formula>
    </cfRule>
    <cfRule type="cellIs" dxfId="6364" priority="986" stopIfTrue="1" operator="between">
      <formula>35.1</formula>
      <formula>80</formula>
    </cfRule>
    <cfRule type="cellIs" dxfId="6363" priority="987" stopIfTrue="1" operator="between">
      <formula>14.1</formula>
      <formula>35</formula>
    </cfRule>
    <cfRule type="cellIs" dxfId="6362" priority="988" stopIfTrue="1" operator="between">
      <formula>5.1</formula>
      <formula>14</formula>
    </cfRule>
    <cfRule type="cellIs" dxfId="6361" priority="989" stopIfTrue="1" operator="between">
      <formula>0</formula>
      <formula>5</formula>
    </cfRule>
    <cfRule type="containsBlanks" dxfId="6360" priority="990" stopIfTrue="1">
      <formula>LEN(TRIM(F147))=0</formula>
    </cfRule>
  </conditionalFormatting>
  <conditionalFormatting sqref="E147">
    <cfRule type="containsBlanks" dxfId="6359" priority="977" stopIfTrue="1">
      <formula>LEN(TRIM(E147))=0</formula>
    </cfRule>
    <cfRule type="cellIs" dxfId="6358" priority="978" stopIfTrue="1" operator="between">
      <formula>80.1</formula>
      <formula>100</formula>
    </cfRule>
    <cfRule type="cellIs" dxfId="6357" priority="979" stopIfTrue="1" operator="between">
      <formula>35.1</formula>
      <formula>80</formula>
    </cfRule>
    <cfRule type="cellIs" dxfId="6356" priority="980" stopIfTrue="1" operator="between">
      <formula>14.1</formula>
      <formula>35</formula>
    </cfRule>
    <cfRule type="cellIs" dxfId="6355" priority="981" stopIfTrue="1" operator="between">
      <formula>5.1</formula>
      <formula>14</formula>
    </cfRule>
    <cfRule type="cellIs" dxfId="6354" priority="982" stopIfTrue="1" operator="between">
      <formula>0</formula>
      <formula>5</formula>
    </cfRule>
    <cfRule type="containsBlanks" dxfId="6353" priority="983" stopIfTrue="1">
      <formula>LEN(TRIM(E147))=0</formula>
    </cfRule>
  </conditionalFormatting>
  <conditionalFormatting sqref="E56:P58">
    <cfRule type="containsBlanks" dxfId="6352" priority="914" stopIfTrue="1">
      <formula>LEN(TRIM(E56))=0</formula>
    </cfRule>
    <cfRule type="cellIs" dxfId="6351" priority="915" stopIfTrue="1" operator="between">
      <formula>79.1</formula>
      <formula>100</formula>
    </cfRule>
    <cfRule type="cellIs" dxfId="6350" priority="916" stopIfTrue="1" operator="between">
      <formula>34.1</formula>
      <formula>79</formula>
    </cfRule>
    <cfRule type="cellIs" dxfId="6349" priority="917" stopIfTrue="1" operator="between">
      <formula>13.1</formula>
      <formula>34</formula>
    </cfRule>
    <cfRule type="cellIs" dxfId="6348" priority="918" stopIfTrue="1" operator="between">
      <formula>5.1</formula>
      <formula>13</formula>
    </cfRule>
    <cfRule type="cellIs" dxfId="6347" priority="919" stopIfTrue="1" operator="between">
      <formula>0</formula>
      <formula>5</formula>
    </cfRule>
    <cfRule type="containsBlanks" dxfId="6346" priority="920" stopIfTrue="1">
      <formula>LEN(TRIM(E56))=0</formula>
    </cfRule>
  </conditionalFormatting>
  <conditionalFormatting sqref="E59:P59">
    <cfRule type="containsBlanks" dxfId="6345" priority="907" stopIfTrue="1">
      <formula>LEN(TRIM(E59))=0</formula>
    </cfRule>
    <cfRule type="cellIs" dxfId="6344" priority="908" stopIfTrue="1" operator="between">
      <formula>79.1</formula>
      <formula>100</formula>
    </cfRule>
    <cfRule type="cellIs" dxfId="6343" priority="909" stopIfTrue="1" operator="between">
      <formula>34.1</formula>
      <formula>79</formula>
    </cfRule>
    <cfRule type="cellIs" dxfId="6342" priority="910" stopIfTrue="1" operator="between">
      <formula>13.1</formula>
      <formula>34</formula>
    </cfRule>
    <cfRule type="cellIs" dxfId="6341" priority="911" stopIfTrue="1" operator="between">
      <formula>5.1</formula>
      <formula>13</formula>
    </cfRule>
    <cfRule type="cellIs" dxfId="6340" priority="912" stopIfTrue="1" operator="between">
      <formula>0</formula>
      <formula>5</formula>
    </cfRule>
    <cfRule type="containsBlanks" dxfId="6339" priority="913" stopIfTrue="1">
      <formula>LEN(TRIM(E59))=0</formula>
    </cfRule>
  </conditionalFormatting>
  <conditionalFormatting sqref="N314">
    <cfRule type="containsBlanks" dxfId="6338" priority="837" stopIfTrue="1">
      <formula>LEN(TRIM(N314))=0</formula>
    </cfRule>
    <cfRule type="cellIs" dxfId="6337" priority="838" stopIfTrue="1" operator="between">
      <formula>79.1</formula>
      <formula>100</formula>
    </cfRule>
    <cfRule type="cellIs" dxfId="6336" priority="839" stopIfTrue="1" operator="between">
      <formula>34.1</formula>
      <formula>79</formula>
    </cfRule>
    <cfRule type="cellIs" dxfId="6335" priority="840" stopIfTrue="1" operator="between">
      <formula>13.1</formula>
      <formula>34</formula>
    </cfRule>
    <cfRule type="cellIs" dxfId="6334" priority="841" stopIfTrue="1" operator="between">
      <formula>5.1</formula>
      <formula>13</formula>
    </cfRule>
    <cfRule type="cellIs" dxfId="6333" priority="842" stopIfTrue="1" operator="between">
      <formula>0</formula>
      <formula>5</formula>
    </cfRule>
    <cfRule type="containsBlanks" dxfId="6332" priority="843" stopIfTrue="1">
      <formula>LEN(TRIM(N314))=0</formula>
    </cfRule>
  </conditionalFormatting>
  <conditionalFormatting sqref="E327 E300:P300 M301:P301 E301:K301 E309:H309 E312:H312 E318:H319 E320:I320 E321:G322 I321:J322 E313:F314 O314:P314 G314:M314 K320:P322 E323:P326 H313:P313 J309:P309 G327:P327 J318:P319 J312:P312 E310:P311 E302:P308 E328:P329 E315:P317">
    <cfRule type="containsBlanks" dxfId="6331" priority="879" stopIfTrue="1">
      <formula>LEN(TRIM(E300))=0</formula>
    </cfRule>
    <cfRule type="cellIs" dxfId="6330" priority="880" stopIfTrue="1" operator="between">
      <formula>79.1</formula>
      <formula>100</formula>
    </cfRule>
    <cfRule type="cellIs" dxfId="6329" priority="881" stopIfTrue="1" operator="between">
      <formula>34.1</formula>
      <formula>79</formula>
    </cfRule>
    <cfRule type="cellIs" dxfId="6328" priority="882" stopIfTrue="1" operator="between">
      <formula>13.1</formula>
      <formula>34</formula>
    </cfRule>
    <cfRule type="cellIs" dxfId="6327" priority="883" stopIfTrue="1" operator="between">
      <formula>5.1</formula>
      <formula>13</formula>
    </cfRule>
    <cfRule type="cellIs" dxfId="6326" priority="884" stopIfTrue="1" operator="between">
      <formula>0</formula>
      <formula>5</formula>
    </cfRule>
    <cfRule type="containsBlanks" dxfId="6325" priority="885" stopIfTrue="1">
      <formula>LEN(TRIM(E300))=0</formula>
    </cfRule>
  </conditionalFormatting>
  <conditionalFormatting sqref="J320">
    <cfRule type="containsBlanks" dxfId="6324" priority="872" stopIfTrue="1">
      <formula>LEN(TRIM(J320))=0</formula>
    </cfRule>
    <cfRule type="cellIs" dxfId="6323" priority="873" stopIfTrue="1" operator="between">
      <formula>79.1</formula>
      <formula>100</formula>
    </cfRule>
    <cfRule type="cellIs" dxfId="6322" priority="874" stopIfTrue="1" operator="between">
      <formula>34.1</formula>
      <formula>79</formula>
    </cfRule>
    <cfRule type="cellIs" dxfId="6321" priority="875" stopIfTrue="1" operator="between">
      <formula>13.1</formula>
      <formula>34</formula>
    </cfRule>
    <cfRule type="cellIs" dxfId="6320" priority="876" stopIfTrue="1" operator="between">
      <formula>5.1</formula>
      <formula>13</formula>
    </cfRule>
    <cfRule type="cellIs" dxfId="6319" priority="877" stopIfTrue="1" operator="between">
      <formula>0</formula>
      <formula>5</formula>
    </cfRule>
    <cfRule type="containsBlanks" dxfId="6318" priority="878" stopIfTrue="1">
      <formula>LEN(TRIM(J320))=0</formula>
    </cfRule>
  </conditionalFormatting>
  <conditionalFormatting sqref="I318">
    <cfRule type="containsBlanks" dxfId="6317" priority="865" stopIfTrue="1">
      <formula>LEN(TRIM(I318))=0</formula>
    </cfRule>
    <cfRule type="cellIs" dxfId="6316" priority="866" stopIfTrue="1" operator="between">
      <formula>79.1</formula>
      <formula>100</formula>
    </cfRule>
    <cfRule type="cellIs" dxfId="6315" priority="867" stopIfTrue="1" operator="between">
      <formula>34.1</formula>
      <formula>79</formula>
    </cfRule>
    <cfRule type="cellIs" dxfId="6314" priority="868" stopIfTrue="1" operator="between">
      <formula>13.1</formula>
      <formula>34</formula>
    </cfRule>
    <cfRule type="cellIs" dxfId="6313" priority="869" stopIfTrue="1" operator="between">
      <formula>5.1</formula>
      <formula>13</formula>
    </cfRule>
    <cfRule type="cellIs" dxfId="6312" priority="870" stopIfTrue="1" operator="between">
      <formula>0</formula>
      <formula>5</formula>
    </cfRule>
    <cfRule type="containsBlanks" dxfId="6311" priority="871" stopIfTrue="1">
      <formula>LEN(TRIM(I318))=0</formula>
    </cfRule>
  </conditionalFormatting>
  <conditionalFormatting sqref="H321">
    <cfRule type="containsBlanks" dxfId="6310" priority="858" stopIfTrue="1">
      <formula>LEN(TRIM(H321))=0</formula>
    </cfRule>
    <cfRule type="cellIs" dxfId="6309" priority="859" stopIfTrue="1" operator="between">
      <formula>79.1</formula>
      <formula>100</formula>
    </cfRule>
    <cfRule type="cellIs" dxfId="6308" priority="860" stopIfTrue="1" operator="between">
      <formula>34.1</formula>
      <formula>79</formula>
    </cfRule>
    <cfRule type="cellIs" dxfId="6307" priority="861" stopIfTrue="1" operator="between">
      <formula>13.1</formula>
      <formula>34</formula>
    </cfRule>
    <cfRule type="cellIs" dxfId="6306" priority="862" stopIfTrue="1" operator="between">
      <formula>5.1</formula>
      <formula>13</formula>
    </cfRule>
    <cfRule type="cellIs" dxfId="6305" priority="863" stopIfTrue="1" operator="between">
      <formula>0</formula>
      <formula>5</formula>
    </cfRule>
    <cfRule type="containsBlanks" dxfId="6304" priority="864" stopIfTrue="1">
      <formula>LEN(TRIM(H321))=0</formula>
    </cfRule>
  </conditionalFormatting>
  <conditionalFormatting sqref="I309">
    <cfRule type="containsBlanks" dxfId="6303" priority="851" stopIfTrue="1">
      <formula>LEN(TRIM(I309))=0</formula>
    </cfRule>
    <cfRule type="cellIs" dxfId="6302" priority="852" stopIfTrue="1" operator="between">
      <formula>79.1</formula>
      <formula>100</formula>
    </cfRule>
    <cfRule type="cellIs" dxfId="6301" priority="853" stopIfTrue="1" operator="between">
      <formula>34.1</formula>
      <formula>79</formula>
    </cfRule>
    <cfRule type="cellIs" dxfId="6300" priority="854" stopIfTrue="1" operator="between">
      <formula>13.1</formula>
      <formula>34</formula>
    </cfRule>
    <cfRule type="cellIs" dxfId="6299" priority="855" stopIfTrue="1" operator="between">
      <formula>5.1</formula>
      <formula>13</formula>
    </cfRule>
    <cfRule type="cellIs" dxfId="6298" priority="856" stopIfTrue="1" operator="between">
      <formula>0</formula>
      <formula>5</formula>
    </cfRule>
    <cfRule type="containsBlanks" dxfId="6297" priority="857" stopIfTrue="1">
      <formula>LEN(TRIM(I309))=0</formula>
    </cfRule>
  </conditionalFormatting>
  <conditionalFormatting sqref="L301">
    <cfRule type="containsBlanks" dxfId="6296" priority="844" stopIfTrue="1">
      <formula>LEN(TRIM(L301))=0</formula>
    </cfRule>
    <cfRule type="cellIs" dxfId="6295" priority="845" stopIfTrue="1" operator="between">
      <formula>79.1</formula>
      <formula>100</formula>
    </cfRule>
    <cfRule type="cellIs" dxfId="6294" priority="846" stopIfTrue="1" operator="between">
      <formula>34.1</formula>
      <formula>79</formula>
    </cfRule>
    <cfRule type="cellIs" dxfId="6293" priority="847" stopIfTrue="1" operator="between">
      <formula>13.1</formula>
      <formula>34</formula>
    </cfRule>
    <cfRule type="cellIs" dxfId="6292" priority="848" stopIfTrue="1" operator="between">
      <formula>5.1</formula>
      <formula>13</formula>
    </cfRule>
    <cfRule type="cellIs" dxfId="6291" priority="849" stopIfTrue="1" operator="between">
      <formula>0</formula>
      <formula>5</formula>
    </cfRule>
    <cfRule type="containsBlanks" dxfId="6290" priority="850" stopIfTrue="1">
      <formula>LEN(TRIM(L301))=0</formula>
    </cfRule>
  </conditionalFormatting>
  <conditionalFormatting sqref="E245 I245:N245">
    <cfRule type="containsBlanks" dxfId="6289" priority="235" stopIfTrue="1">
      <formula>LEN(TRIM(E245))=0</formula>
    </cfRule>
    <cfRule type="cellIs" dxfId="6288" priority="236" stopIfTrue="1" operator="between">
      <formula>80.1</formula>
      <formula>100</formula>
    </cfRule>
    <cfRule type="cellIs" dxfId="6287" priority="237" stopIfTrue="1" operator="between">
      <formula>35.1</formula>
      <formula>80</formula>
    </cfRule>
    <cfRule type="cellIs" dxfId="6286" priority="238" stopIfTrue="1" operator="between">
      <formula>14.1</formula>
      <formula>35</formula>
    </cfRule>
    <cfRule type="cellIs" dxfId="6285" priority="239" stopIfTrue="1" operator="between">
      <formula>5.1</formula>
      <formula>14</formula>
    </cfRule>
    <cfRule type="cellIs" dxfId="6284" priority="240" stopIfTrue="1" operator="between">
      <formula>0</formula>
      <formula>5</formula>
    </cfRule>
    <cfRule type="containsBlanks" dxfId="6283" priority="241" stopIfTrue="1">
      <formula>LEN(TRIM(E245))=0</formula>
    </cfRule>
  </conditionalFormatting>
  <conditionalFormatting sqref="F245:H245">
    <cfRule type="containsBlanks" dxfId="6282" priority="228" stopIfTrue="1">
      <formula>LEN(TRIM(F245))=0</formula>
    </cfRule>
    <cfRule type="cellIs" dxfId="6281" priority="229" stopIfTrue="1" operator="between">
      <formula>80.1</formula>
      <formula>100</formula>
    </cfRule>
    <cfRule type="cellIs" dxfId="6280" priority="230" stopIfTrue="1" operator="between">
      <formula>35.1</formula>
      <formula>80</formula>
    </cfRule>
    <cfRule type="cellIs" dxfId="6279" priority="231" stopIfTrue="1" operator="between">
      <formula>14.1</formula>
      <formula>35</formula>
    </cfRule>
    <cfRule type="cellIs" dxfId="6278" priority="232" stopIfTrue="1" operator="between">
      <formula>5.1</formula>
      <formula>14</formula>
    </cfRule>
    <cfRule type="cellIs" dxfId="6277" priority="233" stopIfTrue="1" operator="between">
      <formula>0</formula>
      <formula>5</formula>
    </cfRule>
    <cfRule type="containsBlanks" dxfId="6276" priority="234" stopIfTrue="1">
      <formula>LEN(TRIM(F245))=0</formula>
    </cfRule>
  </conditionalFormatting>
  <conditionalFormatting sqref="E246 I246:P246">
    <cfRule type="containsBlanks" dxfId="6275" priority="221" stopIfTrue="1">
      <formula>LEN(TRIM(E246))=0</formula>
    </cfRule>
    <cfRule type="cellIs" dxfId="6274" priority="222" stopIfTrue="1" operator="between">
      <formula>80.1</formula>
      <formula>100</formula>
    </cfRule>
    <cfRule type="cellIs" dxfId="6273" priority="223" stopIfTrue="1" operator="between">
      <formula>35.1</formula>
      <formula>80</formula>
    </cfRule>
    <cfRule type="cellIs" dxfId="6272" priority="224" stopIfTrue="1" operator="between">
      <formula>14.1</formula>
      <formula>35</formula>
    </cfRule>
    <cfRule type="cellIs" dxfId="6271" priority="225" stopIfTrue="1" operator="between">
      <formula>5.1</formula>
      <formula>14</formula>
    </cfRule>
    <cfRule type="cellIs" dxfId="6270" priority="226" stopIfTrue="1" operator="between">
      <formula>0</formula>
      <formula>5</formula>
    </cfRule>
    <cfRule type="containsBlanks" dxfId="6269" priority="227" stopIfTrue="1">
      <formula>LEN(TRIM(E246))=0</formula>
    </cfRule>
  </conditionalFormatting>
  <conditionalFormatting sqref="F246:H246">
    <cfRule type="containsBlanks" dxfId="6268" priority="214" stopIfTrue="1">
      <formula>LEN(TRIM(F246))=0</formula>
    </cfRule>
    <cfRule type="cellIs" dxfId="6267" priority="215" stopIfTrue="1" operator="between">
      <formula>80.1</formula>
      <formula>100</formula>
    </cfRule>
    <cfRule type="cellIs" dxfId="6266" priority="216" stopIfTrue="1" operator="between">
      <formula>35.1</formula>
      <formula>80</formula>
    </cfRule>
    <cfRule type="cellIs" dxfId="6265" priority="217" stopIfTrue="1" operator="between">
      <formula>14.1</formula>
      <formula>35</formula>
    </cfRule>
    <cfRule type="cellIs" dxfId="6264" priority="218" stopIfTrue="1" operator="between">
      <formula>5.1</formula>
      <formula>14</formula>
    </cfRule>
    <cfRule type="cellIs" dxfId="6263" priority="219" stopIfTrue="1" operator="between">
      <formula>0</formula>
      <formula>5</formula>
    </cfRule>
    <cfRule type="containsBlanks" dxfId="6262" priority="220" stopIfTrue="1">
      <formula>LEN(TRIM(F246))=0</formula>
    </cfRule>
  </conditionalFormatting>
  <conditionalFormatting sqref="E247:L247">
    <cfRule type="containsBlanks" dxfId="6261" priority="207" stopIfTrue="1">
      <formula>LEN(TRIM(E247))=0</formula>
    </cfRule>
    <cfRule type="cellIs" dxfId="6260" priority="208" stopIfTrue="1" operator="between">
      <formula>80.1</formula>
      <formula>100</formula>
    </cfRule>
    <cfRule type="cellIs" dxfId="6259" priority="209" stopIfTrue="1" operator="between">
      <formula>35.1</formula>
      <formula>80</formula>
    </cfRule>
    <cfRule type="cellIs" dxfId="6258" priority="210" stopIfTrue="1" operator="between">
      <formula>14.1</formula>
      <formula>35</formula>
    </cfRule>
    <cfRule type="cellIs" dxfId="6257" priority="211" stopIfTrue="1" operator="between">
      <formula>5.1</formula>
      <formula>14</formula>
    </cfRule>
    <cfRule type="cellIs" dxfId="6256" priority="212" stopIfTrue="1" operator="between">
      <formula>0</formula>
      <formula>5</formula>
    </cfRule>
    <cfRule type="containsBlanks" dxfId="6255" priority="213" stopIfTrue="1">
      <formula>LEN(TRIM(E247))=0</formula>
    </cfRule>
  </conditionalFormatting>
  <conditionalFormatting sqref="E256:P256">
    <cfRule type="containsBlanks" dxfId="6254" priority="179" stopIfTrue="1">
      <formula>LEN(TRIM(E256))=0</formula>
    </cfRule>
    <cfRule type="cellIs" dxfId="6253" priority="180" stopIfTrue="1" operator="between">
      <formula>80.1</formula>
      <formula>100</formula>
    </cfRule>
    <cfRule type="cellIs" dxfId="6252" priority="181" stopIfTrue="1" operator="between">
      <formula>35.1</formula>
      <formula>80</formula>
    </cfRule>
    <cfRule type="cellIs" dxfId="6251" priority="182" stopIfTrue="1" operator="between">
      <formula>14.1</formula>
      <formula>35</formula>
    </cfRule>
    <cfRule type="cellIs" dxfId="6250" priority="183" stopIfTrue="1" operator="between">
      <formula>5.1</formula>
      <formula>14</formula>
    </cfRule>
    <cfRule type="cellIs" dxfId="6249" priority="184" stopIfTrue="1" operator="between">
      <formula>0</formula>
      <formula>5</formula>
    </cfRule>
    <cfRule type="containsBlanks" dxfId="6248" priority="185" stopIfTrue="1">
      <formula>LEN(TRIM(E256))=0</formula>
    </cfRule>
  </conditionalFormatting>
  <conditionalFormatting sqref="E252:N252">
    <cfRule type="containsBlanks" dxfId="6247" priority="200" stopIfTrue="1">
      <formula>LEN(TRIM(E252))=0</formula>
    </cfRule>
    <cfRule type="cellIs" dxfId="6246" priority="201" stopIfTrue="1" operator="between">
      <formula>80.1</formula>
      <formula>100</formula>
    </cfRule>
    <cfRule type="cellIs" dxfId="6245" priority="202" stopIfTrue="1" operator="between">
      <formula>35.1</formula>
      <formula>80</formula>
    </cfRule>
    <cfRule type="cellIs" dxfId="6244" priority="203" stopIfTrue="1" operator="between">
      <formula>14.1</formula>
      <formula>35</formula>
    </cfRule>
    <cfRule type="cellIs" dxfId="6243" priority="204" stopIfTrue="1" operator="between">
      <formula>5.1</formula>
      <formula>14</formula>
    </cfRule>
    <cfRule type="cellIs" dxfId="6242" priority="205" stopIfTrue="1" operator="between">
      <formula>0</formula>
      <formula>5</formula>
    </cfRule>
    <cfRule type="containsBlanks" dxfId="6241" priority="206" stopIfTrue="1">
      <formula>LEN(TRIM(E252))=0</formula>
    </cfRule>
  </conditionalFormatting>
  <conditionalFormatting sqref="E253:M253">
    <cfRule type="containsBlanks" dxfId="6240" priority="193" stopIfTrue="1">
      <formula>LEN(TRIM(E253))=0</formula>
    </cfRule>
    <cfRule type="cellIs" dxfId="6239" priority="194" stopIfTrue="1" operator="between">
      <formula>80.1</formula>
      <formula>100</formula>
    </cfRule>
    <cfRule type="cellIs" dxfId="6238" priority="195" stopIfTrue="1" operator="between">
      <formula>35.1</formula>
      <formula>80</formula>
    </cfRule>
    <cfRule type="cellIs" dxfId="6237" priority="196" stopIfTrue="1" operator="between">
      <formula>14.1</formula>
      <formula>35</formula>
    </cfRule>
    <cfRule type="cellIs" dxfId="6236" priority="197" stopIfTrue="1" operator="between">
      <formula>5.1</formula>
      <formula>14</formula>
    </cfRule>
    <cfRule type="cellIs" dxfId="6235" priority="198" stopIfTrue="1" operator="between">
      <formula>0</formula>
      <formula>5</formula>
    </cfRule>
    <cfRule type="containsBlanks" dxfId="6234" priority="199" stopIfTrue="1">
      <formula>LEN(TRIM(E253))=0</formula>
    </cfRule>
  </conditionalFormatting>
  <conditionalFormatting sqref="E255:M255">
    <cfRule type="containsBlanks" dxfId="6233" priority="186" stopIfTrue="1">
      <formula>LEN(TRIM(E255))=0</formula>
    </cfRule>
    <cfRule type="cellIs" dxfId="6232" priority="187" stopIfTrue="1" operator="between">
      <formula>80.1</formula>
      <formula>100</formula>
    </cfRule>
    <cfRule type="cellIs" dxfId="6231" priority="188" stopIfTrue="1" operator="between">
      <formula>35.1</formula>
      <formula>80</formula>
    </cfRule>
    <cfRule type="cellIs" dxfId="6230" priority="189" stopIfTrue="1" operator="between">
      <formula>14.1</formula>
      <formula>35</formula>
    </cfRule>
    <cfRule type="cellIs" dxfId="6229" priority="190" stopIfTrue="1" operator="between">
      <formula>5.1</formula>
      <formula>14</formula>
    </cfRule>
    <cfRule type="cellIs" dxfId="6228" priority="191" stopIfTrue="1" operator="between">
      <formula>0</formula>
      <formula>5</formula>
    </cfRule>
    <cfRule type="containsBlanks" dxfId="6227" priority="192" stopIfTrue="1">
      <formula>LEN(TRIM(E255))=0</formula>
    </cfRule>
  </conditionalFormatting>
  <conditionalFormatting sqref="R148:R166 R34:R42 R168:R270 R274:R330">
    <cfRule type="cellIs" dxfId="6226" priority="178" stopIfTrue="1" operator="equal">
      <formula>"NO"</formula>
    </cfRule>
  </conditionalFormatting>
  <conditionalFormatting sqref="S269:S270 S274:S330">
    <cfRule type="cellIs" dxfId="6225" priority="177" stopIfTrue="1" operator="equal">
      <formula>"INVIABLE SANITARIAMENTE"</formula>
    </cfRule>
  </conditionalFormatting>
  <conditionalFormatting sqref="S269:S270 S274:S330">
    <cfRule type="containsText" dxfId="6224" priority="172" stopIfTrue="1" operator="containsText" text="INVIABLE SANITARIAMENTE">
      <formula>NOT(ISERROR(SEARCH("INVIABLE SANITARIAMENTE",S269)))</formula>
    </cfRule>
    <cfRule type="containsText" dxfId="6223" priority="173" stopIfTrue="1" operator="containsText" text="ALTO">
      <formula>NOT(ISERROR(SEARCH("ALTO",S269)))</formula>
    </cfRule>
    <cfRule type="containsText" dxfId="6222" priority="174" stopIfTrue="1" operator="containsText" text="MEDIO">
      <formula>NOT(ISERROR(SEARCH("MEDIO",S269)))</formula>
    </cfRule>
    <cfRule type="containsText" dxfId="6221" priority="175" stopIfTrue="1" operator="containsText" text="BAJO">
      <formula>NOT(ISERROR(SEARCH("BAJO",S269)))</formula>
    </cfRule>
    <cfRule type="containsText" dxfId="6220" priority="176" stopIfTrue="1" operator="containsText" text="SIN RIESGO">
      <formula>NOT(ISERROR(SEARCH("SIN RIESGO",S269)))</formula>
    </cfRule>
  </conditionalFormatting>
  <conditionalFormatting sqref="S269:S270 S274:S330">
    <cfRule type="containsText" dxfId="6219" priority="171" stopIfTrue="1" operator="containsText" text="SIN RIESGO">
      <formula>NOT(ISERROR(SEARCH("SIN RIESGO",S269)))</formula>
    </cfRule>
  </conditionalFormatting>
  <conditionalFormatting sqref="Q56:Q72 Q96:Q147">
    <cfRule type="containsBlanks" dxfId="6218" priority="149" stopIfTrue="1">
      <formula>LEN(TRIM(Q56))=0</formula>
    </cfRule>
    <cfRule type="cellIs" dxfId="6217" priority="150" stopIfTrue="1" operator="between">
      <formula>80.1</formula>
      <formula>100</formula>
    </cfRule>
    <cfRule type="cellIs" dxfId="6216" priority="151" stopIfTrue="1" operator="between">
      <formula>35.1</formula>
      <formula>80</formula>
    </cfRule>
    <cfRule type="cellIs" dxfId="6215" priority="152" stopIfTrue="1" operator="between">
      <formula>14.1</formula>
      <formula>35</formula>
    </cfRule>
    <cfRule type="cellIs" dxfId="6214" priority="153" stopIfTrue="1" operator="between">
      <formula>5.1</formula>
      <formula>14</formula>
    </cfRule>
    <cfRule type="cellIs" dxfId="6213" priority="154" stopIfTrue="1" operator="between">
      <formula>0</formula>
      <formula>5</formula>
    </cfRule>
    <cfRule type="containsBlanks" dxfId="6212" priority="155" stopIfTrue="1">
      <formula>LEN(TRIM(Q56))=0</formula>
    </cfRule>
  </conditionalFormatting>
  <conditionalFormatting sqref="R56:R72 R96:R147">
    <cfRule type="cellIs" dxfId="6211" priority="148" stopIfTrue="1" operator="equal">
      <formula>"NO"</formula>
    </cfRule>
  </conditionalFormatting>
  <conditionalFormatting sqref="R10:R33">
    <cfRule type="cellIs" dxfId="6210" priority="140" stopIfTrue="1" operator="equal">
      <formula>"NO"</formula>
    </cfRule>
  </conditionalFormatting>
  <conditionalFormatting sqref="E10:Q26 H27:Q27 E27:F27 E29:Q33 Q28">
    <cfRule type="containsBlanks" dxfId="6209" priority="132" stopIfTrue="1">
      <formula>LEN(TRIM(E10))=0</formula>
    </cfRule>
    <cfRule type="cellIs" dxfId="6208" priority="133" stopIfTrue="1" operator="between">
      <formula>80.1</formula>
      <formula>100</formula>
    </cfRule>
    <cfRule type="cellIs" dxfId="6207" priority="134" stopIfTrue="1" operator="between">
      <formula>35.1</formula>
      <formula>80</formula>
    </cfRule>
    <cfRule type="cellIs" dxfId="6206" priority="135" stopIfTrue="1" operator="between">
      <formula>14.1</formula>
      <formula>35</formula>
    </cfRule>
    <cfRule type="cellIs" dxfId="6205" priority="136" stopIfTrue="1" operator="between">
      <formula>5.1</formula>
      <formula>14</formula>
    </cfRule>
    <cfRule type="cellIs" dxfId="6204" priority="137" stopIfTrue="1" operator="between">
      <formula>0</formula>
      <formula>5</formula>
    </cfRule>
    <cfRule type="containsBlanks" dxfId="6203" priority="138" stopIfTrue="1">
      <formula>LEN(TRIM(E10))=0</formula>
    </cfRule>
  </conditionalFormatting>
  <conditionalFormatting sqref="E28:P28">
    <cfRule type="containsBlanks" dxfId="6202" priority="119" stopIfTrue="1">
      <formula>LEN(TRIM(E28))=0</formula>
    </cfRule>
    <cfRule type="cellIs" dxfId="6201" priority="120" stopIfTrue="1" operator="between">
      <formula>80.1</formula>
      <formula>100</formula>
    </cfRule>
    <cfRule type="cellIs" dxfId="6200" priority="121" stopIfTrue="1" operator="between">
      <formula>35.1</formula>
      <formula>80</formula>
    </cfRule>
    <cfRule type="cellIs" dxfId="6199" priority="122" stopIfTrue="1" operator="between">
      <formula>14.1</formula>
      <formula>35</formula>
    </cfRule>
    <cfRule type="cellIs" dxfId="6198" priority="123" stopIfTrue="1" operator="between">
      <formula>5.1</formula>
      <formula>14</formula>
    </cfRule>
    <cfRule type="cellIs" dxfId="6197" priority="124" stopIfTrue="1" operator="between">
      <formula>0</formula>
      <formula>5</formula>
    </cfRule>
    <cfRule type="containsBlanks" dxfId="6196" priority="125" stopIfTrue="1">
      <formula>LEN(TRIM(E28))=0</formula>
    </cfRule>
  </conditionalFormatting>
  <conditionalFormatting sqref="E34:Q36 O37:Q37 E37:M37">
    <cfRule type="containsBlanks" dxfId="6195" priority="110" stopIfTrue="1">
      <formula>LEN(TRIM(E34))=0</formula>
    </cfRule>
    <cfRule type="cellIs" dxfId="6194" priority="111" stopIfTrue="1" operator="between">
      <formula>80.1</formula>
      <formula>100</formula>
    </cfRule>
    <cfRule type="cellIs" dxfId="6193" priority="112" stopIfTrue="1" operator="between">
      <formula>35.1</formula>
      <formula>80</formula>
    </cfRule>
    <cfRule type="cellIs" dxfId="6192" priority="113" stopIfTrue="1" operator="between">
      <formula>14.1</formula>
      <formula>35</formula>
    </cfRule>
    <cfRule type="cellIs" dxfId="6191" priority="114" stopIfTrue="1" operator="between">
      <formula>5.1</formula>
      <formula>14</formula>
    </cfRule>
    <cfRule type="cellIs" dxfId="6190" priority="115" stopIfTrue="1" operator="between">
      <formula>0</formula>
      <formula>5</formula>
    </cfRule>
    <cfRule type="containsBlanks" dxfId="6189" priority="116" stopIfTrue="1">
      <formula>LEN(TRIM(E34))=0</formula>
    </cfRule>
  </conditionalFormatting>
  <conditionalFormatting sqref="R43:R55">
    <cfRule type="cellIs" dxfId="6188" priority="103" stopIfTrue="1" operator="equal">
      <formula>"NO"</formula>
    </cfRule>
  </conditionalFormatting>
  <conditionalFormatting sqref="E43:Q43 E45:Q45 E44:H44 J44:Q44 E46:H46 J46:Q46 E47:Q55">
    <cfRule type="containsBlanks" dxfId="6187" priority="95" stopIfTrue="1">
      <formula>LEN(TRIM(E43))=0</formula>
    </cfRule>
    <cfRule type="cellIs" dxfId="6186" priority="96" stopIfTrue="1" operator="between">
      <formula>80.1</formula>
      <formula>100</formula>
    </cfRule>
    <cfRule type="cellIs" dxfId="6185" priority="97" stopIfTrue="1" operator="between">
      <formula>35.1</formula>
      <formula>80</formula>
    </cfRule>
    <cfRule type="cellIs" dxfId="6184" priority="98" stopIfTrue="1" operator="between">
      <formula>14.1</formula>
      <formula>35</formula>
    </cfRule>
    <cfRule type="cellIs" dxfId="6183" priority="99" stopIfTrue="1" operator="between">
      <formula>5.1</formula>
      <formula>14</formula>
    </cfRule>
    <cfRule type="cellIs" dxfId="6182" priority="100" stopIfTrue="1" operator="between">
      <formula>0</formula>
      <formula>5</formula>
    </cfRule>
    <cfRule type="containsBlanks" dxfId="6181" priority="101" stopIfTrue="1">
      <formula>LEN(TRIM(E43))=0</formula>
    </cfRule>
  </conditionalFormatting>
  <conditionalFormatting sqref="I44">
    <cfRule type="containsBlanks" dxfId="6180" priority="82" stopIfTrue="1">
      <formula>LEN(TRIM(I44))=0</formula>
    </cfRule>
    <cfRule type="cellIs" dxfId="6179" priority="83" stopIfTrue="1" operator="between">
      <formula>80.1</formula>
      <formula>100</formula>
    </cfRule>
    <cfRule type="cellIs" dxfId="6178" priority="84" stopIfTrue="1" operator="between">
      <formula>35.1</formula>
      <formula>80</formula>
    </cfRule>
    <cfRule type="cellIs" dxfId="6177" priority="85" stopIfTrue="1" operator="between">
      <formula>14.1</formula>
      <formula>35</formula>
    </cfRule>
    <cfRule type="cellIs" dxfId="6176" priority="86" stopIfTrue="1" operator="between">
      <formula>5.1</formula>
      <formula>14</formula>
    </cfRule>
    <cfRule type="cellIs" dxfId="6175" priority="87" stopIfTrue="1" operator="between">
      <formula>0</formula>
      <formula>5</formula>
    </cfRule>
    <cfRule type="containsBlanks" dxfId="6174" priority="88" stopIfTrue="1">
      <formula>LEN(TRIM(I44))=0</formula>
    </cfRule>
  </conditionalFormatting>
  <conditionalFormatting sqref="I46">
    <cfRule type="containsBlanks" dxfId="6173" priority="75" stopIfTrue="1">
      <formula>LEN(TRIM(I46))=0</formula>
    </cfRule>
    <cfRule type="cellIs" dxfId="6172" priority="76" stopIfTrue="1" operator="between">
      <formula>80.1</formula>
      <formula>100</formula>
    </cfRule>
    <cfRule type="cellIs" dxfId="6171" priority="77" stopIfTrue="1" operator="between">
      <formula>35.1</formula>
      <formula>80</formula>
    </cfRule>
    <cfRule type="cellIs" dxfId="6170" priority="78" stopIfTrue="1" operator="between">
      <formula>14.1</formula>
      <formula>35</formula>
    </cfRule>
    <cfRule type="cellIs" dxfId="6169" priority="79" stopIfTrue="1" operator="between">
      <formula>5.1</formula>
      <formula>14</formula>
    </cfRule>
    <cfRule type="cellIs" dxfId="6168" priority="80" stopIfTrue="1" operator="between">
      <formula>0</formula>
      <formula>5</formula>
    </cfRule>
    <cfRule type="containsBlanks" dxfId="6167" priority="81" stopIfTrue="1">
      <formula>LEN(TRIM(I46))=0</formula>
    </cfRule>
  </conditionalFormatting>
  <conditionalFormatting sqref="R73:R79">
    <cfRule type="cellIs" dxfId="6166" priority="74" stopIfTrue="1" operator="equal">
      <formula>"NO"</formula>
    </cfRule>
  </conditionalFormatting>
  <conditionalFormatting sqref="E73:Q79">
    <cfRule type="containsBlanks" dxfId="6165" priority="66" stopIfTrue="1">
      <formula>LEN(TRIM(E73))=0</formula>
    </cfRule>
    <cfRule type="cellIs" dxfId="6164" priority="67" stopIfTrue="1" operator="between">
      <formula>80.1</formula>
      <formula>100</formula>
    </cfRule>
    <cfRule type="cellIs" dxfId="6163" priority="68" stopIfTrue="1" operator="between">
      <formula>35.1</formula>
      <formula>80</formula>
    </cfRule>
    <cfRule type="cellIs" dxfId="6162" priority="69" stopIfTrue="1" operator="between">
      <formula>14.1</formula>
      <formula>35</formula>
    </cfRule>
    <cfRule type="cellIs" dxfId="6161" priority="70" stopIfTrue="1" operator="between">
      <formula>5.1</formula>
      <formula>14</formula>
    </cfRule>
    <cfRule type="cellIs" dxfId="6160" priority="71" stopIfTrue="1" operator="between">
      <formula>0</formula>
      <formula>5</formula>
    </cfRule>
    <cfRule type="containsBlanks" dxfId="6159" priority="72" stopIfTrue="1">
      <formula>LEN(TRIM(E73))=0</formula>
    </cfRule>
  </conditionalFormatting>
  <conditionalFormatting sqref="R80:R84">
    <cfRule type="cellIs" dxfId="6158" priority="59" stopIfTrue="1" operator="equal">
      <formula>"NO"</formula>
    </cfRule>
  </conditionalFormatting>
  <conditionalFormatting sqref="E80:Q84">
    <cfRule type="containsBlanks" dxfId="6157" priority="51" stopIfTrue="1">
      <formula>LEN(TRIM(E80))=0</formula>
    </cfRule>
    <cfRule type="cellIs" dxfId="6156" priority="52" stopIfTrue="1" operator="between">
      <formula>80.1</formula>
      <formula>100</formula>
    </cfRule>
    <cfRule type="cellIs" dxfId="6155" priority="53" stopIfTrue="1" operator="between">
      <formula>35.1</formula>
      <formula>80</formula>
    </cfRule>
    <cfRule type="cellIs" dxfId="6154" priority="54" stopIfTrue="1" operator="between">
      <formula>14.1</formula>
      <formula>35</formula>
    </cfRule>
    <cfRule type="cellIs" dxfId="6153" priority="55" stopIfTrue="1" operator="between">
      <formula>5.1</formula>
      <formula>14</formula>
    </cfRule>
    <cfRule type="cellIs" dxfId="6152" priority="56" stopIfTrue="1" operator="between">
      <formula>0</formula>
      <formula>5</formula>
    </cfRule>
    <cfRule type="containsBlanks" dxfId="6151" priority="57" stopIfTrue="1">
      <formula>LEN(TRIM(E80))=0</formula>
    </cfRule>
  </conditionalFormatting>
  <conditionalFormatting sqref="R85:R95">
    <cfRule type="cellIs" dxfId="6150" priority="44" stopIfTrue="1" operator="equal">
      <formula>"NO"</formula>
    </cfRule>
  </conditionalFormatting>
  <conditionalFormatting sqref="E85:Q95">
    <cfRule type="containsBlanks" dxfId="6149" priority="36" stopIfTrue="1">
      <formula>LEN(TRIM(E85))=0</formula>
    </cfRule>
    <cfRule type="cellIs" dxfId="6148" priority="37" stopIfTrue="1" operator="between">
      <formula>80.1</formula>
      <formula>100</formula>
    </cfRule>
    <cfRule type="cellIs" dxfId="6147" priority="38" stopIfTrue="1" operator="between">
      <formula>35.1</formula>
      <formula>80</formula>
    </cfRule>
    <cfRule type="cellIs" dxfId="6146" priority="39" stopIfTrue="1" operator="between">
      <formula>14.1</formula>
      <formula>35</formula>
    </cfRule>
    <cfRule type="cellIs" dxfId="6145" priority="40" stopIfTrue="1" operator="between">
      <formula>5.1</formula>
      <formula>14</formula>
    </cfRule>
    <cfRule type="cellIs" dxfId="6144" priority="41" stopIfTrue="1" operator="between">
      <formula>0</formula>
      <formula>5</formula>
    </cfRule>
    <cfRule type="containsBlanks" dxfId="6143" priority="42" stopIfTrue="1">
      <formula>LEN(TRIM(E85))=0</formula>
    </cfRule>
  </conditionalFormatting>
  <conditionalFormatting sqref="E167:P167">
    <cfRule type="containsBlanks" dxfId="6142" priority="23" stopIfTrue="1">
      <formula>LEN(TRIM(E167))=0</formula>
    </cfRule>
    <cfRule type="cellIs" dxfId="6141" priority="24" stopIfTrue="1" operator="between">
      <formula>79.1</formula>
      <formula>100</formula>
    </cfRule>
    <cfRule type="cellIs" dxfId="6140" priority="25" stopIfTrue="1" operator="between">
      <formula>34.1</formula>
      <formula>79</formula>
    </cfRule>
    <cfRule type="cellIs" dxfId="6139" priority="26" stopIfTrue="1" operator="between">
      <formula>13.1</formula>
      <formula>34</formula>
    </cfRule>
    <cfRule type="cellIs" dxfId="6138" priority="27" stopIfTrue="1" operator="between">
      <formula>5.1</formula>
      <formula>13</formula>
    </cfRule>
    <cfRule type="cellIs" dxfId="6137" priority="28" stopIfTrue="1" operator="between">
      <formula>0</formula>
      <formula>5</formula>
    </cfRule>
    <cfRule type="containsBlanks" dxfId="6136" priority="29" stopIfTrue="1">
      <formula>LEN(TRIM(E167))=0</formula>
    </cfRule>
  </conditionalFormatting>
  <conditionalFormatting sqref="Q167">
    <cfRule type="containsBlanks" dxfId="6135" priority="16" stopIfTrue="1">
      <formula>LEN(TRIM(Q167))=0</formula>
    </cfRule>
    <cfRule type="cellIs" dxfId="6134" priority="17" stopIfTrue="1" operator="between">
      <formula>80.1</formula>
      <formula>100</formula>
    </cfRule>
    <cfRule type="cellIs" dxfId="6133" priority="18" stopIfTrue="1" operator="between">
      <formula>35.1</formula>
      <formula>80</formula>
    </cfRule>
    <cfRule type="cellIs" dxfId="6132" priority="19" stopIfTrue="1" operator="between">
      <formula>14.1</formula>
      <formula>35</formula>
    </cfRule>
    <cfRule type="cellIs" dxfId="6131" priority="20" stopIfTrue="1" operator="between">
      <formula>5.1</formula>
      <formula>14</formula>
    </cfRule>
    <cfRule type="cellIs" dxfId="6130" priority="21" stopIfTrue="1" operator="between">
      <formula>0</formula>
      <formula>5</formula>
    </cfRule>
    <cfRule type="containsBlanks" dxfId="6129" priority="22" stopIfTrue="1">
      <formula>LEN(TRIM(Q167))=0</formula>
    </cfRule>
  </conditionalFormatting>
  <conditionalFormatting sqref="R167">
    <cfRule type="cellIs" dxfId="6128" priority="15" stopIfTrue="1" operator="equal">
      <formula>"NO"</formula>
    </cfRule>
  </conditionalFormatting>
  <conditionalFormatting sqref="S10:S268">
    <cfRule type="cellIs" dxfId="6127" priority="7" stopIfTrue="1" operator="equal">
      <formula>"INVIABLE SANITARIAMENTE"</formula>
    </cfRule>
  </conditionalFormatting>
  <conditionalFormatting sqref="S10:S268">
    <cfRule type="containsText" dxfId="6126" priority="2" stopIfTrue="1" operator="containsText" text="INVIABLE SANITARIAMENTE">
      <formula>NOT(ISERROR(SEARCH("INVIABLE SANITARIAMENTE",S10)))</formula>
    </cfRule>
    <cfRule type="containsText" dxfId="6125" priority="3" stopIfTrue="1" operator="containsText" text="ALTO">
      <formula>NOT(ISERROR(SEARCH("ALTO",S10)))</formula>
    </cfRule>
    <cfRule type="containsText" dxfId="6124" priority="4" stopIfTrue="1" operator="containsText" text="MEDIO">
      <formula>NOT(ISERROR(SEARCH("MEDIO",S10)))</formula>
    </cfRule>
    <cfRule type="containsText" dxfId="6123" priority="5" stopIfTrue="1" operator="containsText" text="BAJO">
      <formula>NOT(ISERROR(SEARCH("BAJO",S10)))</formula>
    </cfRule>
    <cfRule type="containsText" dxfId="6122" priority="6" stopIfTrue="1" operator="containsText" text="SIN RIESGO">
      <formula>NOT(ISERROR(SEARCH("SIN RIESGO",S10)))</formula>
    </cfRule>
  </conditionalFormatting>
  <conditionalFormatting sqref="S10:S268">
    <cfRule type="containsText" dxfId="6121" priority="1" stopIfTrue="1" operator="containsText" text="SIN RIESGO">
      <formula>NOT(ISERROR(SEARCH("SIN RIESGO",S10)))</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0"/>
  </sheetPr>
  <dimension ref="A1:W754"/>
  <sheetViews>
    <sheetView zoomScale="60" zoomScaleNormal="70" workbookViewId="0">
      <pane xSplit="3" ySplit="9" topLeftCell="D10" activePane="bottomRight" state="frozenSplit"/>
      <selection pane="topRight" activeCell="D1" sqref="D1"/>
      <selection pane="bottomLeft" activeCell="A10" sqref="A10"/>
      <selection pane="bottomRight" activeCell="A10" sqref="A10"/>
    </sheetView>
  </sheetViews>
  <sheetFormatPr baseColWidth="10" defaultColWidth="0" defaultRowHeight="12.75" zeroHeight="1"/>
  <cols>
    <col min="1" max="1" width="38.28515625" style="35" customWidth="1"/>
    <col min="2" max="2" width="48.140625" style="290" customWidth="1"/>
    <col min="3" max="3" width="52.5703125" style="290" customWidth="1"/>
    <col min="4" max="4" width="27.28515625" style="290" customWidth="1"/>
    <col min="5" max="18" width="10.7109375" style="289" customWidth="1"/>
    <col min="19" max="19" width="42.28515625" style="289" bestFit="1" customWidth="1"/>
    <col min="20" max="20" width="9.85546875" style="289" hidden="1" customWidth="1"/>
    <col min="21" max="16384" width="11.42578125" style="289" hidden="1"/>
  </cols>
  <sheetData>
    <row r="1" spans="1:23" s="280" customFormat="1" ht="18" customHeight="1">
      <c r="A1" s="129"/>
      <c r="B1" s="551" t="s">
        <v>258</v>
      </c>
      <c r="C1" s="551"/>
      <c r="D1" s="551"/>
      <c r="E1" s="131"/>
      <c r="F1" s="131"/>
      <c r="G1" s="131"/>
      <c r="H1" s="131"/>
      <c r="I1" s="131"/>
      <c r="J1" s="131"/>
      <c r="K1" s="131"/>
      <c r="L1" s="131"/>
      <c r="M1" s="131"/>
      <c r="N1" s="131"/>
      <c r="O1" s="131"/>
      <c r="P1" s="131"/>
      <c r="Q1" s="131"/>
      <c r="R1" s="132"/>
      <c r="S1" s="157" t="s">
        <v>546</v>
      </c>
      <c r="T1" s="3"/>
      <c r="U1" s="279"/>
      <c r="V1" s="279"/>
      <c r="W1" s="279"/>
    </row>
    <row r="2" spans="1:23" s="282" customFormat="1" ht="18" customHeight="1">
      <c r="A2" s="129"/>
      <c r="B2" s="552" t="s">
        <v>259</v>
      </c>
      <c r="C2" s="552"/>
      <c r="D2" s="552"/>
      <c r="E2" s="276"/>
      <c r="F2" s="276"/>
      <c r="G2" s="276"/>
      <c r="H2" s="276"/>
      <c r="I2" s="276"/>
      <c r="J2" s="276"/>
      <c r="K2" s="276"/>
      <c r="L2" s="276"/>
      <c r="M2" s="276"/>
      <c r="N2" s="276"/>
      <c r="O2" s="276"/>
      <c r="P2" s="276"/>
      <c r="Q2" s="276"/>
      <c r="R2" s="134"/>
      <c r="S2" s="160" t="s">
        <v>260</v>
      </c>
      <c r="T2" s="3"/>
      <c r="U2" s="281"/>
      <c r="V2" s="279"/>
      <c r="W2" s="279"/>
    </row>
    <row r="3" spans="1:23" s="280" customFormat="1" ht="18" customHeight="1">
      <c r="A3" s="129"/>
      <c r="B3" s="424" t="s">
        <v>4368</v>
      </c>
      <c r="C3" s="424"/>
      <c r="D3" s="424"/>
      <c r="E3" s="275"/>
      <c r="F3" s="275"/>
      <c r="G3" s="275"/>
      <c r="H3" s="275"/>
      <c r="I3" s="275"/>
      <c r="J3" s="275"/>
      <c r="K3" s="275"/>
      <c r="L3" s="275"/>
      <c r="M3" s="275"/>
      <c r="N3" s="275"/>
      <c r="O3" s="275"/>
      <c r="P3" s="275"/>
      <c r="Q3" s="275"/>
      <c r="R3" s="135"/>
      <c r="S3" s="160" t="s">
        <v>547</v>
      </c>
      <c r="T3" s="3"/>
      <c r="U3" s="279"/>
      <c r="V3" s="279"/>
      <c r="W3" s="279"/>
    </row>
    <row r="4" spans="1:23" s="280" customFormat="1" ht="18" customHeight="1">
      <c r="A4" s="129"/>
      <c r="B4" s="576" t="s">
        <v>4569</v>
      </c>
      <c r="C4" s="576"/>
      <c r="D4" s="576"/>
      <c r="E4" s="159"/>
      <c r="F4" s="159"/>
      <c r="G4" s="159"/>
      <c r="H4" s="159"/>
      <c r="I4" s="159"/>
      <c r="J4" s="159"/>
      <c r="K4" s="159"/>
      <c r="L4" s="159"/>
      <c r="M4" s="159"/>
      <c r="N4" s="159"/>
      <c r="O4" s="159"/>
      <c r="P4" s="159"/>
      <c r="Q4" s="159"/>
      <c r="R4" s="164"/>
      <c r="S4" s="160" t="s">
        <v>261</v>
      </c>
      <c r="T4" s="3"/>
      <c r="U4" s="279"/>
      <c r="V4" s="279"/>
      <c r="W4" s="279"/>
    </row>
    <row r="5" spans="1:23" s="283" customFormat="1" ht="15" customHeight="1">
      <c r="A5" s="257"/>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3" s="283" customFormat="1" ht="16.5" customHeight="1">
      <c r="A6" s="257"/>
      <c r="B6" s="558"/>
      <c r="C6" s="553"/>
      <c r="D6" s="557"/>
      <c r="E6" s="544"/>
      <c r="F6" s="544"/>
      <c r="G6" s="544"/>
      <c r="H6" s="539"/>
      <c r="I6" s="539"/>
      <c r="J6" s="539"/>
      <c r="K6" s="546"/>
      <c r="L6" s="546"/>
      <c r="M6" s="546"/>
      <c r="N6" s="543"/>
      <c r="O6" s="543"/>
      <c r="P6" s="543"/>
      <c r="Q6" s="562"/>
      <c r="R6" s="562"/>
      <c r="S6" s="538"/>
    </row>
    <row r="7" spans="1:23" s="283" customFormat="1" ht="27" customHeight="1">
      <c r="A7" s="260" t="s">
        <v>3566</v>
      </c>
      <c r="B7" s="122"/>
      <c r="C7" s="118"/>
      <c r="D7" s="118"/>
      <c r="E7" s="118"/>
      <c r="F7" s="118"/>
      <c r="G7" s="118"/>
      <c r="H7" s="118"/>
      <c r="I7" s="118"/>
      <c r="J7" s="118"/>
      <c r="K7" s="118"/>
      <c r="L7" s="118"/>
      <c r="M7" s="118"/>
      <c r="N7" s="118"/>
      <c r="O7" s="118"/>
      <c r="P7" s="118"/>
      <c r="Q7" s="118"/>
      <c r="R7" s="118"/>
      <c r="S7" s="123"/>
    </row>
    <row r="8" spans="1:23" s="284" customFormat="1" ht="18" customHeight="1">
      <c r="A8" s="556" t="s">
        <v>37</v>
      </c>
      <c r="B8" s="554" t="s">
        <v>38</v>
      </c>
      <c r="C8" s="554" t="s">
        <v>262</v>
      </c>
      <c r="D8" s="569" t="s">
        <v>454</v>
      </c>
      <c r="E8" s="540" t="s">
        <v>33</v>
      </c>
      <c r="F8" s="540"/>
      <c r="G8" s="540"/>
      <c r="H8" s="540"/>
      <c r="I8" s="540"/>
      <c r="J8" s="540"/>
      <c r="K8" s="540"/>
      <c r="L8" s="540"/>
      <c r="M8" s="540"/>
      <c r="N8" s="540"/>
      <c r="O8" s="540"/>
      <c r="P8" s="540"/>
      <c r="Q8" s="567" t="s">
        <v>34</v>
      </c>
      <c r="R8" s="567" t="s">
        <v>36</v>
      </c>
      <c r="S8" s="554" t="s">
        <v>35</v>
      </c>
      <c r="T8" s="11"/>
    </row>
    <row r="9" spans="1:23" s="284" customFormat="1" ht="24" customHeight="1">
      <c r="A9" s="572"/>
      <c r="B9" s="569"/>
      <c r="C9" s="569"/>
      <c r="D9" s="570"/>
      <c r="E9" s="274" t="s">
        <v>21</v>
      </c>
      <c r="F9" s="274" t="s">
        <v>22</v>
      </c>
      <c r="G9" s="274" t="s">
        <v>23</v>
      </c>
      <c r="H9" s="274" t="s">
        <v>24</v>
      </c>
      <c r="I9" s="274" t="s">
        <v>25</v>
      </c>
      <c r="J9" s="274" t="s">
        <v>26</v>
      </c>
      <c r="K9" s="274" t="s">
        <v>27</v>
      </c>
      <c r="L9" s="274" t="s">
        <v>28</v>
      </c>
      <c r="M9" s="274" t="s">
        <v>29</v>
      </c>
      <c r="N9" s="274" t="s">
        <v>30</v>
      </c>
      <c r="O9" s="274" t="s">
        <v>31</v>
      </c>
      <c r="P9" s="274" t="s">
        <v>32</v>
      </c>
      <c r="Q9" s="573"/>
      <c r="R9" s="577"/>
      <c r="S9" s="571"/>
      <c r="T9" s="11"/>
    </row>
    <row r="10" spans="1:23" s="284" customFormat="1" ht="32.1" customHeight="1">
      <c r="A10" s="419" t="s">
        <v>4090</v>
      </c>
      <c r="B10" s="487" t="s">
        <v>2730</v>
      </c>
      <c r="C10" s="488" t="s">
        <v>2731</v>
      </c>
      <c r="D10" s="261">
        <v>56</v>
      </c>
      <c r="E10" s="286"/>
      <c r="F10" s="286"/>
      <c r="G10" s="286"/>
      <c r="H10" s="286"/>
      <c r="I10" s="286"/>
      <c r="J10" s="286"/>
      <c r="K10" s="286"/>
      <c r="L10" s="286"/>
      <c r="M10" s="286"/>
      <c r="N10" s="286"/>
      <c r="O10" s="286">
        <v>97.3</v>
      </c>
      <c r="P10" s="286"/>
      <c r="Q10" s="204">
        <f t="shared" ref="Q10:Q32" si="0">AVERAGE(E10:P10)</f>
        <v>97.3</v>
      </c>
      <c r="R10" s="204" t="str">
        <f t="shared" ref="R10:R73" si="1">IF(Q10&lt;5,"SI","NO")</f>
        <v>NO</v>
      </c>
      <c r="S10" s="204" t="str">
        <f>IF(Q10&lt;=5,"Sin Riesgo",IF(Q10 &lt;=14,"Bajo",IF(Q10&lt;=35,"Medio",IF(Q10&lt;=80,"Alto","Inviable Sanitariamente"))))</f>
        <v>Inviable Sanitariamente</v>
      </c>
      <c r="T10" s="11"/>
    </row>
    <row r="11" spans="1:23" s="277" customFormat="1" ht="32.1" customHeight="1">
      <c r="A11" s="419" t="s">
        <v>4090</v>
      </c>
      <c r="B11" s="487" t="s">
        <v>2732</v>
      </c>
      <c r="C11" s="488" t="s">
        <v>2733</v>
      </c>
      <c r="D11" s="261">
        <v>50</v>
      </c>
      <c r="E11" s="286"/>
      <c r="F11" s="286"/>
      <c r="G11" s="286"/>
      <c r="H11" s="286"/>
      <c r="I11" s="286">
        <v>97.3</v>
      </c>
      <c r="J11" s="286"/>
      <c r="K11" s="286"/>
      <c r="L11" s="286"/>
      <c r="M11" s="286"/>
      <c r="N11" s="286"/>
      <c r="O11" s="286"/>
      <c r="P11" s="286"/>
      <c r="Q11" s="204">
        <f t="shared" si="0"/>
        <v>97.3</v>
      </c>
      <c r="R11" s="140" t="str">
        <f t="shared" si="1"/>
        <v>NO</v>
      </c>
      <c r="S11" s="204" t="str">
        <f t="shared" ref="S11:S74" si="2">IF(Q11&lt;=5,"Sin Riesgo",IF(Q11 &lt;=14,"Bajo",IF(Q11&lt;=35,"Medio",IF(Q11&lt;=80,"Alto","Inviable Sanitariamente"))))</f>
        <v>Inviable Sanitariamente</v>
      </c>
    </row>
    <row r="12" spans="1:23" s="277" customFormat="1" ht="32.1" customHeight="1">
      <c r="A12" s="419" t="s">
        <v>4090</v>
      </c>
      <c r="B12" s="487" t="s">
        <v>1404</v>
      </c>
      <c r="C12" s="488" t="s">
        <v>2734</v>
      </c>
      <c r="D12" s="261">
        <v>24</v>
      </c>
      <c r="E12" s="286"/>
      <c r="F12" s="286"/>
      <c r="G12" s="286"/>
      <c r="H12" s="286"/>
      <c r="I12" s="286"/>
      <c r="J12" s="286"/>
      <c r="K12" s="286">
        <v>97.3</v>
      </c>
      <c r="L12" s="286"/>
      <c r="M12" s="286"/>
      <c r="N12" s="286"/>
      <c r="O12" s="286"/>
      <c r="P12" s="286"/>
      <c r="Q12" s="204">
        <f t="shared" si="0"/>
        <v>97.3</v>
      </c>
      <c r="R12" s="140" t="str">
        <f t="shared" si="1"/>
        <v>NO</v>
      </c>
      <c r="S12" s="204" t="str">
        <f t="shared" si="2"/>
        <v>Inviable Sanitariamente</v>
      </c>
    </row>
    <row r="13" spans="1:23" s="277" customFormat="1" ht="32.1" customHeight="1">
      <c r="A13" s="419" t="s">
        <v>4090</v>
      </c>
      <c r="B13" s="487" t="s">
        <v>2735</v>
      </c>
      <c r="C13" s="488" t="s">
        <v>2736</v>
      </c>
      <c r="D13" s="261">
        <v>12</v>
      </c>
      <c r="E13" s="286"/>
      <c r="F13" s="286"/>
      <c r="G13" s="286"/>
      <c r="H13" s="286"/>
      <c r="I13" s="286"/>
      <c r="J13" s="286"/>
      <c r="K13" s="286"/>
      <c r="L13" s="286"/>
      <c r="M13" s="286">
        <v>97.3</v>
      </c>
      <c r="N13" s="286"/>
      <c r="O13" s="286"/>
      <c r="P13" s="286"/>
      <c r="Q13" s="204">
        <f t="shared" si="0"/>
        <v>97.3</v>
      </c>
      <c r="R13" s="140" t="str">
        <f t="shared" si="1"/>
        <v>NO</v>
      </c>
      <c r="S13" s="204" t="str">
        <f t="shared" si="2"/>
        <v>Inviable Sanitariamente</v>
      </c>
    </row>
    <row r="14" spans="1:23" s="277" customFormat="1" ht="32.1" customHeight="1">
      <c r="A14" s="419" t="s">
        <v>4090</v>
      </c>
      <c r="B14" s="487" t="s">
        <v>2737</v>
      </c>
      <c r="C14" s="488" t="s">
        <v>2738</v>
      </c>
      <c r="D14" s="261">
        <v>39</v>
      </c>
      <c r="E14" s="286"/>
      <c r="F14" s="286"/>
      <c r="G14" s="286"/>
      <c r="H14" s="286"/>
      <c r="I14" s="286"/>
      <c r="J14" s="286"/>
      <c r="K14" s="286">
        <v>97.3</v>
      </c>
      <c r="L14" s="286"/>
      <c r="M14" s="286"/>
      <c r="N14" s="286"/>
      <c r="O14" s="286"/>
      <c r="P14" s="286"/>
      <c r="Q14" s="204">
        <f t="shared" si="0"/>
        <v>97.3</v>
      </c>
      <c r="R14" s="140" t="str">
        <f t="shared" si="1"/>
        <v>NO</v>
      </c>
      <c r="S14" s="204" t="str">
        <f t="shared" si="2"/>
        <v>Inviable Sanitariamente</v>
      </c>
    </row>
    <row r="15" spans="1:23" s="277" customFormat="1" ht="32.1" customHeight="1">
      <c r="A15" s="419" t="s">
        <v>4090</v>
      </c>
      <c r="B15" s="487" t="s">
        <v>2739</v>
      </c>
      <c r="C15" s="488" t="s">
        <v>2740</v>
      </c>
      <c r="D15" s="261">
        <v>31</v>
      </c>
      <c r="E15" s="286"/>
      <c r="F15" s="286"/>
      <c r="G15" s="286"/>
      <c r="H15" s="286"/>
      <c r="I15" s="286"/>
      <c r="J15" s="286">
        <v>97.3</v>
      </c>
      <c r="K15" s="286"/>
      <c r="L15" s="286"/>
      <c r="M15" s="286"/>
      <c r="N15" s="286"/>
      <c r="O15" s="286"/>
      <c r="P15" s="286"/>
      <c r="Q15" s="204">
        <f t="shared" si="0"/>
        <v>97.3</v>
      </c>
      <c r="R15" s="140" t="str">
        <f t="shared" si="1"/>
        <v>NO</v>
      </c>
      <c r="S15" s="204" t="str">
        <f t="shared" si="2"/>
        <v>Inviable Sanitariamente</v>
      </c>
    </row>
    <row r="16" spans="1:23" s="277" customFormat="1" ht="32.1" customHeight="1">
      <c r="A16" s="419" t="s">
        <v>4090</v>
      </c>
      <c r="B16" s="487" t="s">
        <v>1119</v>
      </c>
      <c r="C16" s="488" t="s">
        <v>2741</v>
      </c>
      <c r="D16" s="262">
        <v>15</v>
      </c>
      <c r="E16" s="286"/>
      <c r="F16" s="286"/>
      <c r="G16" s="286"/>
      <c r="H16" s="286">
        <v>97.3</v>
      </c>
      <c r="I16" s="286"/>
      <c r="J16" s="286"/>
      <c r="K16" s="286"/>
      <c r="L16" s="286"/>
      <c r="M16" s="286"/>
      <c r="N16" s="286"/>
      <c r="O16" s="286"/>
      <c r="P16" s="286"/>
      <c r="Q16" s="204">
        <f t="shared" si="0"/>
        <v>97.3</v>
      </c>
      <c r="R16" s="140" t="str">
        <f t="shared" si="1"/>
        <v>NO</v>
      </c>
      <c r="S16" s="204" t="str">
        <f t="shared" si="2"/>
        <v>Inviable Sanitariamente</v>
      </c>
    </row>
    <row r="17" spans="1:19" s="277" customFormat="1" ht="32.1" customHeight="1">
      <c r="A17" s="419" t="s">
        <v>4091</v>
      </c>
      <c r="B17" s="487" t="s">
        <v>2742</v>
      </c>
      <c r="C17" s="488" t="s">
        <v>2743</v>
      </c>
      <c r="D17" s="119">
        <v>70</v>
      </c>
      <c r="E17" s="286"/>
      <c r="F17" s="286"/>
      <c r="G17" s="286">
        <v>97</v>
      </c>
      <c r="H17" s="286"/>
      <c r="I17" s="286"/>
      <c r="J17" s="286"/>
      <c r="K17" s="286"/>
      <c r="L17" s="286"/>
      <c r="M17" s="286"/>
      <c r="N17" s="286"/>
      <c r="O17" s="286"/>
      <c r="P17" s="286"/>
      <c r="Q17" s="204">
        <f t="shared" si="0"/>
        <v>97</v>
      </c>
      <c r="R17" s="140" t="str">
        <f t="shared" si="1"/>
        <v>NO</v>
      </c>
      <c r="S17" s="204" t="str">
        <f t="shared" si="2"/>
        <v>Inviable Sanitariamente</v>
      </c>
    </row>
    <row r="18" spans="1:19" s="277" customFormat="1" ht="32.1" customHeight="1">
      <c r="A18" s="419" t="s">
        <v>4091</v>
      </c>
      <c r="B18" s="487" t="s">
        <v>240</v>
      </c>
      <c r="C18" s="110" t="s">
        <v>2744</v>
      </c>
      <c r="D18" s="119">
        <v>121</v>
      </c>
      <c r="E18" s="286"/>
      <c r="F18" s="286"/>
      <c r="G18" s="286"/>
      <c r="H18" s="286">
        <v>97</v>
      </c>
      <c r="I18" s="286"/>
      <c r="J18" s="286"/>
      <c r="K18" s="286"/>
      <c r="L18" s="286"/>
      <c r="M18" s="286"/>
      <c r="N18" s="286"/>
      <c r="O18" s="286"/>
      <c r="P18" s="286"/>
      <c r="Q18" s="204">
        <f t="shared" si="0"/>
        <v>97</v>
      </c>
      <c r="R18" s="140" t="str">
        <f t="shared" si="1"/>
        <v>NO</v>
      </c>
      <c r="S18" s="204" t="str">
        <f t="shared" si="2"/>
        <v>Inviable Sanitariamente</v>
      </c>
    </row>
    <row r="19" spans="1:19" s="277" customFormat="1" ht="32.1" customHeight="1">
      <c r="A19" s="419" t="s">
        <v>4091</v>
      </c>
      <c r="B19" s="487" t="s">
        <v>2745</v>
      </c>
      <c r="C19" s="487" t="s">
        <v>2746</v>
      </c>
      <c r="D19" s="119">
        <v>49</v>
      </c>
      <c r="E19" s="286"/>
      <c r="F19" s="286"/>
      <c r="G19" s="286">
        <v>97</v>
      </c>
      <c r="H19" s="286"/>
      <c r="I19" s="286"/>
      <c r="J19" s="286"/>
      <c r="K19" s="286"/>
      <c r="L19" s="286"/>
      <c r="M19" s="286"/>
      <c r="N19" s="286"/>
      <c r="O19" s="286"/>
      <c r="P19" s="286"/>
      <c r="Q19" s="204">
        <f t="shared" si="0"/>
        <v>97</v>
      </c>
      <c r="R19" s="140" t="str">
        <f t="shared" si="1"/>
        <v>NO</v>
      </c>
      <c r="S19" s="204" t="str">
        <f t="shared" si="2"/>
        <v>Inviable Sanitariamente</v>
      </c>
    </row>
    <row r="20" spans="1:19" s="277" customFormat="1" ht="32.1" customHeight="1">
      <c r="A20" s="419" t="s">
        <v>4091</v>
      </c>
      <c r="B20" s="487" t="s">
        <v>2747</v>
      </c>
      <c r="C20" s="487" t="s">
        <v>2748</v>
      </c>
      <c r="D20" s="119">
        <v>285</v>
      </c>
      <c r="E20" s="286"/>
      <c r="F20" s="286">
        <v>0</v>
      </c>
      <c r="G20" s="286">
        <v>0</v>
      </c>
      <c r="H20" s="286">
        <v>0</v>
      </c>
      <c r="I20" s="286">
        <v>0</v>
      </c>
      <c r="J20" s="286"/>
      <c r="K20" s="286"/>
      <c r="L20" s="286"/>
      <c r="M20" s="286"/>
      <c r="N20" s="286"/>
      <c r="O20" s="286"/>
      <c r="P20" s="286"/>
      <c r="Q20" s="204">
        <f t="shared" si="0"/>
        <v>0</v>
      </c>
      <c r="R20" s="140" t="str">
        <f t="shared" si="1"/>
        <v>SI</v>
      </c>
      <c r="S20" s="204" t="str">
        <f t="shared" si="2"/>
        <v>Sin Riesgo</v>
      </c>
    </row>
    <row r="21" spans="1:19" s="277" customFormat="1" ht="32.1" customHeight="1">
      <c r="A21" s="419" t="s">
        <v>4091</v>
      </c>
      <c r="B21" s="487" t="s">
        <v>2749</v>
      </c>
      <c r="C21" s="487" t="s">
        <v>2750</v>
      </c>
      <c r="D21" s="119">
        <v>48</v>
      </c>
      <c r="E21" s="286"/>
      <c r="F21" s="286"/>
      <c r="G21" s="286"/>
      <c r="H21" s="286">
        <v>97</v>
      </c>
      <c r="I21" s="286"/>
      <c r="J21" s="286"/>
      <c r="K21" s="286"/>
      <c r="L21" s="286"/>
      <c r="M21" s="286"/>
      <c r="N21" s="286"/>
      <c r="O21" s="286"/>
      <c r="P21" s="286"/>
      <c r="Q21" s="204">
        <f t="shared" si="0"/>
        <v>97</v>
      </c>
      <c r="R21" s="140" t="str">
        <f t="shared" si="1"/>
        <v>NO</v>
      </c>
      <c r="S21" s="204" t="str">
        <f t="shared" si="2"/>
        <v>Inviable Sanitariamente</v>
      </c>
    </row>
    <row r="22" spans="1:19" s="277" customFormat="1" ht="32.1" customHeight="1">
      <c r="A22" s="419" t="s">
        <v>4091</v>
      </c>
      <c r="B22" s="487" t="s">
        <v>2751</v>
      </c>
      <c r="C22" s="487" t="s">
        <v>2752</v>
      </c>
      <c r="D22" s="119">
        <v>72</v>
      </c>
      <c r="E22" s="286"/>
      <c r="F22" s="286">
        <v>97</v>
      </c>
      <c r="G22" s="286"/>
      <c r="H22" s="286"/>
      <c r="I22" s="286"/>
      <c r="J22" s="286"/>
      <c r="K22" s="286"/>
      <c r="L22" s="286"/>
      <c r="M22" s="286"/>
      <c r="N22" s="286"/>
      <c r="O22" s="286"/>
      <c r="P22" s="286"/>
      <c r="Q22" s="204">
        <f t="shared" si="0"/>
        <v>97</v>
      </c>
      <c r="R22" s="140" t="str">
        <f t="shared" si="1"/>
        <v>NO</v>
      </c>
      <c r="S22" s="204" t="str">
        <f t="shared" si="2"/>
        <v>Inviable Sanitariamente</v>
      </c>
    </row>
    <row r="23" spans="1:19" s="277" customFormat="1" ht="32.1" customHeight="1">
      <c r="A23" s="419" t="s">
        <v>4091</v>
      </c>
      <c r="B23" s="487" t="s">
        <v>2753</v>
      </c>
      <c r="C23" s="487" t="s">
        <v>2754</v>
      </c>
      <c r="D23" s="119">
        <v>52</v>
      </c>
      <c r="E23" s="286"/>
      <c r="F23" s="286"/>
      <c r="G23" s="286"/>
      <c r="H23" s="286">
        <v>97</v>
      </c>
      <c r="I23" s="286"/>
      <c r="J23" s="286"/>
      <c r="K23" s="286"/>
      <c r="L23" s="286"/>
      <c r="M23" s="286"/>
      <c r="N23" s="286"/>
      <c r="O23" s="286"/>
      <c r="P23" s="286"/>
      <c r="Q23" s="204">
        <f t="shared" si="0"/>
        <v>97</v>
      </c>
      <c r="R23" s="140" t="str">
        <f t="shared" si="1"/>
        <v>NO</v>
      </c>
      <c r="S23" s="204" t="str">
        <f t="shared" si="2"/>
        <v>Inviable Sanitariamente</v>
      </c>
    </row>
    <row r="24" spans="1:19" s="277" customFormat="1" ht="32.1" customHeight="1">
      <c r="A24" s="419" t="s">
        <v>4091</v>
      </c>
      <c r="B24" s="487" t="s">
        <v>2755</v>
      </c>
      <c r="C24" s="487" t="s">
        <v>2756</v>
      </c>
      <c r="D24" s="114">
        <v>137</v>
      </c>
      <c r="E24" s="286"/>
      <c r="F24" s="286"/>
      <c r="G24" s="286"/>
      <c r="H24" s="286"/>
      <c r="I24" s="286">
        <v>97</v>
      </c>
      <c r="J24" s="286"/>
      <c r="K24" s="286"/>
      <c r="L24" s="286"/>
      <c r="M24" s="286"/>
      <c r="N24" s="286"/>
      <c r="O24" s="286"/>
      <c r="P24" s="286"/>
      <c r="Q24" s="204">
        <f t="shared" si="0"/>
        <v>97</v>
      </c>
      <c r="R24" s="140" t="str">
        <f t="shared" si="1"/>
        <v>NO</v>
      </c>
      <c r="S24" s="204" t="str">
        <f t="shared" si="2"/>
        <v>Inviable Sanitariamente</v>
      </c>
    </row>
    <row r="25" spans="1:19" s="277" customFormat="1" ht="32.1" customHeight="1">
      <c r="A25" s="419" t="s">
        <v>4091</v>
      </c>
      <c r="B25" s="487" t="s">
        <v>1881</v>
      </c>
      <c r="C25" s="487" t="s">
        <v>2757</v>
      </c>
      <c r="D25" s="119">
        <v>50</v>
      </c>
      <c r="E25" s="286"/>
      <c r="F25" s="286">
        <v>97</v>
      </c>
      <c r="G25" s="286"/>
      <c r="H25" s="286"/>
      <c r="I25" s="286"/>
      <c r="J25" s="286"/>
      <c r="K25" s="286"/>
      <c r="L25" s="286"/>
      <c r="M25" s="286"/>
      <c r="N25" s="286"/>
      <c r="O25" s="286"/>
      <c r="P25" s="286"/>
      <c r="Q25" s="204">
        <f t="shared" si="0"/>
        <v>97</v>
      </c>
      <c r="R25" s="140" t="str">
        <f t="shared" si="1"/>
        <v>NO</v>
      </c>
      <c r="S25" s="204" t="str">
        <f t="shared" si="2"/>
        <v>Inviable Sanitariamente</v>
      </c>
    </row>
    <row r="26" spans="1:19" s="277" customFormat="1" ht="32.1" customHeight="1">
      <c r="A26" s="419" t="s">
        <v>4091</v>
      </c>
      <c r="B26" s="487" t="s">
        <v>2758</v>
      </c>
      <c r="C26" s="487" t="s">
        <v>2759</v>
      </c>
      <c r="D26" s="119">
        <v>78</v>
      </c>
      <c r="E26" s="286"/>
      <c r="F26" s="286"/>
      <c r="G26" s="286">
        <v>97</v>
      </c>
      <c r="H26" s="286"/>
      <c r="I26" s="286"/>
      <c r="J26" s="286"/>
      <c r="K26" s="286"/>
      <c r="L26" s="286"/>
      <c r="M26" s="286"/>
      <c r="N26" s="286"/>
      <c r="O26" s="286"/>
      <c r="P26" s="286"/>
      <c r="Q26" s="204">
        <f t="shared" si="0"/>
        <v>97</v>
      </c>
      <c r="R26" s="140" t="str">
        <f t="shared" si="1"/>
        <v>NO</v>
      </c>
      <c r="S26" s="204" t="str">
        <f t="shared" si="2"/>
        <v>Inviable Sanitariamente</v>
      </c>
    </row>
    <row r="27" spans="1:19" s="277" customFormat="1" ht="32.1" customHeight="1">
      <c r="A27" s="419" t="s">
        <v>4091</v>
      </c>
      <c r="B27" s="487" t="s">
        <v>92</v>
      </c>
      <c r="C27" s="487" t="s">
        <v>2760</v>
      </c>
      <c r="D27" s="114"/>
      <c r="E27" s="286"/>
      <c r="F27" s="286"/>
      <c r="G27" s="286"/>
      <c r="H27" s="286"/>
      <c r="I27" s="286"/>
      <c r="J27" s="286"/>
      <c r="K27" s="286"/>
      <c r="L27" s="286"/>
      <c r="M27" s="286"/>
      <c r="N27" s="286"/>
      <c r="O27" s="286"/>
      <c r="P27" s="286"/>
      <c r="Q27" s="204" t="e">
        <f t="shared" si="0"/>
        <v>#DIV/0!</v>
      </c>
      <c r="R27" s="140" t="e">
        <f t="shared" si="1"/>
        <v>#DIV/0!</v>
      </c>
      <c r="S27" s="204" t="e">
        <f t="shared" si="2"/>
        <v>#DIV/0!</v>
      </c>
    </row>
    <row r="28" spans="1:19" s="277" customFormat="1" ht="32.1" customHeight="1">
      <c r="A28" s="419" t="s">
        <v>4091</v>
      </c>
      <c r="B28" s="487" t="s">
        <v>10</v>
      </c>
      <c r="C28" s="487" t="s">
        <v>2761</v>
      </c>
      <c r="D28" s="119">
        <v>75</v>
      </c>
      <c r="E28" s="286"/>
      <c r="F28" s="286">
        <v>97</v>
      </c>
      <c r="G28" s="286"/>
      <c r="H28" s="286"/>
      <c r="I28" s="286"/>
      <c r="J28" s="286"/>
      <c r="K28" s="286"/>
      <c r="L28" s="286"/>
      <c r="M28" s="286"/>
      <c r="N28" s="286"/>
      <c r="O28" s="286"/>
      <c r="P28" s="286"/>
      <c r="Q28" s="204">
        <f t="shared" si="0"/>
        <v>97</v>
      </c>
      <c r="R28" s="140" t="str">
        <f t="shared" si="1"/>
        <v>NO</v>
      </c>
      <c r="S28" s="204" t="str">
        <f t="shared" si="2"/>
        <v>Inviable Sanitariamente</v>
      </c>
    </row>
    <row r="29" spans="1:19" s="277" customFormat="1" ht="32.1" customHeight="1">
      <c r="A29" s="419" t="s">
        <v>4091</v>
      </c>
      <c r="B29" s="487" t="s">
        <v>2548</v>
      </c>
      <c r="C29" s="487" t="s">
        <v>2762</v>
      </c>
      <c r="D29" s="119">
        <v>28</v>
      </c>
      <c r="E29" s="286"/>
      <c r="F29" s="286"/>
      <c r="G29" s="286"/>
      <c r="H29" s="286"/>
      <c r="I29" s="286">
        <v>97</v>
      </c>
      <c r="J29" s="286"/>
      <c r="K29" s="286"/>
      <c r="L29" s="286"/>
      <c r="M29" s="286"/>
      <c r="N29" s="286"/>
      <c r="O29" s="286"/>
      <c r="P29" s="286"/>
      <c r="Q29" s="204">
        <f t="shared" si="0"/>
        <v>97</v>
      </c>
      <c r="R29" s="140" t="str">
        <f t="shared" si="1"/>
        <v>NO</v>
      </c>
      <c r="S29" s="204" t="str">
        <f t="shared" si="2"/>
        <v>Inviable Sanitariamente</v>
      </c>
    </row>
    <row r="30" spans="1:19" s="277" customFormat="1" ht="32.1" customHeight="1">
      <c r="A30" s="419" t="s">
        <v>4091</v>
      </c>
      <c r="B30" s="487" t="s">
        <v>2232</v>
      </c>
      <c r="C30" s="487" t="s">
        <v>2763</v>
      </c>
      <c r="D30" s="114">
        <v>98</v>
      </c>
      <c r="E30" s="286"/>
      <c r="F30" s="286">
        <v>97</v>
      </c>
      <c r="G30" s="286"/>
      <c r="H30" s="286"/>
      <c r="I30" s="286"/>
      <c r="J30" s="286"/>
      <c r="K30" s="286"/>
      <c r="L30" s="286"/>
      <c r="M30" s="286"/>
      <c r="N30" s="286"/>
      <c r="O30" s="286"/>
      <c r="P30" s="286"/>
      <c r="Q30" s="204">
        <f t="shared" si="0"/>
        <v>97</v>
      </c>
      <c r="R30" s="140" t="str">
        <f t="shared" si="1"/>
        <v>NO</v>
      </c>
      <c r="S30" s="204" t="str">
        <f t="shared" si="2"/>
        <v>Inviable Sanitariamente</v>
      </c>
    </row>
    <row r="31" spans="1:19" s="277" customFormat="1" ht="32.1" customHeight="1">
      <c r="A31" s="419" t="s">
        <v>4091</v>
      </c>
      <c r="B31" s="487" t="s">
        <v>2764</v>
      </c>
      <c r="C31" s="487" t="s">
        <v>2765</v>
      </c>
      <c r="D31" s="119">
        <v>46</v>
      </c>
      <c r="E31" s="286"/>
      <c r="F31" s="286"/>
      <c r="G31" s="286"/>
      <c r="H31" s="286"/>
      <c r="I31" s="286">
        <v>97</v>
      </c>
      <c r="J31" s="286"/>
      <c r="K31" s="286"/>
      <c r="L31" s="286"/>
      <c r="M31" s="286"/>
      <c r="N31" s="286"/>
      <c r="O31" s="286"/>
      <c r="P31" s="286"/>
      <c r="Q31" s="204">
        <f t="shared" si="0"/>
        <v>97</v>
      </c>
      <c r="R31" s="140" t="str">
        <f t="shared" si="1"/>
        <v>NO</v>
      </c>
      <c r="S31" s="204" t="str">
        <f t="shared" si="2"/>
        <v>Inviable Sanitariamente</v>
      </c>
    </row>
    <row r="32" spans="1:19" s="277" customFormat="1" ht="32.1" customHeight="1">
      <c r="A32" s="419" t="s">
        <v>4091</v>
      </c>
      <c r="B32" s="487" t="s">
        <v>1899</v>
      </c>
      <c r="C32" s="487" t="s">
        <v>2766</v>
      </c>
      <c r="D32" s="119"/>
      <c r="E32" s="286"/>
      <c r="F32" s="286"/>
      <c r="G32" s="286"/>
      <c r="H32" s="286"/>
      <c r="I32" s="286"/>
      <c r="J32" s="286"/>
      <c r="K32" s="286"/>
      <c r="L32" s="286"/>
      <c r="M32" s="286"/>
      <c r="N32" s="286"/>
      <c r="O32" s="286"/>
      <c r="P32" s="286"/>
      <c r="Q32" s="204" t="e">
        <f t="shared" si="0"/>
        <v>#DIV/0!</v>
      </c>
      <c r="R32" s="140" t="e">
        <f t="shared" si="1"/>
        <v>#DIV/0!</v>
      </c>
      <c r="S32" s="204" t="e">
        <f t="shared" si="2"/>
        <v>#DIV/0!</v>
      </c>
    </row>
    <row r="33" spans="1:19" s="277" customFormat="1" ht="32.1" customHeight="1">
      <c r="A33" s="419" t="s">
        <v>4091</v>
      </c>
      <c r="B33" s="487" t="s">
        <v>2767</v>
      </c>
      <c r="C33" s="487" t="s">
        <v>2768</v>
      </c>
      <c r="D33" s="119">
        <v>113</v>
      </c>
      <c r="E33" s="286"/>
      <c r="F33" s="286"/>
      <c r="G33" s="286">
        <v>97</v>
      </c>
      <c r="H33" s="286"/>
      <c r="I33" s="286"/>
      <c r="J33" s="286"/>
      <c r="K33" s="286"/>
      <c r="L33" s="286"/>
      <c r="M33" s="286"/>
      <c r="N33" s="286"/>
      <c r="O33" s="286"/>
      <c r="P33" s="286"/>
      <c r="Q33" s="204">
        <f>AVERAGE(F33:P33)</f>
        <v>97</v>
      </c>
      <c r="R33" s="140" t="str">
        <f t="shared" si="1"/>
        <v>NO</v>
      </c>
      <c r="S33" s="204" t="str">
        <f t="shared" si="2"/>
        <v>Inviable Sanitariamente</v>
      </c>
    </row>
    <row r="34" spans="1:19" s="277" customFormat="1" ht="32.1" customHeight="1">
      <c r="A34" s="419" t="s">
        <v>4091</v>
      </c>
      <c r="B34" s="487" t="s">
        <v>2769</v>
      </c>
      <c r="C34" s="487" t="s">
        <v>2770</v>
      </c>
      <c r="D34" s="119">
        <v>70</v>
      </c>
      <c r="E34" s="286"/>
      <c r="F34" s="286">
        <v>97</v>
      </c>
      <c r="G34" s="286"/>
      <c r="H34" s="286"/>
      <c r="I34" s="286"/>
      <c r="J34" s="286"/>
      <c r="K34" s="286"/>
      <c r="L34" s="286"/>
      <c r="M34" s="286"/>
      <c r="N34" s="286"/>
      <c r="O34" s="286"/>
      <c r="P34" s="286"/>
      <c r="Q34" s="204">
        <f t="shared" ref="Q34:Q109" si="3">AVERAGE(E34:P34)</f>
        <v>97</v>
      </c>
      <c r="R34" s="140" t="str">
        <f t="shared" si="1"/>
        <v>NO</v>
      </c>
      <c r="S34" s="204" t="str">
        <f t="shared" si="2"/>
        <v>Inviable Sanitariamente</v>
      </c>
    </row>
    <row r="35" spans="1:19" s="277" customFormat="1" ht="32.1" customHeight="1">
      <c r="A35" s="419" t="s">
        <v>89</v>
      </c>
      <c r="B35" s="238" t="s">
        <v>2771</v>
      </c>
      <c r="C35" s="238" t="s">
        <v>2772</v>
      </c>
      <c r="D35" s="119">
        <v>55</v>
      </c>
      <c r="E35" s="286"/>
      <c r="F35" s="286"/>
      <c r="G35" s="286"/>
      <c r="H35" s="286"/>
      <c r="I35" s="286"/>
      <c r="J35" s="286"/>
      <c r="K35" s="286"/>
      <c r="L35" s="286"/>
      <c r="M35" s="286"/>
      <c r="N35" s="286"/>
      <c r="O35" s="286">
        <v>53</v>
      </c>
      <c r="P35" s="286"/>
      <c r="Q35" s="204">
        <f t="shared" si="3"/>
        <v>53</v>
      </c>
      <c r="R35" s="204" t="str">
        <f t="shared" si="1"/>
        <v>NO</v>
      </c>
      <c r="S35" s="204" t="str">
        <f t="shared" si="2"/>
        <v>Alto</v>
      </c>
    </row>
    <row r="36" spans="1:19" s="277" customFormat="1" ht="32.1" customHeight="1">
      <c r="A36" s="419" t="s">
        <v>89</v>
      </c>
      <c r="B36" s="238" t="s">
        <v>2773</v>
      </c>
      <c r="C36" s="238" t="s">
        <v>2774</v>
      </c>
      <c r="D36" s="119">
        <v>132</v>
      </c>
      <c r="E36" s="286"/>
      <c r="F36" s="286"/>
      <c r="G36" s="286"/>
      <c r="H36" s="286"/>
      <c r="I36" s="286"/>
      <c r="J36" s="286">
        <v>0</v>
      </c>
      <c r="K36" s="286"/>
      <c r="L36" s="286"/>
      <c r="M36" s="286"/>
      <c r="N36" s="286"/>
      <c r="O36" s="286">
        <v>53</v>
      </c>
      <c r="P36" s="286"/>
      <c r="Q36" s="204">
        <f t="shared" si="3"/>
        <v>26.5</v>
      </c>
      <c r="R36" s="204" t="str">
        <f t="shared" si="1"/>
        <v>NO</v>
      </c>
      <c r="S36" s="204" t="str">
        <f t="shared" si="2"/>
        <v>Medio</v>
      </c>
    </row>
    <row r="37" spans="1:19" s="277" customFormat="1" ht="32.1" customHeight="1">
      <c r="A37" s="419" t="s">
        <v>89</v>
      </c>
      <c r="B37" s="238" t="s">
        <v>10</v>
      </c>
      <c r="C37" s="238" t="s">
        <v>2775</v>
      </c>
      <c r="D37" s="119">
        <v>56</v>
      </c>
      <c r="E37" s="286"/>
      <c r="F37" s="286"/>
      <c r="G37" s="286"/>
      <c r="H37" s="286"/>
      <c r="I37" s="286"/>
      <c r="J37" s="286">
        <v>100</v>
      </c>
      <c r="K37" s="286"/>
      <c r="L37" s="286"/>
      <c r="M37" s="286"/>
      <c r="N37" s="286"/>
      <c r="O37" s="286">
        <v>97</v>
      </c>
      <c r="P37" s="286"/>
      <c r="Q37" s="204">
        <f t="shared" si="3"/>
        <v>98.5</v>
      </c>
      <c r="R37" s="204" t="str">
        <f t="shared" si="1"/>
        <v>NO</v>
      </c>
      <c r="S37" s="204" t="str">
        <f t="shared" si="2"/>
        <v>Inviable Sanitariamente</v>
      </c>
    </row>
    <row r="38" spans="1:19" s="277" customFormat="1" ht="32.1" customHeight="1">
      <c r="A38" s="419" t="s">
        <v>89</v>
      </c>
      <c r="B38" s="238" t="s">
        <v>1077</v>
      </c>
      <c r="C38" s="238" t="s">
        <v>2776</v>
      </c>
      <c r="D38" s="119"/>
      <c r="E38" s="286"/>
      <c r="F38" s="286"/>
      <c r="G38" s="286"/>
      <c r="H38" s="286"/>
      <c r="I38" s="286"/>
      <c r="J38" s="286"/>
      <c r="K38" s="286"/>
      <c r="L38" s="286"/>
      <c r="M38" s="286"/>
      <c r="N38" s="286"/>
      <c r="O38" s="286"/>
      <c r="P38" s="286"/>
      <c r="Q38" s="204" t="e">
        <f t="shared" si="3"/>
        <v>#DIV/0!</v>
      </c>
      <c r="R38" s="204" t="e">
        <f t="shared" si="1"/>
        <v>#DIV/0!</v>
      </c>
      <c r="S38" s="204" t="e">
        <f t="shared" si="2"/>
        <v>#DIV/0!</v>
      </c>
    </row>
    <row r="39" spans="1:19" s="277" customFormat="1" ht="32.1" customHeight="1">
      <c r="A39" s="419" t="s">
        <v>2777</v>
      </c>
      <c r="B39" s="238" t="s">
        <v>2778</v>
      </c>
      <c r="C39" s="238" t="s">
        <v>2779</v>
      </c>
      <c r="D39" s="119">
        <v>73</v>
      </c>
      <c r="E39" s="286"/>
      <c r="F39" s="286"/>
      <c r="G39" s="286"/>
      <c r="H39" s="286"/>
      <c r="I39" s="286"/>
      <c r="J39" s="286"/>
      <c r="K39" s="286"/>
      <c r="L39" s="286"/>
      <c r="M39" s="286">
        <v>97.35</v>
      </c>
      <c r="N39" s="286"/>
      <c r="O39" s="286"/>
      <c r="P39" s="286"/>
      <c r="Q39" s="204">
        <f t="shared" si="3"/>
        <v>97.35</v>
      </c>
      <c r="R39" s="204" t="str">
        <f t="shared" si="1"/>
        <v>NO</v>
      </c>
      <c r="S39" s="204" t="str">
        <f t="shared" si="2"/>
        <v>Inviable Sanitariamente</v>
      </c>
    </row>
    <row r="40" spans="1:19" s="277" customFormat="1" ht="32.1" customHeight="1">
      <c r="A40" s="419" t="s">
        <v>2777</v>
      </c>
      <c r="B40" s="238" t="s">
        <v>2780</v>
      </c>
      <c r="C40" s="238" t="s">
        <v>2781</v>
      </c>
      <c r="D40" s="119">
        <v>120</v>
      </c>
      <c r="E40" s="286">
        <v>97.35</v>
      </c>
      <c r="F40" s="286">
        <v>97.35</v>
      </c>
      <c r="G40" s="286">
        <v>97.35</v>
      </c>
      <c r="H40" s="286">
        <v>97.35</v>
      </c>
      <c r="I40" s="286">
        <v>97.35</v>
      </c>
      <c r="J40" s="286">
        <v>97.35</v>
      </c>
      <c r="K40" s="286">
        <v>97.35</v>
      </c>
      <c r="L40" s="286">
        <v>97.35</v>
      </c>
      <c r="M40" s="286">
        <v>97.35</v>
      </c>
      <c r="N40" s="286">
        <v>97.35</v>
      </c>
      <c r="O40" s="286">
        <v>97.35</v>
      </c>
      <c r="P40" s="286">
        <v>97.35</v>
      </c>
      <c r="Q40" s="204">
        <f t="shared" si="3"/>
        <v>97.350000000000009</v>
      </c>
      <c r="R40" s="204" t="str">
        <f t="shared" si="1"/>
        <v>NO</v>
      </c>
      <c r="S40" s="204" t="str">
        <f t="shared" si="2"/>
        <v>Inviable Sanitariamente</v>
      </c>
    </row>
    <row r="41" spans="1:19" s="277" customFormat="1" ht="32.1" customHeight="1">
      <c r="A41" s="419" t="s">
        <v>2777</v>
      </c>
      <c r="B41" s="238" t="s">
        <v>2782</v>
      </c>
      <c r="C41" s="238" t="s">
        <v>2783</v>
      </c>
      <c r="D41" s="119">
        <v>70</v>
      </c>
      <c r="E41" s="286">
        <v>97.35</v>
      </c>
      <c r="F41" s="286"/>
      <c r="G41" s="286"/>
      <c r="H41" s="286"/>
      <c r="I41" s="286"/>
      <c r="J41" s="286"/>
      <c r="K41" s="286"/>
      <c r="L41" s="286"/>
      <c r="M41" s="286"/>
      <c r="N41" s="286"/>
      <c r="O41" s="286"/>
      <c r="P41" s="286"/>
      <c r="Q41" s="204">
        <f t="shared" si="3"/>
        <v>97.35</v>
      </c>
      <c r="R41" s="204" t="str">
        <f t="shared" si="1"/>
        <v>NO</v>
      </c>
      <c r="S41" s="204" t="str">
        <f t="shared" si="2"/>
        <v>Inviable Sanitariamente</v>
      </c>
    </row>
    <row r="42" spans="1:19" s="277" customFormat="1" ht="32.1" customHeight="1">
      <c r="A42" s="419" t="s">
        <v>2777</v>
      </c>
      <c r="B42" s="238" t="s">
        <v>2784</v>
      </c>
      <c r="C42" s="238" t="s">
        <v>2785</v>
      </c>
      <c r="D42" s="119">
        <v>52</v>
      </c>
      <c r="E42" s="286"/>
      <c r="F42" s="286"/>
      <c r="G42" s="286"/>
      <c r="H42" s="286"/>
      <c r="I42" s="286"/>
      <c r="J42" s="286"/>
      <c r="K42" s="286">
        <v>97.35</v>
      </c>
      <c r="L42" s="286"/>
      <c r="M42" s="286"/>
      <c r="N42" s="286"/>
      <c r="O42" s="286"/>
      <c r="P42" s="286"/>
      <c r="Q42" s="204">
        <f t="shared" si="3"/>
        <v>97.35</v>
      </c>
      <c r="R42" s="204" t="str">
        <f t="shared" si="1"/>
        <v>NO</v>
      </c>
      <c r="S42" s="204" t="str">
        <f t="shared" si="2"/>
        <v>Inviable Sanitariamente</v>
      </c>
    </row>
    <row r="43" spans="1:19" s="277" customFormat="1" ht="32.1" customHeight="1">
      <c r="A43" s="419" t="s">
        <v>2777</v>
      </c>
      <c r="B43" s="238" t="s">
        <v>2786</v>
      </c>
      <c r="C43" s="238" t="s">
        <v>2787</v>
      </c>
      <c r="D43" s="119">
        <v>42</v>
      </c>
      <c r="E43" s="286"/>
      <c r="F43" s="286">
        <v>97.35</v>
      </c>
      <c r="G43" s="286"/>
      <c r="H43" s="286"/>
      <c r="I43" s="286"/>
      <c r="J43" s="286"/>
      <c r="K43" s="286"/>
      <c r="L43" s="286"/>
      <c r="M43" s="286"/>
      <c r="N43" s="286"/>
      <c r="O43" s="286"/>
      <c r="P43" s="286"/>
      <c r="Q43" s="204">
        <f t="shared" si="3"/>
        <v>97.35</v>
      </c>
      <c r="R43" s="204" t="str">
        <f t="shared" si="1"/>
        <v>NO</v>
      </c>
      <c r="S43" s="204" t="str">
        <f t="shared" si="2"/>
        <v>Inviable Sanitariamente</v>
      </c>
    </row>
    <row r="44" spans="1:19" s="277" customFormat="1" ht="32.1" customHeight="1">
      <c r="A44" s="419" t="s">
        <v>2777</v>
      </c>
      <c r="B44" s="238" t="s">
        <v>2788</v>
      </c>
      <c r="C44" s="238" t="s">
        <v>2789</v>
      </c>
      <c r="D44" s="119">
        <v>8</v>
      </c>
      <c r="E44" s="286"/>
      <c r="F44" s="286">
        <v>97.35</v>
      </c>
      <c r="G44" s="286"/>
      <c r="H44" s="286"/>
      <c r="I44" s="286"/>
      <c r="J44" s="286"/>
      <c r="K44" s="286"/>
      <c r="L44" s="286"/>
      <c r="M44" s="286"/>
      <c r="N44" s="286"/>
      <c r="O44" s="286"/>
      <c r="P44" s="286"/>
      <c r="Q44" s="204">
        <f t="shared" si="3"/>
        <v>97.35</v>
      </c>
      <c r="R44" s="204" t="str">
        <f t="shared" si="1"/>
        <v>NO</v>
      </c>
      <c r="S44" s="204" t="str">
        <f t="shared" si="2"/>
        <v>Inviable Sanitariamente</v>
      </c>
    </row>
    <row r="45" spans="1:19" s="277" customFormat="1" ht="32.1" customHeight="1">
      <c r="A45" s="419" t="s">
        <v>2777</v>
      </c>
      <c r="B45" s="238" t="s">
        <v>1112</v>
      </c>
      <c r="C45" s="238" t="s">
        <v>2790</v>
      </c>
      <c r="D45" s="119"/>
      <c r="E45" s="286"/>
      <c r="F45" s="286"/>
      <c r="G45" s="286"/>
      <c r="H45" s="286"/>
      <c r="I45" s="286"/>
      <c r="J45" s="286"/>
      <c r="K45" s="286"/>
      <c r="L45" s="286"/>
      <c r="M45" s="286"/>
      <c r="N45" s="286"/>
      <c r="O45" s="286"/>
      <c r="P45" s="286"/>
      <c r="Q45" s="204" t="e">
        <f t="shared" si="3"/>
        <v>#DIV/0!</v>
      </c>
      <c r="R45" s="204" t="e">
        <f t="shared" si="1"/>
        <v>#DIV/0!</v>
      </c>
      <c r="S45" s="204" t="e">
        <f t="shared" si="2"/>
        <v>#DIV/0!</v>
      </c>
    </row>
    <row r="46" spans="1:19" s="277" customFormat="1" ht="32.1" customHeight="1">
      <c r="A46" s="419" t="s">
        <v>2777</v>
      </c>
      <c r="B46" s="238" t="s">
        <v>2791</v>
      </c>
      <c r="C46" s="238" t="s">
        <v>2792</v>
      </c>
      <c r="D46" s="114">
        <v>72</v>
      </c>
      <c r="E46" s="286"/>
      <c r="F46" s="286">
        <v>97.35</v>
      </c>
      <c r="G46" s="286"/>
      <c r="H46" s="286"/>
      <c r="I46" s="286"/>
      <c r="J46" s="286"/>
      <c r="K46" s="286"/>
      <c r="L46" s="286"/>
      <c r="M46" s="286"/>
      <c r="N46" s="286"/>
      <c r="O46" s="286"/>
      <c r="P46" s="286"/>
      <c r="Q46" s="204">
        <f t="shared" si="3"/>
        <v>97.35</v>
      </c>
      <c r="R46" s="204" t="str">
        <f t="shared" si="1"/>
        <v>NO</v>
      </c>
      <c r="S46" s="204" t="str">
        <f t="shared" si="2"/>
        <v>Inviable Sanitariamente</v>
      </c>
    </row>
    <row r="47" spans="1:19" s="277" customFormat="1" ht="32.1" customHeight="1">
      <c r="A47" s="419" t="s">
        <v>2777</v>
      </c>
      <c r="B47" s="238" t="s">
        <v>2793</v>
      </c>
      <c r="C47" s="238" t="s">
        <v>2794</v>
      </c>
      <c r="D47" s="119">
        <v>47</v>
      </c>
      <c r="E47" s="286"/>
      <c r="F47" s="286"/>
      <c r="G47" s="286"/>
      <c r="H47" s="286">
        <v>97.35</v>
      </c>
      <c r="I47" s="286"/>
      <c r="J47" s="286"/>
      <c r="K47" s="286"/>
      <c r="L47" s="286"/>
      <c r="M47" s="286"/>
      <c r="N47" s="286"/>
      <c r="O47" s="286"/>
      <c r="P47" s="286"/>
      <c r="Q47" s="204">
        <f t="shared" si="3"/>
        <v>97.35</v>
      </c>
      <c r="R47" s="204" t="str">
        <f t="shared" si="1"/>
        <v>NO</v>
      </c>
      <c r="S47" s="204" t="str">
        <f t="shared" si="2"/>
        <v>Inviable Sanitariamente</v>
      </c>
    </row>
    <row r="48" spans="1:19" s="277" customFormat="1" ht="32.1" customHeight="1">
      <c r="A48" s="419" t="s">
        <v>2777</v>
      </c>
      <c r="B48" s="238" t="s">
        <v>2795</v>
      </c>
      <c r="C48" s="238" t="s">
        <v>2796</v>
      </c>
      <c r="D48" s="119">
        <v>20</v>
      </c>
      <c r="E48" s="286"/>
      <c r="F48" s="286"/>
      <c r="G48" s="286">
        <v>97.35</v>
      </c>
      <c r="H48" s="286"/>
      <c r="I48" s="286"/>
      <c r="J48" s="286"/>
      <c r="K48" s="286"/>
      <c r="L48" s="286"/>
      <c r="M48" s="286"/>
      <c r="N48" s="286"/>
      <c r="O48" s="286"/>
      <c r="P48" s="286"/>
      <c r="Q48" s="204">
        <f t="shared" si="3"/>
        <v>97.35</v>
      </c>
      <c r="R48" s="204" t="str">
        <f t="shared" si="1"/>
        <v>NO</v>
      </c>
      <c r="S48" s="204" t="str">
        <f t="shared" si="2"/>
        <v>Inviable Sanitariamente</v>
      </c>
    </row>
    <row r="49" spans="1:19" s="277" customFormat="1" ht="32.1" customHeight="1">
      <c r="A49" s="419" t="s">
        <v>2777</v>
      </c>
      <c r="B49" s="238" t="s">
        <v>2797</v>
      </c>
      <c r="C49" s="238" t="s">
        <v>2798</v>
      </c>
      <c r="D49" s="114">
        <v>26</v>
      </c>
      <c r="E49" s="286"/>
      <c r="F49" s="286"/>
      <c r="G49" s="286"/>
      <c r="H49" s="286"/>
      <c r="I49" s="286"/>
      <c r="J49" s="286">
        <v>97.35</v>
      </c>
      <c r="K49" s="286"/>
      <c r="L49" s="286"/>
      <c r="M49" s="286"/>
      <c r="N49" s="286"/>
      <c r="O49" s="286"/>
      <c r="P49" s="286"/>
      <c r="Q49" s="204">
        <f t="shared" si="3"/>
        <v>97.35</v>
      </c>
      <c r="R49" s="204" t="str">
        <f t="shared" si="1"/>
        <v>NO</v>
      </c>
      <c r="S49" s="204" t="str">
        <f t="shared" si="2"/>
        <v>Inviable Sanitariamente</v>
      </c>
    </row>
    <row r="50" spans="1:19" s="277" customFormat="1" ht="32.1" customHeight="1">
      <c r="A50" s="419" t="s">
        <v>2777</v>
      </c>
      <c r="B50" s="238" t="s">
        <v>2799</v>
      </c>
      <c r="C50" s="238" t="s">
        <v>2800</v>
      </c>
      <c r="D50" s="119">
        <v>155</v>
      </c>
      <c r="E50" s="286"/>
      <c r="F50" s="286"/>
      <c r="G50" s="286"/>
      <c r="H50" s="286"/>
      <c r="I50" s="286"/>
      <c r="J50" s="286">
        <v>97.35</v>
      </c>
      <c r="K50" s="286"/>
      <c r="L50" s="286"/>
      <c r="M50" s="286"/>
      <c r="N50" s="286"/>
      <c r="O50" s="286"/>
      <c r="P50" s="286"/>
      <c r="Q50" s="204">
        <f t="shared" si="3"/>
        <v>97.35</v>
      </c>
      <c r="R50" s="204" t="str">
        <f t="shared" si="1"/>
        <v>NO</v>
      </c>
      <c r="S50" s="204" t="str">
        <f t="shared" si="2"/>
        <v>Inviable Sanitariamente</v>
      </c>
    </row>
    <row r="51" spans="1:19" s="277" customFormat="1" ht="32.1" customHeight="1">
      <c r="A51" s="419" t="s">
        <v>2777</v>
      </c>
      <c r="B51" s="238" t="s">
        <v>1556</v>
      </c>
      <c r="C51" s="238" t="s">
        <v>2801</v>
      </c>
      <c r="D51" s="119">
        <v>14</v>
      </c>
      <c r="E51" s="286"/>
      <c r="F51" s="286"/>
      <c r="G51" s="286"/>
      <c r="H51" s="286"/>
      <c r="I51" s="286"/>
      <c r="J51" s="286">
        <v>97.35</v>
      </c>
      <c r="K51" s="286"/>
      <c r="L51" s="286"/>
      <c r="M51" s="286"/>
      <c r="N51" s="286"/>
      <c r="O51" s="286"/>
      <c r="P51" s="286"/>
      <c r="Q51" s="204">
        <f t="shared" si="3"/>
        <v>97.35</v>
      </c>
      <c r="R51" s="204" t="str">
        <f t="shared" si="1"/>
        <v>NO</v>
      </c>
      <c r="S51" s="204" t="str">
        <f t="shared" si="2"/>
        <v>Inviable Sanitariamente</v>
      </c>
    </row>
    <row r="52" spans="1:19" s="277" customFormat="1" ht="32.1" customHeight="1">
      <c r="A52" s="419" t="s">
        <v>2777</v>
      </c>
      <c r="B52" s="238" t="s">
        <v>2802</v>
      </c>
      <c r="C52" s="238" t="s">
        <v>2803</v>
      </c>
      <c r="D52" s="114">
        <v>25</v>
      </c>
      <c r="E52" s="286"/>
      <c r="F52" s="286"/>
      <c r="G52" s="286">
        <v>97.35</v>
      </c>
      <c r="H52" s="286"/>
      <c r="I52" s="286"/>
      <c r="J52" s="286"/>
      <c r="K52" s="286"/>
      <c r="L52" s="286"/>
      <c r="M52" s="286"/>
      <c r="N52" s="286"/>
      <c r="O52" s="286"/>
      <c r="P52" s="286"/>
      <c r="Q52" s="204">
        <f t="shared" si="3"/>
        <v>97.35</v>
      </c>
      <c r="R52" s="204" t="str">
        <f t="shared" si="1"/>
        <v>NO</v>
      </c>
      <c r="S52" s="204" t="str">
        <f t="shared" si="2"/>
        <v>Inviable Sanitariamente</v>
      </c>
    </row>
    <row r="53" spans="1:19" s="277" customFormat="1" ht="32.1" customHeight="1">
      <c r="A53" s="419" t="s">
        <v>2777</v>
      </c>
      <c r="B53" s="238" t="s">
        <v>2804</v>
      </c>
      <c r="C53" s="238" t="s">
        <v>2805</v>
      </c>
      <c r="D53" s="119">
        <v>22</v>
      </c>
      <c r="E53" s="286"/>
      <c r="F53" s="286"/>
      <c r="G53" s="286"/>
      <c r="H53" s="286"/>
      <c r="I53" s="286"/>
      <c r="J53" s="286"/>
      <c r="K53" s="286"/>
      <c r="L53" s="286"/>
      <c r="M53" s="286">
        <v>97.35</v>
      </c>
      <c r="N53" s="286"/>
      <c r="O53" s="286"/>
      <c r="P53" s="286"/>
      <c r="Q53" s="204">
        <f t="shared" si="3"/>
        <v>97.35</v>
      </c>
      <c r="R53" s="204" t="str">
        <f t="shared" si="1"/>
        <v>NO</v>
      </c>
      <c r="S53" s="204" t="str">
        <f t="shared" si="2"/>
        <v>Inviable Sanitariamente</v>
      </c>
    </row>
    <row r="54" spans="1:19" s="277" customFormat="1" ht="32.1" customHeight="1">
      <c r="A54" s="419" t="s">
        <v>2777</v>
      </c>
      <c r="B54" s="238" t="s">
        <v>2806</v>
      </c>
      <c r="C54" s="238" t="s">
        <v>2807</v>
      </c>
      <c r="D54" s="119"/>
      <c r="E54" s="286"/>
      <c r="F54" s="286"/>
      <c r="G54" s="286"/>
      <c r="H54" s="286"/>
      <c r="I54" s="286"/>
      <c r="J54" s="286"/>
      <c r="K54" s="286"/>
      <c r="L54" s="286"/>
      <c r="M54" s="286"/>
      <c r="N54" s="286"/>
      <c r="O54" s="286"/>
      <c r="P54" s="286"/>
      <c r="Q54" s="204" t="e">
        <f t="shared" si="3"/>
        <v>#DIV/0!</v>
      </c>
      <c r="R54" s="204" t="e">
        <f t="shared" si="1"/>
        <v>#DIV/0!</v>
      </c>
      <c r="S54" s="204" t="e">
        <f t="shared" si="2"/>
        <v>#DIV/0!</v>
      </c>
    </row>
    <row r="55" spans="1:19" s="277" customFormat="1" ht="32.1" customHeight="1">
      <c r="A55" s="419" t="s">
        <v>2777</v>
      </c>
      <c r="B55" s="238" t="s">
        <v>2808</v>
      </c>
      <c r="C55" s="238" t="s">
        <v>2809</v>
      </c>
      <c r="D55" s="119"/>
      <c r="E55" s="286"/>
      <c r="F55" s="286"/>
      <c r="G55" s="286"/>
      <c r="H55" s="286"/>
      <c r="I55" s="286"/>
      <c r="J55" s="286"/>
      <c r="K55" s="286"/>
      <c r="L55" s="286"/>
      <c r="M55" s="286"/>
      <c r="N55" s="286"/>
      <c r="O55" s="286"/>
      <c r="P55" s="286"/>
      <c r="Q55" s="204" t="e">
        <f t="shared" si="3"/>
        <v>#DIV/0!</v>
      </c>
      <c r="R55" s="204" t="e">
        <f t="shared" si="1"/>
        <v>#DIV/0!</v>
      </c>
      <c r="S55" s="204" t="e">
        <f t="shared" si="2"/>
        <v>#DIV/0!</v>
      </c>
    </row>
    <row r="56" spans="1:19" s="277" customFormat="1" ht="32.1" customHeight="1">
      <c r="A56" s="419" t="s">
        <v>2777</v>
      </c>
      <c r="B56" s="238" t="s">
        <v>2810</v>
      </c>
      <c r="C56" s="238" t="s">
        <v>2811</v>
      </c>
      <c r="D56" s="119">
        <v>50</v>
      </c>
      <c r="E56" s="286"/>
      <c r="F56" s="286"/>
      <c r="G56" s="286"/>
      <c r="H56" s="286"/>
      <c r="I56" s="286"/>
      <c r="J56" s="286"/>
      <c r="K56" s="286"/>
      <c r="L56" s="286"/>
      <c r="M56" s="286"/>
      <c r="N56" s="286">
        <v>97.35</v>
      </c>
      <c r="O56" s="286"/>
      <c r="P56" s="286"/>
      <c r="Q56" s="204">
        <f t="shared" si="3"/>
        <v>97.35</v>
      </c>
      <c r="R56" s="204" t="str">
        <f t="shared" si="1"/>
        <v>NO</v>
      </c>
      <c r="S56" s="204" t="str">
        <f t="shared" si="2"/>
        <v>Inviable Sanitariamente</v>
      </c>
    </row>
    <row r="57" spans="1:19" s="277" customFormat="1" ht="32.1" customHeight="1">
      <c r="A57" s="419" t="s">
        <v>2777</v>
      </c>
      <c r="B57" s="238" t="s">
        <v>2812</v>
      </c>
      <c r="C57" s="238" t="s">
        <v>2813</v>
      </c>
      <c r="D57" s="119">
        <v>150</v>
      </c>
      <c r="E57" s="286">
        <v>97.35</v>
      </c>
      <c r="F57" s="286"/>
      <c r="G57" s="286"/>
      <c r="H57" s="286"/>
      <c r="I57" s="286"/>
      <c r="J57" s="286"/>
      <c r="K57" s="286"/>
      <c r="L57" s="286"/>
      <c r="M57" s="286"/>
      <c r="N57" s="286"/>
      <c r="O57" s="286"/>
      <c r="P57" s="286"/>
      <c r="Q57" s="204">
        <f t="shared" si="3"/>
        <v>97.35</v>
      </c>
      <c r="R57" s="204" t="str">
        <f t="shared" si="1"/>
        <v>NO</v>
      </c>
      <c r="S57" s="204" t="str">
        <f t="shared" si="2"/>
        <v>Inviable Sanitariamente</v>
      </c>
    </row>
    <row r="58" spans="1:19" s="277" customFormat="1" ht="32.1" customHeight="1">
      <c r="A58" s="419" t="s">
        <v>2777</v>
      </c>
      <c r="B58" s="238" t="s">
        <v>2814</v>
      </c>
      <c r="C58" s="238" t="s">
        <v>2815</v>
      </c>
      <c r="D58" s="119"/>
      <c r="E58" s="286"/>
      <c r="F58" s="286"/>
      <c r="G58" s="286"/>
      <c r="H58" s="286"/>
      <c r="I58" s="286"/>
      <c r="J58" s="286"/>
      <c r="K58" s="286"/>
      <c r="L58" s="286"/>
      <c r="M58" s="286"/>
      <c r="N58" s="286"/>
      <c r="O58" s="286"/>
      <c r="P58" s="286"/>
      <c r="Q58" s="204" t="e">
        <f t="shared" si="3"/>
        <v>#DIV/0!</v>
      </c>
      <c r="R58" s="204" t="e">
        <f t="shared" si="1"/>
        <v>#DIV/0!</v>
      </c>
      <c r="S58" s="204" t="e">
        <f t="shared" si="2"/>
        <v>#DIV/0!</v>
      </c>
    </row>
    <row r="59" spans="1:19" s="277" customFormat="1" ht="32.1" customHeight="1">
      <c r="A59" s="419" t="s">
        <v>2777</v>
      </c>
      <c r="B59" s="238" t="s">
        <v>100</v>
      </c>
      <c r="C59" s="238" t="s">
        <v>2816</v>
      </c>
      <c r="D59" s="119">
        <v>35</v>
      </c>
      <c r="E59" s="286"/>
      <c r="F59" s="286"/>
      <c r="G59" s="286"/>
      <c r="H59" s="286"/>
      <c r="I59" s="286"/>
      <c r="J59" s="286"/>
      <c r="K59" s="286">
        <v>97.35</v>
      </c>
      <c r="L59" s="286"/>
      <c r="M59" s="286"/>
      <c r="N59" s="286"/>
      <c r="O59" s="286"/>
      <c r="P59" s="286"/>
      <c r="Q59" s="204">
        <f t="shared" si="3"/>
        <v>97.35</v>
      </c>
      <c r="R59" s="204" t="str">
        <f t="shared" si="1"/>
        <v>NO</v>
      </c>
      <c r="S59" s="204" t="str">
        <f t="shared" si="2"/>
        <v>Inviable Sanitariamente</v>
      </c>
    </row>
    <row r="60" spans="1:19" s="277" customFormat="1" ht="32.1" customHeight="1">
      <c r="A60" s="419" t="s">
        <v>2777</v>
      </c>
      <c r="B60" s="238" t="s">
        <v>2817</v>
      </c>
      <c r="C60" s="238" t="s">
        <v>2818</v>
      </c>
      <c r="D60" s="119">
        <v>64</v>
      </c>
      <c r="E60" s="286">
        <v>97.35</v>
      </c>
      <c r="F60" s="286">
        <v>97.35</v>
      </c>
      <c r="G60" s="286">
        <v>97.35</v>
      </c>
      <c r="H60" s="286">
        <v>97.35</v>
      </c>
      <c r="I60" s="286">
        <v>97.35</v>
      </c>
      <c r="J60" s="286">
        <v>97.35</v>
      </c>
      <c r="K60" s="286">
        <v>97.35</v>
      </c>
      <c r="L60" s="286">
        <v>97.35</v>
      </c>
      <c r="M60" s="286">
        <v>97.35</v>
      </c>
      <c r="N60" s="286">
        <v>97.35</v>
      </c>
      <c r="O60" s="286">
        <v>97.35</v>
      </c>
      <c r="P60" s="286">
        <v>97.35</v>
      </c>
      <c r="Q60" s="204">
        <f t="shared" si="3"/>
        <v>97.350000000000009</v>
      </c>
      <c r="R60" s="204" t="str">
        <f t="shared" si="1"/>
        <v>NO</v>
      </c>
      <c r="S60" s="204" t="str">
        <f t="shared" si="2"/>
        <v>Inviable Sanitariamente</v>
      </c>
    </row>
    <row r="61" spans="1:19" s="277" customFormat="1" ht="32.1" customHeight="1">
      <c r="A61" s="419" t="s">
        <v>2777</v>
      </c>
      <c r="B61" s="238" t="s">
        <v>1309</v>
      </c>
      <c r="C61" s="238" t="s">
        <v>2819</v>
      </c>
      <c r="D61" s="119">
        <v>27</v>
      </c>
      <c r="E61" s="286"/>
      <c r="F61" s="286"/>
      <c r="G61" s="286"/>
      <c r="H61" s="286"/>
      <c r="I61" s="286"/>
      <c r="J61" s="286"/>
      <c r="K61" s="286">
        <v>97.35</v>
      </c>
      <c r="L61" s="286"/>
      <c r="M61" s="286"/>
      <c r="N61" s="286"/>
      <c r="O61" s="286"/>
      <c r="P61" s="286"/>
      <c r="Q61" s="204">
        <f t="shared" si="3"/>
        <v>97.35</v>
      </c>
      <c r="R61" s="204" t="str">
        <f t="shared" si="1"/>
        <v>NO</v>
      </c>
      <c r="S61" s="204" t="str">
        <f t="shared" si="2"/>
        <v>Inviable Sanitariamente</v>
      </c>
    </row>
    <row r="62" spans="1:19" s="277" customFormat="1" ht="32.1" customHeight="1">
      <c r="A62" s="419" t="s">
        <v>2777</v>
      </c>
      <c r="B62" s="238" t="s">
        <v>2232</v>
      </c>
      <c r="C62" s="238" t="s">
        <v>2820</v>
      </c>
      <c r="D62" s="119">
        <v>97</v>
      </c>
      <c r="E62" s="286"/>
      <c r="F62" s="286"/>
      <c r="G62" s="286">
        <v>97.35</v>
      </c>
      <c r="H62" s="286"/>
      <c r="I62" s="286"/>
      <c r="J62" s="286"/>
      <c r="K62" s="286"/>
      <c r="L62" s="286"/>
      <c r="M62" s="286"/>
      <c r="N62" s="286"/>
      <c r="O62" s="286"/>
      <c r="P62" s="286"/>
      <c r="Q62" s="204">
        <f t="shared" si="3"/>
        <v>97.35</v>
      </c>
      <c r="R62" s="204" t="str">
        <f t="shared" si="1"/>
        <v>NO</v>
      </c>
      <c r="S62" s="204" t="str">
        <f t="shared" si="2"/>
        <v>Inviable Sanitariamente</v>
      </c>
    </row>
    <row r="63" spans="1:19" s="277" customFormat="1" ht="32.1" customHeight="1">
      <c r="A63" s="419" t="s">
        <v>2777</v>
      </c>
      <c r="B63" s="238" t="s">
        <v>2821</v>
      </c>
      <c r="C63" s="238" t="s">
        <v>2822</v>
      </c>
      <c r="D63" s="119">
        <v>37</v>
      </c>
      <c r="E63" s="286"/>
      <c r="F63" s="286"/>
      <c r="G63" s="286"/>
      <c r="H63" s="286"/>
      <c r="I63" s="286"/>
      <c r="J63" s="286"/>
      <c r="K63" s="286">
        <v>97.35</v>
      </c>
      <c r="L63" s="286"/>
      <c r="M63" s="286"/>
      <c r="N63" s="286"/>
      <c r="O63" s="286"/>
      <c r="P63" s="286"/>
      <c r="Q63" s="204">
        <f t="shared" si="3"/>
        <v>97.35</v>
      </c>
      <c r="R63" s="204" t="str">
        <f t="shared" si="1"/>
        <v>NO</v>
      </c>
      <c r="S63" s="204" t="str">
        <f t="shared" si="2"/>
        <v>Inviable Sanitariamente</v>
      </c>
    </row>
    <row r="64" spans="1:19" s="277" customFormat="1" ht="32.1" customHeight="1">
      <c r="A64" s="419" t="s">
        <v>2777</v>
      </c>
      <c r="B64" s="238" t="s">
        <v>8</v>
      </c>
      <c r="C64" s="238" t="s">
        <v>2823</v>
      </c>
      <c r="D64" s="119">
        <v>16</v>
      </c>
      <c r="E64" s="286"/>
      <c r="F64" s="286"/>
      <c r="G64" s="286"/>
      <c r="H64" s="286"/>
      <c r="I64" s="286"/>
      <c r="J64" s="286">
        <v>97.35</v>
      </c>
      <c r="K64" s="286"/>
      <c r="L64" s="286"/>
      <c r="M64" s="286"/>
      <c r="N64" s="286"/>
      <c r="O64" s="286"/>
      <c r="P64" s="286"/>
      <c r="Q64" s="204">
        <f t="shared" si="3"/>
        <v>97.35</v>
      </c>
      <c r="R64" s="204" t="str">
        <f t="shared" si="1"/>
        <v>NO</v>
      </c>
      <c r="S64" s="204" t="str">
        <f t="shared" si="2"/>
        <v>Inviable Sanitariamente</v>
      </c>
    </row>
    <row r="65" spans="1:19" s="277" customFormat="1" ht="32.1" customHeight="1">
      <c r="A65" s="419" t="s">
        <v>2777</v>
      </c>
      <c r="B65" s="238" t="s">
        <v>71</v>
      </c>
      <c r="C65" s="238" t="s">
        <v>2824</v>
      </c>
      <c r="D65" s="119">
        <v>14</v>
      </c>
      <c r="E65" s="286"/>
      <c r="F65" s="286"/>
      <c r="G65" s="286"/>
      <c r="H65" s="286"/>
      <c r="I65" s="286"/>
      <c r="J65" s="286"/>
      <c r="K65" s="286">
        <v>97.35</v>
      </c>
      <c r="L65" s="286"/>
      <c r="M65" s="286"/>
      <c r="N65" s="286"/>
      <c r="O65" s="286"/>
      <c r="P65" s="286"/>
      <c r="Q65" s="204">
        <f t="shared" si="3"/>
        <v>97.35</v>
      </c>
      <c r="R65" s="204" t="str">
        <f t="shared" si="1"/>
        <v>NO</v>
      </c>
      <c r="S65" s="204" t="str">
        <f t="shared" si="2"/>
        <v>Inviable Sanitariamente</v>
      </c>
    </row>
    <row r="66" spans="1:19" s="277" customFormat="1" ht="32.1" customHeight="1">
      <c r="A66" s="419" t="s">
        <v>2777</v>
      </c>
      <c r="B66" s="238" t="s">
        <v>2825</v>
      </c>
      <c r="C66" s="238" t="s">
        <v>2826</v>
      </c>
      <c r="D66" s="119">
        <v>34</v>
      </c>
      <c r="E66" s="286"/>
      <c r="F66" s="286"/>
      <c r="G66" s="286"/>
      <c r="H66" s="286"/>
      <c r="I66" s="286">
        <v>97.35</v>
      </c>
      <c r="J66" s="286"/>
      <c r="K66" s="286"/>
      <c r="L66" s="286"/>
      <c r="M66" s="286"/>
      <c r="N66" s="286"/>
      <c r="O66" s="286"/>
      <c r="P66" s="286"/>
      <c r="Q66" s="204">
        <f t="shared" si="3"/>
        <v>97.35</v>
      </c>
      <c r="R66" s="204" t="str">
        <f t="shared" si="1"/>
        <v>NO</v>
      </c>
      <c r="S66" s="204" t="str">
        <f t="shared" si="2"/>
        <v>Inviable Sanitariamente</v>
      </c>
    </row>
    <row r="67" spans="1:19" s="277" customFormat="1" ht="32.1" customHeight="1">
      <c r="A67" s="419" t="s">
        <v>2777</v>
      </c>
      <c r="B67" s="238" t="s">
        <v>2827</v>
      </c>
      <c r="C67" s="238" t="s">
        <v>2828</v>
      </c>
      <c r="D67" s="119">
        <v>14</v>
      </c>
      <c r="E67" s="286"/>
      <c r="F67" s="286"/>
      <c r="G67" s="286"/>
      <c r="H67" s="286"/>
      <c r="I67" s="286">
        <v>97.35</v>
      </c>
      <c r="J67" s="286"/>
      <c r="K67" s="286"/>
      <c r="L67" s="286"/>
      <c r="M67" s="286"/>
      <c r="N67" s="286"/>
      <c r="O67" s="286"/>
      <c r="P67" s="286"/>
      <c r="Q67" s="204">
        <f t="shared" si="3"/>
        <v>97.35</v>
      </c>
      <c r="R67" s="204" t="str">
        <f t="shared" si="1"/>
        <v>NO</v>
      </c>
      <c r="S67" s="204" t="str">
        <f t="shared" si="2"/>
        <v>Inviable Sanitariamente</v>
      </c>
    </row>
    <row r="68" spans="1:19" s="277" customFormat="1" ht="32.1" customHeight="1">
      <c r="A68" s="419" t="s">
        <v>2777</v>
      </c>
      <c r="B68" s="238" t="s">
        <v>2829</v>
      </c>
      <c r="C68" s="238" t="s">
        <v>2830</v>
      </c>
      <c r="D68" s="119">
        <v>35</v>
      </c>
      <c r="E68" s="286"/>
      <c r="F68" s="286">
        <v>97.35</v>
      </c>
      <c r="G68" s="286"/>
      <c r="H68" s="286"/>
      <c r="I68" s="286"/>
      <c r="J68" s="286"/>
      <c r="K68" s="286"/>
      <c r="L68" s="286"/>
      <c r="M68" s="286"/>
      <c r="N68" s="286"/>
      <c r="O68" s="286"/>
      <c r="P68" s="286"/>
      <c r="Q68" s="204">
        <f t="shared" si="3"/>
        <v>97.35</v>
      </c>
      <c r="R68" s="204" t="str">
        <f t="shared" si="1"/>
        <v>NO</v>
      </c>
      <c r="S68" s="204" t="str">
        <f t="shared" si="2"/>
        <v>Inviable Sanitariamente</v>
      </c>
    </row>
    <row r="69" spans="1:19" s="277" customFormat="1" ht="32.1" customHeight="1">
      <c r="A69" s="419" t="s">
        <v>2777</v>
      </c>
      <c r="B69" s="238" t="s">
        <v>2831</v>
      </c>
      <c r="C69" s="238" t="s">
        <v>2832</v>
      </c>
      <c r="D69" s="119">
        <v>30</v>
      </c>
      <c r="E69" s="286"/>
      <c r="F69" s="286">
        <v>53.1</v>
      </c>
      <c r="G69" s="286"/>
      <c r="H69" s="286"/>
      <c r="I69" s="286"/>
      <c r="J69" s="286"/>
      <c r="K69" s="286"/>
      <c r="L69" s="286"/>
      <c r="M69" s="286"/>
      <c r="N69" s="286"/>
      <c r="O69" s="286"/>
      <c r="P69" s="286"/>
      <c r="Q69" s="204">
        <f t="shared" si="3"/>
        <v>53.1</v>
      </c>
      <c r="R69" s="204" t="str">
        <f t="shared" si="1"/>
        <v>NO</v>
      </c>
      <c r="S69" s="204" t="str">
        <f t="shared" si="2"/>
        <v>Alto</v>
      </c>
    </row>
    <row r="70" spans="1:19" s="277" customFormat="1" ht="32.1" customHeight="1">
      <c r="A70" s="419" t="s">
        <v>2777</v>
      </c>
      <c r="B70" s="238" t="s">
        <v>1904</v>
      </c>
      <c r="C70" s="238" t="s">
        <v>2833</v>
      </c>
      <c r="D70" s="119">
        <v>60</v>
      </c>
      <c r="E70" s="286"/>
      <c r="F70" s="286"/>
      <c r="G70" s="286"/>
      <c r="H70" s="286"/>
      <c r="I70" s="286">
        <v>97.35</v>
      </c>
      <c r="J70" s="286"/>
      <c r="K70" s="286"/>
      <c r="L70" s="286"/>
      <c r="M70" s="286"/>
      <c r="N70" s="286"/>
      <c r="O70" s="286"/>
      <c r="P70" s="286"/>
      <c r="Q70" s="204">
        <f t="shared" si="3"/>
        <v>97.35</v>
      </c>
      <c r="R70" s="204" t="str">
        <f t="shared" si="1"/>
        <v>NO</v>
      </c>
      <c r="S70" s="204" t="str">
        <f t="shared" si="2"/>
        <v>Inviable Sanitariamente</v>
      </c>
    </row>
    <row r="71" spans="1:19" s="277" customFormat="1" ht="32.1" customHeight="1">
      <c r="A71" s="419" t="s">
        <v>2777</v>
      </c>
      <c r="B71" s="238" t="s">
        <v>236</v>
      </c>
      <c r="C71" s="238" t="s">
        <v>2834</v>
      </c>
      <c r="D71" s="119">
        <v>15</v>
      </c>
      <c r="E71" s="286"/>
      <c r="F71" s="286"/>
      <c r="G71" s="286"/>
      <c r="H71" s="286"/>
      <c r="I71" s="286"/>
      <c r="J71" s="286">
        <v>97.35</v>
      </c>
      <c r="K71" s="286"/>
      <c r="L71" s="286"/>
      <c r="M71" s="286"/>
      <c r="N71" s="286"/>
      <c r="O71" s="286"/>
      <c r="P71" s="286"/>
      <c r="Q71" s="204">
        <f t="shared" si="3"/>
        <v>97.35</v>
      </c>
      <c r="R71" s="204" t="str">
        <f t="shared" si="1"/>
        <v>NO</v>
      </c>
      <c r="S71" s="204" t="str">
        <f t="shared" si="2"/>
        <v>Inviable Sanitariamente</v>
      </c>
    </row>
    <row r="72" spans="1:19" s="277" customFormat="1" ht="32.1" customHeight="1">
      <c r="A72" s="419" t="s">
        <v>2777</v>
      </c>
      <c r="B72" s="238" t="s">
        <v>2835</v>
      </c>
      <c r="C72" s="238" t="s">
        <v>2836</v>
      </c>
      <c r="D72" s="119">
        <v>30</v>
      </c>
      <c r="E72" s="286"/>
      <c r="F72" s="286"/>
      <c r="G72" s="286">
        <v>97.35</v>
      </c>
      <c r="H72" s="286"/>
      <c r="I72" s="286"/>
      <c r="J72" s="286"/>
      <c r="K72" s="286"/>
      <c r="L72" s="286"/>
      <c r="M72" s="286"/>
      <c r="N72" s="286"/>
      <c r="O72" s="286"/>
      <c r="P72" s="286"/>
      <c r="Q72" s="204">
        <f t="shared" si="3"/>
        <v>97.35</v>
      </c>
      <c r="R72" s="204" t="str">
        <f t="shared" si="1"/>
        <v>NO</v>
      </c>
      <c r="S72" s="204" t="str">
        <f t="shared" si="2"/>
        <v>Inviable Sanitariamente</v>
      </c>
    </row>
    <row r="73" spans="1:19" s="277" customFormat="1" ht="32.1" customHeight="1">
      <c r="A73" s="419" t="s">
        <v>2777</v>
      </c>
      <c r="B73" s="238" t="s">
        <v>2837</v>
      </c>
      <c r="C73" s="238" t="s">
        <v>2838</v>
      </c>
      <c r="D73" s="119">
        <v>11</v>
      </c>
      <c r="E73" s="286"/>
      <c r="F73" s="286"/>
      <c r="G73" s="286">
        <v>97.35</v>
      </c>
      <c r="H73" s="286"/>
      <c r="I73" s="286"/>
      <c r="J73" s="286"/>
      <c r="K73" s="286"/>
      <c r="L73" s="286"/>
      <c r="M73" s="286"/>
      <c r="N73" s="286"/>
      <c r="O73" s="286"/>
      <c r="P73" s="286"/>
      <c r="Q73" s="204">
        <f t="shared" si="3"/>
        <v>97.35</v>
      </c>
      <c r="R73" s="204" t="str">
        <f t="shared" si="1"/>
        <v>NO</v>
      </c>
      <c r="S73" s="204" t="str">
        <f t="shared" si="2"/>
        <v>Inviable Sanitariamente</v>
      </c>
    </row>
    <row r="74" spans="1:19" s="277" customFormat="1" ht="32.1" customHeight="1">
      <c r="A74" s="419" t="s">
        <v>2777</v>
      </c>
      <c r="B74" s="238" t="s">
        <v>2198</v>
      </c>
      <c r="C74" s="238" t="s">
        <v>2839</v>
      </c>
      <c r="D74" s="119">
        <v>50</v>
      </c>
      <c r="E74" s="286"/>
      <c r="F74" s="286"/>
      <c r="G74" s="286"/>
      <c r="H74" s="286"/>
      <c r="I74" s="286"/>
      <c r="J74" s="286">
        <v>97.35</v>
      </c>
      <c r="K74" s="286"/>
      <c r="L74" s="286"/>
      <c r="M74" s="286"/>
      <c r="N74" s="286"/>
      <c r="O74" s="286"/>
      <c r="P74" s="286"/>
      <c r="Q74" s="204">
        <f t="shared" si="3"/>
        <v>97.35</v>
      </c>
      <c r="R74" s="204" t="str">
        <f t="shared" ref="R74:R150" si="4">IF(Q74&lt;5,"SI","NO")</f>
        <v>NO</v>
      </c>
      <c r="S74" s="204" t="str">
        <f t="shared" si="2"/>
        <v>Inviable Sanitariamente</v>
      </c>
    </row>
    <row r="75" spans="1:19" s="277" customFormat="1" ht="32.1" customHeight="1">
      <c r="A75" s="419" t="s">
        <v>2777</v>
      </c>
      <c r="B75" s="238" t="s">
        <v>1404</v>
      </c>
      <c r="C75" s="238" t="s">
        <v>2840</v>
      </c>
      <c r="D75" s="119"/>
      <c r="E75" s="286"/>
      <c r="F75" s="286"/>
      <c r="G75" s="286"/>
      <c r="H75" s="286"/>
      <c r="I75" s="286"/>
      <c r="J75" s="286"/>
      <c r="K75" s="286"/>
      <c r="L75" s="286"/>
      <c r="M75" s="286"/>
      <c r="N75" s="286"/>
      <c r="O75" s="286"/>
      <c r="P75" s="286"/>
      <c r="Q75" s="204" t="e">
        <f t="shared" si="3"/>
        <v>#DIV/0!</v>
      </c>
      <c r="R75" s="204" t="e">
        <f t="shared" si="4"/>
        <v>#DIV/0!</v>
      </c>
      <c r="S75" s="204" t="e">
        <f t="shared" ref="S75:S151" si="5">IF(Q75&lt;=5,"Sin Riesgo",IF(Q75 &lt;=14,"Bajo",IF(Q75&lt;=35,"Medio",IF(Q75&lt;=80,"Alto","Inviable Sanitariamente"))))</f>
        <v>#DIV/0!</v>
      </c>
    </row>
    <row r="76" spans="1:19" s="277" customFormat="1" ht="32.1" customHeight="1">
      <c r="A76" s="419" t="s">
        <v>2777</v>
      </c>
      <c r="B76" s="238" t="s">
        <v>2841</v>
      </c>
      <c r="C76" s="238" t="s">
        <v>2842</v>
      </c>
      <c r="D76" s="119">
        <v>44</v>
      </c>
      <c r="E76" s="286"/>
      <c r="F76" s="286"/>
      <c r="G76" s="286"/>
      <c r="H76" s="286"/>
      <c r="I76" s="286"/>
      <c r="J76" s="286"/>
      <c r="K76" s="286"/>
      <c r="L76" s="286"/>
      <c r="M76" s="286"/>
      <c r="N76" s="286"/>
      <c r="O76" s="286">
        <v>53.1</v>
      </c>
      <c r="P76" s="286"/>
      <c r="Q76" s="204">
        <f t="shared" si="3"/>
        <v>53.1</v>
      </c>
      <c r="R76" s="204" t="str">
        <f t="shared" si="4"/>
        <v>NO</v>
      </c>
      <c r="S76" s="204" t="str">
        <f t="shared" si="5"/>
        <v>Alto</v>
      </c>
    </row>
    <row r="77" spans="1:19" s="277" customFormat="1" ht="32.1" customHeight="1">
      <c r="A77" s="419" t="s">
        <v>151</v>
      </c>
      <c r="B77" s="238" t="s">
        <v>2843</v>
      </c>
      <c r="C77" s="238" t="s">
        <v>2844</v>
      </c>
      <c r="D77" s="119">
        <v>256</v>
      </c>
      <c r="E77" s="286"/>
      <c r="F77" s="286">
        <v>97.4</v>
      </c>
      <c r="G77" s="286"/>
      <c r="H77" s="286"/>
      <c r="I77" s="286"/>
      <c r="J77" s="286"/>
      <c r="K77" s="286"/>
      <c r="L77" s="286"/>
      <c r="M77" s="286"/>
      <c r="N77" s="286"/>
      <c r="O77" s="286"/>
      <c r="P77" s="286"/>
      <c r="Q77" s="204">
        <f t="shared" si="3"/>
        <v>97.4</v>
      </c>
      <c r="R77" s="204" t="str">
        <f t="shared" si="4"/>
        <v>NO</v>
      </c>
      <c r="S77" s="204" t="str">
        <f t="shared" si="5"/>
        <v>Inviable Sanitariamente</v>
      </c>
    </row>
    <row r="78" spans="1:19" s="277" customFormat="1" ht="32.1" customHeight="1">
      <c r="A78" s="419" t="s">
        <v>151</v>
      </c>
      <c r="B78" s="238" t="s">
        <v>2845</v>
      </c>
      <c r="C78" s="238" t="s">
        <v>2846</v>
      </c>
      <c r="D78" s="119">
        <v>240</v>
      </c>
      <c r="E78" s="286"/>
      <c r="F78" s="286"/>
      <c r="G78" s="286"/>
      <c r="H78" s="286"/>
      <c r="I78" s="286">
        <v>97.4</v>
      </c>
      <c r="J78" s="286"/>
      <c r="K78" s="286"/>
      <c r="L78" s="286"/>
      <c r="M78" s="286"/>
      <c r="N78" s="286"/>
      <c r="O78" s="286"/>
      <c r="P78" s="286"/>
      <c r="Q78" s="204">
        <f t="shared" si="3"/>
        <v>97.4</v>
      </c>
      <c r="R78" s="204" t="str">
        <f t="shared" si="4"/>
        <v>NO</v>
      </c>
      <c r="S78" s="204" t="str">
        <f t="shared" si="5"/>
        <v>Inviable Sanitariamente</v>
      </c>
    </row>
    <row r="79" spans="1:19" s="277" customFormat="1" ht="32.1" customHeight="1">
      <c r="A79" s="419" t="s">
        <v>151</v>
      </c>
      <c r="B79" s="238" t="s">
        <v>2847</v>
      </c>
      <c r="C79" s="238" t="s">
        <v>2848</v>
      </c>
      <c r="D79" s="119">
        <v>212</v>
      </c>
      <c r="E79" s="286"/>
      <c r="F79" s="286"/>
      <c r="G79" s="286">
        <v>97.4</v>
      </c>
      <c r="H79" s="286"/>
      <c r="I79" s="286"/>
      <c r="J79" s="286"/>
      <c r="K79" s="286"/>
      <c r="L79" s="286"/>
      <c r="M79" s="286"/>
      <c r="N79" s="286"/>
      <c r="O79" s="286"/>
      <c r="P79" s="286"/>
      <c r="Q79" s="204">
        <f t="shared" si="3"/>
        <v>97.4</v>
      </c>
      <c r="R79" s="204" t="str">
        <f t="shared" si="4"/>
        <v>NO</v>
      </c>
      <c r="S79" s="204" t="str">
        <f t="shared" si="5"/>
        <v>Inviable Sanitariamente</v>
      </c>
    </row>
    <row r="80" spans="1:19" s="277" customFormat="1" ht="32.1" customHeight="1">
      <c r="A80" s="419" t="s">
        <v>151</v>
      </c>
      <c r="B80" s="238" t="s">
        <v>2849</v>
      </c>
      <c r="C80" s="238" t="s">
        <v>2850</v>
      </c>
      <c r="D80" s="119">
        <v>204</v>
      </c>
      <c r="E80" s="286"/>
      <c r="F80" s="286">
        <v>97.4</v>
      </c>
      <c r="G80" s="286"/>
      <c r="H80" s="286"/>
      <c r="I80" s="286"/>
      <c r="J80" s="286"/>
      <c r="K80" s="286"/>
      <c r="L80" s="286"/>
      <c r="M80" s="286"/>
      <c r="N80" s="286"/>
      <c r="O80" s="286"/>
      <c r="P80" s="286"/>
      <c r="Q80" s="204">
        <f t="shared" si="3"/>
        <v>97.4</v>
      </c>
      <c r="R80" s="204" t="str">
        <f t="shared" si="4"/>
        <v>NO</v>
      </c>
      <c r="S80" s="204" t="str">
        <f t="shared" si="5"/>
        <v>Inviable Sanitariamente</v>
      </c>
    </row>
    <row r="81" spans="1:19" s="277" customFormat="1" ht="32.1" customHeight="1">
      <c r="A81" s="419" t="s">
        <v>151</v>
      </c>
      <c r="B81" s="238" t="s">
        <v>2851</v>
      </c>
      <c r="C81" s="238" t="s">
        <v>2852</v>
      </c>
      <c r="D81" s="119"/>
      <c r="E81" s="286"/>
      <c r="F81" s="286"/>
      <c r="G81" s="286"/>
      <c r="H81" s="286"/>
      <c r="I81" s="286"/>
      <c r="J81" s="286"/>
      <c r="K81" s="286"/>
      <c r="L81" s="286"/>
      <c r="M81" s="286"/>
      <c r="N81" s="286"/>
      <c r="O81" s="286"/>
      <c r="P81" s="286"/>
      <c r="Q81" s="204" t="e">
        <f t="shared" si="3"/>
        <v>#DIV/0!</v>
      </c>
      <c r="R81" s="204" t="e">
        <f t="shared" si="4"/>
        <v>#DIV/0!</v>
      </c>
      <c r="S81" s="204" t="e">
        <f t="shared" si="5"/>
        <v>#DIV/0!</v>
      </c>
    </row>
    <row r="82" spans="1:19" s="277" customFormat="1" ht="32.1" customHeight="1">
      <c r="A82" s="419" t="s">
        <v>151</v>
      </c>
      <c r="B82" s="238" t="s">
        <v>2853</v>
      </c>
      <c r="C82" s="238" t="s">
        <v>2854</v>
      </c>
      <c r="D82" s="119"/>
      <c r="E82" s="286"/>
      <c r="F82" s="286"/>
      <c r="G82" s="286"/>
      <c r="H82" s="286"/>
      <c r="I82" s="286"/>
      <c r="J82" s="286"/>
      <c r="K82" s="286"/>
      <c r="L82" s="286"/>
      <c r="M82" s="286"/>
      <c r="N82" s="286"/>
      <c r="O82" s="286"/>
      <c r="P82" s="286"/>
      <c r="Q82" s="204" t="e">
        <f t="shared" si="3"/>
        <v>#DIV/0!</v>
      </c>
      <c r="R82" s="204" t="e">
        <f t="shared" si="4"/>
        <v>#DIV/0!</v>
      </c>
      <c r="S82" s="204" t="e">
        <f t="shared" si="5"/>
        <v>#DIV/0!</v>
      </c>
    </row>
    <row r="83" spans="1:19" s="277" customFormat="1" ht="32.1" customHeight="1">
      <c r="A83" s="419" t="s">
        <v>151</v>
      </c>
      <c r="B83" s="238" t="s">
        <v>2855</v>
      </c>
      <c r="C83" s="238" t="s">
        <v>2856</v>
      </c>
      <c r="D83" s="119"/>
      <c r="E83" s="286"/>
      <c r="F83" s="286"/>
      <c r="G83" s="286"/>
      <c r="H83" s="286"/>
      <c r="I83" s="286"/>
      <c r="J83" s="286"/>
      <c r="K83" s="286"/>
      <c r="L83" s="286"/>
      <c r="M83" s="286"/>
      <c r="N83" s="286"/>
      <c r="O83" s="286"/>
      <c r="P83" s="286"/>
      <c r="Q83" s="204" t="e">
        <f t="shared" si="3"/>
        <v>#DIV/0!</v>
      </c>
      <c r="R83" s="204" t="e">
        <f t="shared" si="4"/>
        <v>#DIV/0!</v>
      </c>
      <c r="S83" s="204" t="e">
        <f t="shared" si="5"/>
        <v>#DIV/0!</v>
      </c>
    </row>
    <row r="84" spans="1:19" s="277" customFormat="1" ht="32.1" customHeight="1">
      <c r="A84" s="419" t="s">
        <v>151</v>
      </c>
      <c r="B84" s="238" t="s">
        <v>2857</v>
      </c>
      <c r="C84" s="238" t="s">
        <v>2858</v>
      </c>
      <c r="D84" s="114">
        <v>336</v>
      </c>
      <c r="E84" s="286">
        <v>97.4</v>
      </c>
      <c r="F84" s="286"/>
      <c r="G84" s="286"/>
      <c r="H84" s="286"/>
      <c r="I84" s="286"/>
      <c r="J84" s="286"/>
      <c r="K84" s="286"/>
      <c r="L84" s="286"/>
      <c r="M84" s="286"/>
      <c r="N84" s="286"/>
      <c r="O84" s="286"/>
      <c r="P84" s="286"/>
      <c r="Q84" s="204">
        <f t="shared" si="3"/>
        <v>97.4</v>
      </c>
      <c r="R84" s="204" t="str">
        <f t="shared" si="4"/>
        <v>NO</v>
      </c>
      <c r="S84" s="204" t="str">
        <f t="shared" si="5"/>
        <v>Inviable Sanitariamente</v>
      </c>
    </row>
    <row r="85" spans="1:19" s="277" customFormat="1" ht="32.1" customHeight="1">
      <c r="A85" s="419" t="s">
        <v>151</v>
      </c>
      <c r="B85" s="238" t="s">
        <v>2859</v>
      </c>
      <c r="C85" s="238" t="s">
        <v>2860</v>
      </c>
      <c r="D85" s="119">
        <v>320</v>
      </c>
      <c r="E85" s="286"/>
      <c r="F85" s="286"/>
      <c r="G85" s="286"/>
      <c r="H85" s="286"/>
      <c r="I85" s="286">
        <v>97.4</v>
      </c>
      <c r="J85" s="286"/>
      <c r="K85" s="286"/>
      <c r="L85" s="286"/>
      <c r="M85" s="286"/>
      <c r="N85" s="286"/>
      <c r="O85" s="286"/>
      <c r="P85" s="286"/>
      <c r="Q85" s="204">
        <f t="shared" si="3"/>
        <v>97.4</v>
      </c>
      <c r="R85" s="204" t="str">
        <f t="shared" si="4"/>
        <v>NO</v>
      </c>
      <c r="S85" s="204" t="str">
        <f t="shared" si="5"/>
        <v>Inviable Sanitariamente</v>
      </c>
    </row>
    <row r="86" spans="1:19" s="277" customFormat="1" ht="32.1" customHeight="1">
      <c r="A86" s="419" t="s">
        <v>151</v>
      </c>
      <c r="B86" s="238" t="s">
        <v>2861</v>
      </c>
      <c r="C86" s="238" t="s">
        <v>2862</v>
      </c>
      <c r="D86" s="119">
        <v>284</v>
      </c>
      <c r="E86" s="286"/>
      <c r="F86" s="286"/>
      <c r="G86" s="286"/>
      <c r="H86" s="286"/>
      <c r="I86" s="286">
        <v>97.4</v>
      </c>
      <c r="J86" s="286"/>
      <c r="K86" s="286"/>
      <c r="L86" s="286"/>
      <c r="M86" s="286"/>
      <c r="N86" s="286"/>
      <c r="O86" s="286"/>
      <c r="P86" s="286"/>
      <c r="Q86" s="204">
        <f t="shared" si="3"/>
        <v>97.4</v>
      </c>
      <c r="R86" s="204" t="str">
        <f t="shared" si="4"/>
        <v>NO</v>
      </c>
      <c r="S86" s="204" t="str">
        <f t="shared" si="5"/>
        <v>Inviable Sanitariamente</v>
      </c>
    </row>
    <row r="87" spans="1:19" s="277" customFormat="1" ht="32.1" customHeight="1">
      <c r="A87" s="419" t="s">
        <v>151</v>
      </c>
      <c r="B87" s="238" t="s">
        <v>2548</v>
      </c>
      <c r="C87" s="238" t="s">
        <v>2863</v>
      </c>
      <c r="D87" s="114"/>
      <c r="E87" s="286"/>
      <c r="F87" s="286"/>
      <c r="G87" s="286"/>
      <c r="H87" s="286"/>
      <c r="I87" s="286"/>
      <c r="J87" s="286"/>
      <c r="K87" s="286"/>
      <c r="L87" s="286"/>
      <c r="M87" s="286"/>
      <c r="N87" s="286"/>
      <c r="O87" s="286"/>
      <c r="P87" s="286"/>
      <c r="Q87" s="204" t="e">
        <f t="shared" si="3"/>
        <v>#DIV/0!</v>
      </c>
      <c r="R87" s="204" t="e">
        <f t="shared" si="4"/>
        <v>#DIV/0!</v>
      </c>
      <c r="S87" s="204" t="e">
        <f t="shared" si="5"/>
        <v>#DIV/0!</v>
      </c>
    </row>
    <row r="88" spans="1:19" s="277" customFormat="1" ht="32.1" customHeight="1">
      <c r="A88" s="419" t="s">
        <v>151</v>
      </c>
      <c r="B88" s="238" t="s">
        <v>706</v>
      </c>
      <c r="C88" s="238" t="s">
        <v>2864</v>
      </c>
      <c r="D88" s="119"/>
      <c r="E88" s="286"/>
      <c r="F88" s="286"/>
      <c r="G88" s="286"/>
      <c r="H88" s="286"/>
      <c r="I88" s="286"/>
      <c r="J88" s="286"/>
      <c r="K88" s="286"/>
      <c r="L88" s="286"/>
      <c r="M88" s="286"/>
      <c r="N88" s="286"/>
      <c r="O88" s="286"/>
      <c r="P88" s="286"/>
      <c r="Q88" s="204" t="e">
        <f t="shared" si="3"/>
        <v>#DIV/0!</v>
      </c>
      <c r="R88" s="204" t="e">
        <f t="shared" si="4"/>
        <v>#DIV/0!</v>
      </c>
      <c r="S88" s="204" t="e">
        <f t="shared" si="5"/>
        <v>#DIV/0!</v>
      </c>
    </row>
    <row r="89" spans="1:19" s="277" customFormat="1" ht="32.1" customHeight="1">
      <c r="A89" s="419" t="s">
        <v>151</v>
      </c>
      <c r="B89" s="238" t="s">
        <v>2865</v>
      </c>
      <c r="C89" s="238" t="s">
        <v>2866</v>
      </c>
      <c r="D89" s="119">
        <v>480</v>
      </c>
      <c r="E89" s="286"/>
      <c r="F89" s="286"/>
      <c r="G89" s="286"/>
      <c r="H89" s="286"/>
      <c r="I89" s="286">
        <v>97.4</v>
      </c>
      <c r="J89" s="286"/>
      <c r="K89" s="286"/>
      <c r="L89" s="286"/>
      <c r="M89" s="286"/>
      <c r="N89" s="286"/>
      <c r="O89" s="286"/>
      <c r="P89" s="286"/>
      <c r="Q89" s="204">
        <f t="shared" si="3"/>
        <v>97.4</v>
      </c>
      <c r="R89" s="204" t="str">
        <f t="shared" si="4"/>
        <v>NO</v>
      </c>
      <c r="S89" s="204" t="str">
        <f t="shared" si="5"/>
        <v>Inviable Sanitariamente</v>
      </c>
    </row>
    <row r="90" spans="1:19" s="277" customFormat="1" ht="32.1" customHeight="1">
      <c r="A90" s="419" t="s">
        <v>151</v>
      </c>
      <c r="B90" s="238" t="s">
        <v>2867</v>
      </c>
      <c r="C90" s="238" t="s">
        <v>2868</v>
      </c>
      <c r="D90" s="119">
        <v>400</v>
      </c>
      <c r="E90" s="286"/>
      <c r="F90" s="286"/>
      <c r="G90" s="286"/>
      <c r="H90" s="286"/>
      <c r="I90" s="286">
        <v>97.4</v>
      </c>
      <c r="J90" s="286"/>
      <c r="K90" s="286"/>
      <c r="L90" s="286"/>
      <c r="M90" s="286"/>
      <c r="N90" s="286"/>
      <c r="O90" s="286"/>
      <c r="P90" s="286"/>
      <c r="Q90" s="204">
        <f t="shared" si="3"/>
        <v>97.4</v>
      </c>
      <c r="R90" s="204" t="str">
        <f t="shared" si="4"/>
        <v>NO</v>
      </c>
      <c r="S90" s="204" t="str">
        <f t="shared" si="5"/>
        <v>Inviable Sanitariamente</v>
      </c>
    </row>
    <row r="91" spans="1:19" s="277" customFormat="1" ht="32.1" customHeight="1">
      <c r="A91" s="419" t="s">
        <v>151</v>
      </c>
      <c r="B91" s="238" t="s">
        <v>863</v>
      </c>
      <c r="C91" s="238" t="s">
        <v>2869</v>
      </c>
      <c r="D91" s="119">
        <v>208</v>
      </c>
      <c r="E91" s="286"/>
      <c r="F91" s="286"/>
      <c r="G91" s="286">
        <v>97.4</v>
      </c>
      <c r="H91" s="286"/>
      <c r="I91" s="286"/>
      <c r="J91" s="286"/>
      <c r="K91" s="286"/>
      <c r="L91" s="286"/>
      <c r="M91" s="286"/>
      <c r="N91" s="286"/>
      <c r="O91" s="286"/>
      <c r="P91" s="286"/>
      <c r="Q91" s="204">
        <f t="shared" si="3"/>
        <v>97.4</v>
      </c>
      <c r="R91" s="204" t="str">
        <f t="shared" si="4"/>
        <v>NO</v>
      </c>
      <c r="S91" s="204" t="str">
        <f t="shared" si="5"/>
        <v>Inviable Sanitariamente</v>
      </c>
    </row>
    <row r="92" spans="1:19" s="277" customFormat="1" ht="32.1" customHeight="1">
      <c r="A92" s="419" t="s">
        <v>151</v>
      </c>
      <c r="B92" s="238" t="s">
        <v>2870</v>
      </c>
      <c r="C92" s="238" t="s">
        <v>2871</v>
      </c>
      <c r="D92" s="119"/>
      <c r="E92" s="286"/>
      <c r="F92" s="286"/>
      <c r="G92" s="286"/>
      <c r="H92" s="286"/>
      <c r="I92" s="286"/>
      <c r="J92" s="286"/>
      <c r="K92" s="286"/>
      <c r="L92" s="286"/>
      <c r="M92" s="286"/>
      <c r="N92" s="286"/>
      <c r="O92" s="286"/>
      <c r="P92" s="286"/>
      <c r="Q92" s="204" t="e">
        <f t="shared" ref="Q92:Q93" si="6">AVERAGE(E92:P92)</f>
        <v>#DIV/0!</v>
      </c>
      <c r="R92" s="204" t="e">
        <f t="shared" ref="R92:R93" si="7">IF(Q92&lt;5,"SI","NO")</f>
        <v>#DIV/0!</v>
      </c>
      <c r="S92" s="204" t="e">
        <f t="shared" ref="S92:S93" si="8">IF(Q92&lt;=5,"Sin Riesgo",IF(Q92 &lt;=14,"Bajo",IF(Q92&lt;=35,"Medio",IF(Q92&lt;=80,"Alto","Inviable Sanitariamente"))))</f>
        <v>#DIV/0!</v>
      </c>
    </row>
    <row r="93" spans="1:19" s="277" customFormat="1" ht="32.1" customHeight="1">
      <c r="A93" s="419" t="s">
        <v>151</v>
      </c>
      <c r="B93" s="238" t="s">
        <v>4532</v>
      </c>
      <c r="C93" s="238" t="s">
        <v>4533</v>
      </c>
      <c r="D93" s="119">
        <v>204</v>
      </c>
      <c r="E93" s="286"/>
      <c r="F93" s="286">
        <v>97.4</v>
      </c>
      <c r="G93" s="286"/>
      <c r="H93" s="286"/>
      <c r="I93" s="286"/>
      <c r="J93" s="286"/>
      <c r="K93" s="286"/>
      <c r="L93" s="286"/>
      <c r="M93" s="286"/>
      <c r="N93" s="286"/>
      <c r="O93" s="286"/>
      <c r="P93" s="286"/>
      <c r="Q93" s="204">
        <f t="shared" si="6"/>
        <v>97.4</v>
      </c>
      <c r="R93" s="204" t="str">
        <f t="shared" si="7"/>
        <v>NO</v>
      </c>
      <c r="S93" s="204" t="str">
        <f t="shared" si="8"/>
        <v>Inviable Sanitariamente</v>
      </c>
    </row>
    <row r="94" spans="1:19" s="277" customFormat="1" ht="32.1" customHeight="1">
      <c r="A94" s="419" t="s">
        <v>151</v>
      </c>
      <c r="B94" s="238" t="s">
        <v>4534</v>
      </c>
      <c r="C94" s="238" t="s">
        <v>4535</v>
      </c>
      <c r="D94" s="119">
        <v>400</v>
      </c>
      <c r="E94" s="286">
        <v>97.4</v>
      </c>
      <c r="F94" s="286"/>
      <c r="G94" s="286"/>
      <c r="H94" s="286"/>
      <c r="I94" s="286"/>
      <c r="J94" s="286"/>
      <c r="K94" s="286"/>
      <c r="L94" s="286"/>
      <c r="M94" s="286"/>
      <c r="N94" s="286"/>
      <c r="O94" s="286"/>
      <c r="P94" s="286"/>
      <c r="Q94" s="204">
        <f t="shared" si="3"/>
        <v>97.4</v>
      </c>
      <c r="R94" s="204" t="str">
        <f t="shared" si="4"/>
        <v>NO</v>
      </c>
      <c r="S94" s="204" t="str">
        <f t="shared" si="5"/>
        <v>Inviable Sanitariamente</v>
      </c>
    </row>
    <row r="95" spans="1:19" s="277" customFormat="1" ht="32.1" customHeight="1">
      <c r="A95" s="419" t="s">
        <v>234</v>
      </c>
      <c r="B95" s="238" t="s">
        <v>4443</v>
      </c>
      <c r="C95" s="238" t="s">
        <v>4444</v>
      </c>
      <c r="D95" s="119">
        <v>34</v>
      </c>
      <c r="E95" s="286"/>
      <c r="F95" s="286"/>
      <c r="G95" s="286"/>
      <c r="H95" s="286"/>
      <c r="I95" s="286"/>
      <c r="J95" s="286"/>
      <c r="K95" s="286"/>
      <c r="L95" s="286"/>
      <c r="M95" s="286"/>
      <c r="N95" s="286">
        <v>97.3</v>
      </c>
      <c r="O95" s="286"/>
      <c r="P95" s="286"/>
      <c r="Q95" s="204">
        <f t="shared" si="3"/>
        <v>97.3</v>
      </c>
      <c r="R95" s="204" t="str">
        <f t="shared" si="4"/>
        <v>NO</v>
      </c>
      <c r="S95" s="204" t="str">
        <f t="shared" si="5"/>
        <v>Inviable Sanitariamente</v>
      </c>
    </row>
    <row r="96" spans="1:19" s="277" customFormat="1" ht="32.1" customHeight="1">
      <c r="A96" s="419" t="s">
        <v>234</v>
      </c>
      <c r="B96" s="238" t="s">
        <v>4445</v>
      </c>
      <c r="C96" s="238" t="s">
        <v>4446</v>
      </c>
      <c r="D96" s="119">
        <v>32</v>
      </c>
      <c r="E96" s="286"/>
      <c r="F96" s="286"/>
      <c r="G96" s="286"/>
      <c r="H96" s="286"/>
      <c r="I96" s="286"/>
      <c r="J96" s="286"/>
      <c r="K96" s="286"/>
      <c r="L96" s="286"/>
      <c r="M96" s="286">
        <v>97.3</v>
      </c>
      <c r="N96" s="286"/>
      <c r="O96" s="286"/>
      <c r="P96" s="286"/>
      <c r="Q96" s="204">
        <f t="shared" si="3"/>
        <v>97.3</v>
      </c>
      <c r="R96" s="204" t="str">
        <f t="shared" si="4"/>
        <v>NO</v>
      </c>
      <c r="S96" s="204" t="str">
        <f t="shared" si="5"/>
        <v>Inviable Sanitariamente</v>
      </c>
    </row>
    <row r="97" spans="1:19" s="277" customFormat="1" ht="32.1" customHeight="1">
      <c r="A97" s="419" t="s">
        <v>234</v>
      </c>
      <c r="B97" s="238" t="s">
        <v>2912</v>
      </c>
      <c r="C97" s="238" t="s">
        <v>4447</v>
      </c>
      <c r="D97" s="119">
        <v>18</v>
      </c>
      <c r="E97" s="286"/>
      <c r="F97" s="286"/>
      <c r="G97" s="286"/>
      <c r="H97" s="286"/>
      <c r="I97" s="286"/>
      <c r="J97" s="286"/>
      <c r="K97" s="286"/>
      <c r="L97" s="286"/>
      <c r="M97" s="286"/>
      <c r="N97" s="286">
        <v>97.3</v>
      </c>
      <c r="O97" s="286"/>
      <c r="P97" s="286"/>
      <c r="Q97" s="204">
        <f t="shared" si="3"/>
        <v>97.3</v>
      </c>
      <c r="R97" s="204" t="str">
        <f t="shared" si="4"/>
        <v>NO</v>
      </c>
      <c r="S97" s="204" t="str">
        <f t="shared" si="5"/>
        <v>Inviable Sanitariamente</v>
      </c>
    </row>
    <row r="98" spans="1:19" s="277" customFormat="1" ht="32.1" customHeight="1">
      <c r="A98" s="419" t="s">
        <v>234</v>
      </c>
      <c r="B98" s="238" t="s">
        <v>4448</v>
      </c>
      <c r="C98" s="238" t="s">
        <v>4449</v>
      </c>
      <c r="D98" s="119">
        <v>18</v>
      </c>
      <c r="E98" s="286"/>
      <c r="F98" s="286"/>
      <c r="G98" s="286">
        <v>97.3</v>
      </c>
      <c r="H98" s="286"/>
      <c r="I98" s="286"/>
      <c r="J98" s="286"/>
      <c r="K98" s="286"/>
      <c r="L98" s="286"/>
      <c r="M98" s="286"/>
      <c r="N98" s="286"/>
      <c r="O98" s="286"/>
      <c r="P98" s="286"/>
      <c r="Q98" s="204">
        <f t="shared" si="3"/>
        <v>97.3</v>
      </c>
      <c r="R98" s="204" t="str">
        <f t="shared" si="4"/>
        <v>NO</v>
      </c>
      <c r="S98" s="204" t="str">
        <f t="shared" si="5"/>
        <v>Inviable Sanitariamente</v>
      </c>
    </row>
    <row r="99" spans="1:19" s="277" customFormat="1" ht="32.1" customHeight="1">
      <c r="A99" s="419" t="s">
        <v>234</v>
      </c>
      <c r="B99" s="238" t="s">
        <v>698</v>
      </c>
      <c r="C99" s="238" t="s">
        <v>4450</v>
      </c>
      <c r="D99" s="119">
        <v>18</v>
      </c>
      <c r="E99" s="286"/>
      <c r="F99" s="286"/>
      <c r="G99" s="286"/>
      <c r="H99" s="286"/>
      <c r="I99" s="286"/>
      <c r="J99" s="286"/>
      <c r="K99" s="286"/>
      <c r="L99" s="286"/>
      <c r="M99" s="286"/>
      <c r="N99" s="286">
        <v>97.3</v>
      </c>
      <c r="O99" s="286"/>
      <c r="P99" s="286"/>
      <c r="Q99" s="204">
        <f t="shared" si="3"/>
        <v>97.3</v>
      </c>
      <c r="R99" s="204" t="str">
        <f t="shared" si="4"/>
        <v>NO</v>
      </c>
      <c r="S99" s="204" t="str">
        <f t="shared" si="5"/>
        <v>Inviable Sanitariamente</v>
      </c>
    </row>
    <row r="100" spans="1:19" s="277" customFormat="1" ht="32.1" customHeight="1">
      <c r="A100" s="419" t="s">
        <v>234</v>
      </c>
      <c r="B100" s="238" t="s">
        <v>2875</v>
      </c>
      <c r="C100" s="238" t="s">
        <v>4451</v>
      </c>
      <c r="D100" s="119">
        <v>19</v>
      </c>
      <c r="E100" s="286"/>
      <c r="F100" s="286"/>
      <c r="G100" s="286"/>
      <c r="H100" s="286"/>
      <c r="I100" s="286"/>
      <c r="J100" s="286"/>
      <c r="K100" s="286"/>
      <c r="L100" s="286"/>
      <c r="M100" s="286">
        <v>97.3</v>
      </c>
      <c r="N100" s="286"/>
      <c r="O100" s="286"/>
      <c r="P100" s="286"/>
      <c r="Q100" s="204">
        <f t="shared" si="3"/>
        <v>97.3</v>
      </c>
      <c r="R100" s="204" t="str">
        <f t="shared" si="4"/>
        <v>NO</v>
      </c>
      <c r="S100" s="204" t="str">
        <f t="shared" si="5"/>
        <v>Inviable Sanitariamente</v>
      </c>
    </row>
    <row r="101" spans="1:19" s="277" customFormat="1" ht="32.1" customHeight="1">
      <c r="A101" s="419" t="s">
        <v>234</v>
      </c>
      <c r="B101" s="238" t="s">
        <v>236</v>
      </c>
      <c r="C101" s="238" t="s">
        <v>4452</v>
      </c>
      <c r="D101" s="119">
        <v>18</v>
      </c>
      <c r="E101" s="286"/>
      <c r="F101" s="286"/>
      <c r="G101" s="286">
        <v>97.3</v>
      </c>
      <c r="H101" s="286"/>
      <c r="I101" s="286"/>
      <c r="J101" s="286"/>
      <c r="K101" s="286"/>
      <c r="L101" s="286"/>
      <c r="M101" s="286"/>
      <c r="N101" s="286"/>
      <c r="O101" s="286"/>
      <c r="P101" s="286"/>
      <c r="Q101" s="204">
        <f t="shared" si="3"/>
        <v>97.3</v>
      </c>
      <c r="R101" s="204" t="str">
        <f t="shared" si="4"/>
        <v>NO</v>
      </c>
      <c r="S101" s="204" t="str">
        <f t="shared" si="5"/>
        <v>Inviable Sanitariamente</v>
      </c>
    </row>
    <row r="102" spans="1:19" s="277" customFormat="1" ht="32.1" customHeight="1">
      <c r="A102" s="419" t="s">
        <v>234</v>
      </c>
      <c r="B102" s="238" t="s">
        <v>847</v>
      </c>
      <c r="C102" s="238" t="s">
        <v>4453</v>
      </c>
      <c r="D102" s="119">
        <v>30</v>
      </c>
      <c r="E102" s="286"/>
      <c r="F102" s="286"/>
      <c r="G102" s="286"/>
      <c r="H102" s="286"/>
      <c r="I102" s="286">
        <v>97.3</v>
      </c>
      <c r="J102" s="286"/>
      <c r="K102" s="286"/>
      <c r="L102" s="286"/>
      <c r="M102" s="286"/>
      <c r="N102" s="286"/>
      <c r="O102" s="286"/>
      <c r="P102" s="286"/>
      <c r="Q102" s="204">
        <f t="shared" si="3"/>
        <v>97.3</v>
      </c>
      <c r="R102" s="204" t="str">
        <f t="shared" si="4"/>
        <v>NO</v>
      </c>
      <c r="S102" s="204" t="str">
        <f t="shared" si="5"/>
        <v>Inviable Sanitariamente</v>
      </c>
    </row>
    <row r="103" spans="1:19" s="277" customFormat="1" ht="32.1" customHeight="1">
      <c r="A103" s="419" t="s">
        <v>234</v>
      </c>
      <c r="B103" s="238" t="s">
        <v>4454</v>
      </c>
      <c r="C103" s="238" t="s">
        <v>4455</v>
      </c>
      <c r="D103" s="119">
        <v>20</v>
      </c>
      <c r="E103" s="286"/>
      <c r="F103" s="286"/>
      <c r="G103" s="286"/>
      <c r="H103" s="286"/>
      <c r="I103" s="286"/>
      <c r="J103" s="286"/>
      <c r="K103" s="286"/>
      <c r="L103" s="286"/>
      <c r="M103" s="286"/>
      <c r="N103" s="286">
        <v>97.3</v>
      </c>
      <c r="O103" s="286"/>
      <c r="P103" s="286"/>
      <c r="Q103" s="204">
        <f t="shared" si="3"/>
        <v>97.3</v>
      </c>
      <c r="R103" s="204" t="str">
        <f t="shared" si="4"/>
        <v>NO</v>
      </c>
      <c r="S103" s="204" t="str">
        <f t="shared" si="5"/>
        <v>Inviable Sanitariamente</v>
      </c>
    </row>
    <row r="104" spans="1:19" s="277" customFormat="1" ht="32.1" customHeight="1">
      <c r="A104" s="419" t="s">
        <v>234</v>
      </c>
      <c r="B104" s="238" t="s">
        <v>1281</v>
      </c>
      <c r="C104" s="238" t="s">
        <v>4456</v>
      </c>
      <c r="D104" s="119">
        <v>20</v>
      </c>
      <c r="E104" s="286"/>
      <c r="F104" s="286"/>
      <c r="G104" s="286"/>
      <c r="H104" s="286"/>
      <c r="I104" s="286">
        <v>97.3</v>
      </c>
      <c r="J104" s="286"/>
      <c r="K104" s="286"/>
      <c r="L104" s="286"/>
      <c r="M104" s="286"/>
      <c r="N104" s="286"/>
      <c r="O104" s="286"/>
      <c r="P104" s="286"/>
      <c r="Q104" s="204">
        <f t="shared" si="3"/>
        <v>97.3</v>
      </c>
      <c r="R104" s="204" t="str">
        <f t="shared" si="4"/>
        <v>NO</v>
      </c>
      <c r="S104" s="204" t="str">
        <f t="shared" si="5"/>
        <v>Inviable Sanitariamente</v>
      </c>
    </row>
    <row r="105" spans="1:19" s="277" customFormat="1" ht="32.1" customHeight="1">
      <c r="A105" s="419" t="s">
        <v>234</v>
      </c>
      <c r="B105" s="238" t="s">
        <v>2872</v>
      </c>
      <c r="C105" s="238" t="s">
        <v>2873</v>
      </c>
      <c r="D105" s="119">
        <v>75</v>
      </c>
      <c r="E105" s="286"/>
      <c r="F105" s="286"/>
      <c r="G105" s="286"/>
      <c r="H105" s="286"/>
      <c r="I105" s="286"/>
      <c r="J105" s="286"/>
      <c r="K105" s="286"/>
      <c r="L105" s="286">
        <v>97.3</v>
      </c>
      <c r="M105" s="286"/>
      <c r="N105" s="286"/>
      <c r="O105" s="286"/>
      <c r="P105" s="286"/>
      <c r="Q105" s="204">
        <f t="shared" ref="Q105" si="9">AVERAGE(E105:P105)</f>
        <v>97.3</v>
      </c>
      <c r="R105" s="204" t="str">
        <f t="shared" ref="R105" si="10">IF(Q105&lt;5,"SI","NO")</f>
        <v>NO</v>
      </c>
      <c r="S105" s="204" t="str">
        <f t="shared" ref="S105" si="11">IF(Q105&lt;=5,"Sin Riesgo",IF(Q105 &lt;=14,"Bajo",IF(Q105&lt;=35,"Medio",IF(Q105&lt;=80,"Alto","Inviable Sanitariamente"))))</f>
        <v>Inviable Sanitariamente</v>
      </c>
    </row>
    <row r="106" spans="1:19" s="277" customFormat="1" ht="32.1" customHeight="1">
      <c r="A106" s="419" t="s">
        <v>234</v>
      </c>
      <c r="B106" s="238" t="s">
        <v>1046</v>
      </c>
      <c r="C106" s="238" t="s">
        <v>2874</v>
      </c>
      <c r="D106" s="119">
        <v>65</v>
      </c>
      <c r="E106" s="286"/>
      <c r="F106" s="286"/>
      <c r="G106" s="286"/>
      <c r="H106" s="286">
        <v>97.3</v>
      </c>
      <c r="I106" s="286"/>
      <c r="J106" s="286"/>
      <c r="K106" s="286"/>
      <c r="L106" s="286"/>
      <c r="M106" s="286"/>
      <c r="N106" s="286"/>
      <c r="O106" s="286"/>
      <c r="P106" s="286"/>
      <c r="Q106" s="204">
        <f t="shared" si="3"/>
        <v>97.3</v>
      </c>
      <c r="R106" s="204" t="str">
        <f t="shared" si="4"/>
        <v>NO</v>
      </c>
      <c r="S106" s="204" t="str">
        <f t="shared" si="5"/>
        <v>Inviable Sanitariamente</v>
      </c>
    </row>
    <row r="107" spans="1:19" s="277" customFormat="1" ht="32.1" customHeight="1">
      <c r="A107" s="419" t="s">
        <v>234</v>
      </c>
      <c r="B107" s="238" t="s">
        <v>2875</v>
      </c>
      <c r="C107" s="238" t="s">
        <v>2876</v>
      </c>
      <c r="D107" s="119"/>
      <c r="E107" s="286"/>
      <c r="F107" s="286"/>
      <c r="G107" s="286"/>
      <c r="H107" s="286"/>
      <c r="I107" s="286"/>
      <c r="J107" s="286"/>
      <c r="K107" s="286"/>
      <c r="L107" s="286"/>
      <c r="M107" s="286"/>
      <c r="N107" s="286"/>
      <c r="O107" s="286"/>
      <c r="P107" s="286"/>
      <c r="Q107" s="204" t="e">
        <f t="shared" si="3"/>
        <v>#DIV/0!</v>
      </c>
      <c r="R107" s="204" t="e">
        <f t="shared" si="4"/>
        <v>#DIV/0!</v>
      </c>
      <c r="S107" s="204" t="e">
        <f t="shared" si="5"/>
        <v>#DIV/0!</v>
      </c>
    </row>
    <row r="108" spans="1:19" s="277" customFormat="1" ht="32.1" customHeight="1">
      <c r="A108" s="419" t="s">
        <v>234</v>
      </c>
      <c r="B108" s="238" t="s">
        <v>2877</v>
      </c>
      <c r="C108" s="238" t="s">
        <v>2878</v>
      </c>
      <c r="D108" s="119"/>
      <c r="E108" s="286"/>
      <c r="F108" s="286"/>
      <c r="G108" s="286"/>
      <c r="H108" s="286"/>
      <c r="I108" s="286"/>
      <c r="J108" s="286"/>
      <c r="K108" s="286"/>
      <c r="L108" s="286"/>
      <c r="M108" s="286"/>
      <c r="N108" s="286"/>
      <c r="O108" s="286"/>
      <c r="P108" s="286"/>
      <c r="Q108" s="204" t="e">
        <f t="shared" si="3"/>
        <v>#DIV/0!</v>
      </c>
      <c r="R108" s="204" t="e">
        <f t="shared" si="4"/>
        <v>#DIV/0!</v>
      </c>
      <c r="S108" s="204" t="e">
        <f t="shared" si="5"/>
        <v>#DIV/0!</v>
      </c>
    </row>
    <row r="109" spans="1:19" s="277" customFormat="1" ht="32.1" customHeight="1">
      <c r="A109" s="419" t="s">
        <v>234</v>
      </c>
      <c r="B109" s="238" t="s">
        <v>2879</v>
      </c>
      <c r="C109" s="238" t="s">
        <v>2880</v>
      </c>
      <c r="D109" s="119"/>
      <c r="E109" s="286"/>
      <c r="F109" s="286"/>
      <c r="G109" s="286"/>
      <c r="H109" s="286"/>
      <c r="I109" s="286"/>
      <c r="J109" s="286"/>
      <c r="K109" s="286"/>
      <c r="L109" s="286"/>
      <c r="M109" s="286"/>
      <c r="N109" s="286"/>
      <c r="O109" s="286"/>
      <c r="P109" s="286"/>
      <c r="Q109" s="204" t="e">
        <f t="shared" si="3"/>
        <v>#DIV/0!</v>
      </c>
      <c r="R109" s="204" t="e">
        <f t="shared" si="4"/>
        <v>#DIV/0!</v>
      </c>
      <c r="S109" s="204" t="e">
        <f t="shared" si="5"/>
        <v>#DIV/0!</v>
      </c>
    </row>
    <row r="110" spans="1:19" s="277" customFormat="1" ht="32.1" customHeight="1">
      <c r="A110" s="419" t="s">
        <v>234</v>
      </c>
      <c r="B110" s="238" t="s">
        <v>2881</v>
      </c>
      <c r="C110" s="238" t="s">
        <v>2882</v>
      </c>
      <c r="D110" s="119">
        <v>245</v>
      </c>
      <c r="E110" s="286"/>
      <c r="F110" s="286">
        <v>97.3</v>
      </c>
      <c r="G110" s="286"/>
      <c r="H110" s="286"/>
      <c r="I110" s="286"/>
      <c r="J110" s="286"/>
      <c r="K110" s="286"/>
      <c r="L110" s="286">
        <v>97.3</v>
      </c>
      <c r="M110" s="286"/>
      <c r="N110" s="286"/>
      <c r="O110" s="286">
        <v>0</v>
      </c>
      <c r="P110" s="286"/>
      <c r="Q110" s="204">
        <f t="shared" ref="Q110:Q174" si="12">AVERAGE(E110:P110)</f>
        <v>64.86666666666666</v>
      </c>
      <c r="R110" s="204" t="str">
        <f t="shared" si="4"/>
        <v>NO</v>
      </c>
      <c r="S110" s="204" t="str">
        <f t="shared" si="5"/>
        <v>Alto</v>
      </c>
    </row>
    <row r="111" spans="1:19" s="277" customFormat="1" ht="32.1" customHeight="1">
      <c r="A111" s="419" t="s">
        <v>234</v>
      </c>
      <c r="B111" s="238" t="s">
        <v>2883</v>
      </c>
      <c r="C111" s="238" t="s">
        <v>2884</v>
      </c>
      <c r="D111" s="114"/>
      <c r="E111" s="286"/>
      <c r="F111" s="286"/>
      <c r="G111" s="286"/>
      <c r="H111" s="286"/>
      <c r="I111" s="286"/>
      <c r="J111" s="286"/>
      <c r="K111" s="286"/>
      <c r="L111" s="286"/>
      <c r="M111" s="286"/>
      <c r="N111" s="286"/>
      <c r="O111" s="286"/>
      <c r="P111" s="286"/>
      <c r="Q111" s="204" t="e">
        <f t="shared" si="12"/>
        <v>#DIV/0!</v>
      </c>
      <c r="R111" s="204" t="e">
        <f t="shared" si="4"/>
        <v>#DIV/0!</v>
      </c>
      <c r="S111" s="204" t="e">
        <f t="shared" si="5"/>
        <v>#DIV/0!</v>
      </c>
    </row>
    <row r="112" spans="1:19" s="277" customFormat="1" ht="32.1" customHeight="1">
      <c r="A112" s="419" t="s">
        <v>234</v>
      </c>
      <c r="B112" s="238" t="s">
        <v>100</v>
      </c>
      <c r="C112" s="238" t="s">
        <v>2885</v>
      </c>
      <c r="D112" s="119"/>
      <c r="E112" s="286"/>
      <c r="F112" s="286"/>
      <c r="G112" s="286"/>
      <c r="H112" s="286"/>
      <c r="I112" s="286"/>
      <c r="J112" s="286"/>
      <c r="K112" s="286"/>
      <c r="L112" s="286"/>
      <c r="M112" s="286"/>
      <c r="N112" s="286"/>
      <c r="O112" s="286"/>
      <c r="P112" s="286"/>
      <c r="Q112" s="204" t="e">
        <f t="shared" si="12"/>
        <v>#DIV/0!</v>
      </c>
      <c r="R112" s="204" t="e">
        <f t="shared" si="4"/>
        <v>#DIV/0!</v>
      </c>
      <c r="S112" s="204" t="e">
        <f t="shared" si="5"/>
        <v>#DIV/0!</v>
      </c>
    </row>
    <row r="113" spans="1:19" s="277" customFormat="1" ht="32.1" customHeight="1">
      <c r="A113" s="419" t="s">
        <v>234</v>
      </c>
      <c r="B113" s="238" t="s">
        <v>2886</v>
      </c>
      <c r="C113" s="238" t="s">
        <v>2887</v>
      </c>
      <c r="D113" s="119"/>
      <c r="E113" s="286"/>
      <c r="F113" s="286"/>
      <c r="G113" s="286"/>
      <c r="H113" s="286"/>
      <c r="I113" s="286"/>
      <c r="J113" s="286"/>
      <c r="K113" s="286"/>
      <c r="L113" s="286"/>
      <c r="M113" s="286"/>
      <c r="N113" s="286"/>
      <c r="O113" s="286"/>
      <c r="P113" s="286"/>
      <c r="Q113" s="204" t="e">
        <f t="shared" si="12"/>
        <v>#DIV/0!</v>
      </c>
      <c r="R113" s="204" t="e">
        <f t="shared" si="4"/>
        <v>#DIV/0!</v>
      </c>
      <c r="S113" s="204" t="e">
        <f t="shared" si="5"/>
        <v>#DIV/0!</v>
      </c>
    </row>
    <row r="114" spans="1:19" s="277" customFormat="1" ht="32.1" customHeight="1">
      <c r="A114" s="419" t="s">
        <v>234</v>
      </c>
      <c r="B114" s="238" t="s">
        <v>2888</v>
      </c>
      <c r="C114" s="238" t="s">
        <v>2889</v>
      </c>
      <c r="D114" s="114"/>
      <c r="E114" s="286"/>
      <c r="F114" s="286"/>
      <c r="G114" s="286"/>
      <c r="H114" s="286"/>
      <c r="I114" s="286"/>
      <c r="J114" s="286"/>
      <c r="K114" s="286"/>
      <c r="L114" s="286"/>
      <c r="M114" s="286"/>
      <c r="N114" s="286"/>
      <c r="O114" s="286"/>
      <c r="P114" s="286"/>
      <c r="Q114" s="204" t="e">
        <f t="shared" si="12"/>
        <v>#DIV/0!</v>
      </c>
      <c r="R114" s="204" t="e">
        <f t="shared" si="4"/>
        <v>#DIV/0!</v>
      </c>
      <c r="S114" s="204" t="e">
        <f t="shared" si="5"/>
        <v>#DIV/0!</v>
      </c>
    </row>
    <row r="115" spans="1:19" s="277" customFormat="1" ht="32.1" customHeight="1">
      <c r="A115" s="419" t="s">
        <v>234</v>
      </c>
      <c r="B115" s="238" t="s">
        <v>2890</v>
      </c>
      <c r="C115" s="238" t="s">
        <v>2891</v>
      </c>
      <c r="D115" s="119"/>
      <c r="E115" s="286"/>
      <c r="F115" s="286"/>
      <c r="G115" s="286"/>
      <c r="H115" s="286"/>
      <c r="I115" s="286"/>
      <c r="J115" s="286"/>
      <c r="K115" s="286"/>
      <c r="L115" s="286"/>
      <c r="M115" s="286"/>
      <c r="N115" s="286"/>
      <c r="O115" s="286"/>
      <c r="P115" s="286"/>
      <c r="Q115" s="204" t="e">
        <f t="shared" si="12"/>
        <v>#DIV/0!</v>
      </c>
      <c r="R115" s="204" t="e">
        <f t="shared" si="4"/>
        <v>#DIV/0!</v>
      </c>
      <c r="S115" s="204" t="e">
        <f t="shared" si="5"/>
        <v>#DIV/0!</v>
      </c>
    </row>
    <row r="116" spans="1:19" s="277" customFormat="1" ht="32.1" customHeight="1">
      <c r="A116" s="419" t="s">
        <v>234</v>
      </c>
      <c r="B116" s="238" t="s">
        <v>2892</v>
      </c>
      <c r="C116" s="238" t="s">
        <v>2893</v>
      </c>
      <c r="D116" s="119"/>
      <c r="E116" s="286"/>
      <c r="F116" s="286"/>
      <c r="G116" s="286"/>
      <c r="H116" s="286"/>
      <c r="I116" s="286"/>
      <c r="J116" s="286"/>
      <c r="K116" s="286"/>
      <c r="L116" s="286"/>
      <c r="M116" s="286"/>
      <c r="N116" s="286"/>
      <c r="O116" s="286"/>
      <c r="P116" s="286"/>
      <c r="Q116" s="204" t="e">
        <f t="shared" si="12"/>
        <v>#DIV/0!</v>
      </c>
      <c r="R116" s="204" t="e">
        <f t="shared" si="4"/>
        <v>#DIV/0!</v>
      </c>
      <c r="S116" s="204" t="e">
        <f t="shared" si="5"/>
        <v>#DIV/0!</v>
      </c>
    </row>
    <row r="117" spans="1:19" s="277" customFormat="1" ht="32.1" customHeight="1">
      <c r="A117" s="419" t="s">
        <v>234</v>
      </c>
      <c r="B117" s="238" t="s">
        <v>2879</v>
      </c>
      <c r="C117" s="238" t="s">
        <v>4459</v>
      </c>
      <c r="D117" s="114">
        <v>140</v>
      </c>
      <c r="E117" s="286"/>
      <c r="F117" s="286"/>
      <c r="G117" s="286"/>
      <c r="H117" s="286"/>
      <c r="I117" s="286"/>
      <c r="J117" s="286">
        <v>97.3</v>
      </c>
      <c r="K117" s="286"/>
      <c r="L117" s="286"/>
      <c r="M117" s="286"/>
      <c r="N117" s="286"/>
      <c r="O117" s="286"/>
      <c r="P117" s="286"/>
      <c r="Q117" s="204">
        <f t="shared" si="12"/>
        <v>97.3</v>
      </c>
      <c r="R117" s="204" t="str">
        <f t="shared" si="4"/>
        <v>NO</v>
      </c>
      <c r="S117" s="204" t="str">
        <f t="shared" si="5"/>
        <v>Inviable Sanitariamente</v>
      </c>
    </row>
    <row r="118" spans="1:19" s="277" customFormat="1" ht="32.1" customHeight="1">
      <c r="A118" s="419" t="s">
        <v>234</v>
      </c>
      <c r="B118" s="238" t="s">
        <v>2894</v>
      </c>
      <c r="C118" s="238" t="s">
        <v>2895</v>
      </c>
      <c r="D118" s="119">
        <v>70</v>
      </c>
      <c r="E118" s="286"/>
      <c r="F118" s="286"/>
      <c r="G118" s="286"/>
      <c r="H118" s="286"/>
      <c r="I118" s="286"/>
      <c r="J118" s="286">
        <v>97.3</v>
      </c>
      <c r="K118" s="286"/>
      <c r="L118" s="286"/>
      <c r="M118" s="286"/>
      <c r="N118" s="286"/>
      <c r="O118" s="286"/>
      <c r="P118" s="286"/>
      <c r="Q118" s="204">
        <f t="shared" si="12"/>
        <v>97.3</v>
      </c>
      <c r="R118" s="204" t="str">
        <f t="shared" si="4"/>
        <v>NO</v>
      </c>
      <c r="S118" s="204" t="str">
        <f t="shared" si="5"/>
        <v>Inviable Sanitariamente</v>
      </c>
    </row>
    <row r="119" spans="1:19" s="277" customFormat="1" ht="32.1" customHeight="1">
      <c r="A119" s="419" t="s">
        <v>234</v>
      </c>
      <c r="B119" s="238" t="s">
        <v>2861</v>
      </c>
      <c r="C119" s="238" t="s">
        <v>2896</v>
      </c>
      <c r="D119" s="119">
        <v>30</v>
      </c>
      <c r="E119" s="286"/>
      <c r="F119" s="286">
        <v>97.3</v>
      </c>
      <c r="G119" s="286"/>
      <c r="H119" s="286"/>
      <c r="I119" s="286"/>
      <c r="J119" s="286"/>
      <c r="K119" s="286"/>
      <c r="L119" s="286"/>
      <c r="M119" s="286"/>
      <c r="N119" s="286"/>
      <c r="O119" s="286"/>
      <c r="P119" s="286"/>
      <c r="Q119" s="204">
        <f t="shared" si="12"/>
        <v>97.3</v>
      </c>
      <c r="R119" s="204" t="str">
        <f t="shared" si="4"/>
        <v>NO</v>
      </c>
      <c r="S119" s="204" t="str">
        <f t="shared" si="5"/>
        <v>Inviable Sanitariamente</v>
      </c>
    </row>
    <row r="120" spans="1:19" s="277" customFormat="1" ht="32.1" customHeight="1">
      <c r="A120" s="419" t="s">
        <v>234</v>
      </c>
      <c r="B120" s="238" t="s">
        <v>702</v>
      </c>
      <c r="C120" s="238" t="s">
        <v>2897</v>
      </c>
      <c r="D120" s="119">
        <v>22</v>
      </c>
      <c r="E120" s="286"/>
      <c r="F120" s="286"/>
      <c r="G120" s="286"/>
      <c r="H120" s="286"/>
      <c r="I120" s="286"/>
      <c r="J120" s="286"/>
      <c r="K120" s="286"/>
      <c r="L120" s="286"/>
      <c r="M120" s="286"/>
      <c r="N120" s="286"/>
      <c r="O120" s="286">
        <v>97.3</v>
      </c>
      <c r="P120" s="286"/>
      <c r="Q120" s="204">
        <f t="shared" si="12"/>
        <v>97.3</v>
      </c>
      <c r="R120" s="204" t="str">
        <f t="shared" si="4"/>
        <v>NO</v>
      </c>
      <c r="S120" s="204" t="str">
        <f t="shared" si="5"/>
        <v>Inviable Sanitariamente</v>
      </c>
    </row>
    <row r="121" spans="1:19" s="277" customFormat="1" ht="32.1" customHeight="1">
      <c r="A121" s="419" t="s">
        <v>234</v>
      </c>
      <c r="B121" s="238" t="s">
        <v>2898</v>
      </c>
      <c r="C121" s="238" t="s">
        <v>2899</v>
      </c>
      <c r="D121" s="119">
        <v>21</v>
      </c>
      <c r="E121" s="286"/>
      <c r="F121" s="286"/>
      <c r="G121" s="286"/>
      <c r="H121" s="286"/>
      <c r="I121" s="286"/>
      <c r="J121" s="286"/>
      <c r="K121" s="286"/>
      <c r="L121" s="286">
        <v>97.3</v>
      </c>
      <c r="M121" s="286"/>
      <c r="N121" s="286"/>
      <c r="O121" s="286"/>
      <c r="P121" s="286"/>
      <c r="Q121" s="204">
        <f t="shared" si="12"/>
        <v>97.3</v>
      </c>
      <c r="R121" s="204" t="str">
        <f t="shared" si="4"/>
        <v>NO</v>
      </c>
      <c r="S121" s="204" t="str">
        <f t="shared" si="5"/>
        <v>Inviable Sanitariamente</v>
      </c>
    </row>
    <row r="122" spans="1:19" s="277" customFormat="1" ht="32.1" customHeight="1">
      <c r="A122" s="419" t="s">
        <v>234</v>
      </c>
      <c r="B122" s="238" t="s">
        <v>2900</v>
      </c>
      <c r="C122" s="238" t="s">
        <v>2901</v>
      </c>
      <c r="D122" s="119">
        <v>26</v>
      </c>
      <c r="E122" s="286"/>
      <c r="F122" s="286"/>
      <c r="G122" s="286"/>
      <c r="H122" s="286"/>
      <c r="I122" s="286">
        <v>97.3</v>
      </c>
      <c r="J122" s="286"/>
      <c r="K122" s="286"/>
      <c r="L122" s="286"/>
      <c r="M122" s="286"/>
      <c r="N122" s="286"/>
      <c r="O122" s="286"/>
      <c r="P122" s="286"/>
      <c r="Q122" s="204">
        <f t="shared" si="12"/>
        <v>97.3</v>
      </c>
      <c r="R122" s="204" t="str">
        <f t="shared" si="4"/>
        <v>NO</v>
      </c>
      <c r="S122" s="204" t="str">
        <f t="shared" si="5"/>
        <v>Inviable Sanitariamente</v>
      </c>
    </row>
    <row r="123" spans="1:19" s="277" customFormat="1" ht="32.1" customHeight="1">
      <c r="A123" s="419" t="s">
        <v>234</v>
      </c>
      <c r="B123" s="238" t="s">
        <v>2902</v>
      </c>
      <c r="C123" s="238" t="s">
        <v>2903</v>
      </c>
      <c r="D123" s="119">
        <v>52</v>
      </c>
      <c r="E123" s="286"/>
      <c r="F123" s="286"/>
      <c r="G123" s="286"/>
      <c r="H123" s="286"/>
      <c r="I123" s="286"/>
      <c r="J123" s="286"/>
      <c r="K123" s="286"/>
      <c r="L123" s="286">
        <v>97.3</v>
      </c>
      <c r="M123" s="286"/>
      <c r="N123" s="286"/>
      <c r="O123" s="286"/>
      <c r="P123" s="286"/>
      <c r="Q123" s="204">
        <f t="shared" si="12"/>
        <v>97.3</v>
      </c>
      <c r="R123" s="204" t="str">
        <f t="shared" si="4"/>
        <v>NO</v>
      </c>
      <c r="S123" s="204" t="str">
        <f t="shared" si="5"/>
        <v>Inviable Sanitariamente</v>
      </c>
    </row>
    <row r="124" spans="1:19" s="277" customFormat="1" ht="32.1" customHeight="1">
      <c r="A124" s="419" t="s">
        <v>234</v>
      </c>
      <c r="B124" s="238" t="s">
        <v>2904</v>
      </c>
      <c r="C124" s="238" t="s">
        <v>2905</v>
      </c>
      <c r="D124" s="119">
        <v>37</v>
      </c>
      <c r="E124" s="286"/>
      <c r="F124" s="286"/>
      <c r="G124" s="286"/>
      <c r="H124" s="286"/>
      <c r="I124" s="286">
        <v>97.3</v>
      </c>
      <c r="J124" s="286"/>
      <c r="K124" s="286"/>
      <c r="L124" s="286"/>
      <c r="M124" s="286"/>
      <c r="N124" s="286"/>
      <c r="O124" s="286"/>
      <c r="P124" s="286"/>
      <c r="Q124" s="204">
        <f t="shared" si="12"/>
        <v>97.3</v>
      </c>
      <c r="R124" s="204" t="str">
        <f t="shared" si="4"/>
        <v>NO</v>
      </c>
      <c r="S124" s="204" t="str">
        <f t="shared" si="5"/>
        <v>Inviable Sanitariamente</v>
      </c>
    </row>
    <row r="125" spans="1:19" s="277" customFormat="1" ht="32.1" customHeight="1">
      <c r="A125" s="419" t="s">
        <v>234</v>
      </c>
      <c r="B125" s="238" t="s">
        <v>2906</v>
      </c>
      <c r="C125" s="238" t="s">
        <v>2907</v>
      </c>
      <c r="D125" s="119">
        <v>115</v>
      </c>
      <c r="E125" s="286"/>
      <c r="F125" s="286"/>
      <c r="G125" s="286"/>
      <c r="H125" s="286"/>
      <c r="I125" s="286"/>
      <c r="J125" s="286">
        <v>97.3</v>
      </c>
      <c r="K125" s="286"/>
      <c r="L125" s="286"/>
      <c r="M125" s="286"/>
      <c r="N125" s="286"/>
      <c r="O125" s="286"/>
      <c r="P125" s="286"/>
      <c r="Q125" s="204">
        <f t="shared" si="12"/>
        <v>97.3</v>
      </c>
      <c r="R125" s="204" t="str">
        <f t="shared" si="4"/>
        <v>NO</v>
      </c>
      <c r="S125" s="204" t="str">
        <f t="shared" si="5"/>
        <v>Inviable Sanitariamente</v>
      </c>
    </row>
    <row r="126" spans="1:19" s="277" customFormat="1" ht="32.1" customHeight="1">
      <c r="A126" s="419" t="s">
        <v>234</v>
      </c>
      <c r="B126" s="238" t="s">
        <v>2908</v>
      </c>
      <c r="C126" s="238" t="s">
        <v>2909</v>
      </c>
      <c r="D126" s="119">
        <v>23</v>
      </c>
      <c r="E126" s="286"/>
      <c r="F126" s="286"/>
      <c r="G126" s="286"/>
      <c r="H126" s="286"/>
      <c r="I126" s="286"/>
      <c r="J126" s="286"/>
      <c r="K126" s="286"/>
      <c r="L126" s="286"/>
      <c r="M126" s="286"/>
      <c r="N126" s="286">
        <v>97.3</v>
      </c>
      <c r="O126" s="286"/>
      <c r="P126" s="286"/>
      <c r="Q126" s="204">
        <f t="shared" si="12"/>
        <v>97.3</v>
      </c>
      <c r="R126" s="204" t="str">
        <f t="shared" si="4"/>
        <v>NO</v>
      </c>
      <c r="S126" s="204" t="str">
        <f t="shared" si="5"/>
        <v>Inviable Sanitariamente</v>
      </c>
    </row>
    <row r="127" spans="1:19" s="277" customFormat="1" ht="32.1" customHeight="1">
      <c r="A127" s="419" t="s">
        <v>234</v>
      </c>
      <c r="B127" s="238" t="s">
        <v>2910</v>
      </c>
      <c r="C127" s="238" t="s">
        <v>2911</v>
      </c>
      <c r="D127" s="119">
        <v>47</v>
      </c>
      <c r="E127" s="286"/>
      <c r="F127" s="286"/>
      <c r="G127" s="286"/>
      <c r="H127" s="286"/>
      <c r="I127" s="286"/>
      <c r="J127" s="286"/>
      <c r="K127" s="286"/>
      <c r="L127" s="286"/>
      <c r="M127" s="286">
        <v>97.3</v>
      </c>
      <c r="N127" s="286"/>
      <c r="O127" s="286"/>
      <c r="P127" s="286"/>
      <c r="Q127" s="204">
        <f t="shared" si="12"/>
        <v>97.3</v>
      </c>
      <c r="R127" s="204" t="str">
        <f t="shared" si="4"/>
        <v>NO</v>
      </c>
      <c r="S127" s="204" t="str">
        <f t="shared" si="5"/>
        <v>Inviable Sanitariamente</v>
      </c>
    </row>
    <row r="128" spans="1:19" s="277" customFormat="1" ht="32.1" customHeight="1">
      <c r="A128" s="419" t="s">
        <v>234</v>
      </c>
      <c r="B128" s="238" t="s">
        <v>2912</v>
      </c>
      <c r="C128" s="238" t="s">
        <v>2913</v>
      </c>
      <c r="D128" s="119"/>
      <c r="E128" s="286"/>
      <c r="F128" s="286"/>
      <c r="G128" s="286"/>
      <c r="H128" s="286"/>
      <c r="I128" s="286"/>
      <c r="J128" s="286"/>
      <c r="K128" s="286"/>
      <c r="L128" s="286"/>
      <c r="M128" s="286"/>
      <c r="N128" s="286"/>
      <c r="O128" s="286"/>
      <c r="P128" s="286"/>
      <c r="Q128" s="204" t="e">
        <f t="shared" si="12"/>
        <v>#DIV/0!</v>
      </c>
      <c r="R128" s="204" t="e">
        <f t="shared" si="4"/>
        <v>#DIV/0!</v>
      </c>
      <c r="S128" s="204" t="e">
        <f t="shared" si="5"/>
        <v>#DIV/0!</v>
      </c>
    </row>
    <row r="129" spans="1:19" s="277" customFormat="1" ht="32.1" customHeight="1">
      <c r="A129" s="419" t="s">
        <v>234</v>
      </c>
      <c r="B129" s="238" t="s">
        <v>2914</v>
      </c>
      <c r="C129" s="238" t="s">
        <v>2915</v>
      </c>
      <c r="D129" s="156"/>
      <c r="E129" s="286"/>
      <c r="F129" s="286"/>
      <c r="G129" s="286"/>
      <c r="H129" s="286"/>
      <c r="I129" s="286"/>
      <c r="J129" s="286"/>
      <c r="K129" s="286"/>
      <c r="L129" s="286"/>
      <c r="M129" s="286"/>
      <c r="N129" s="286"/>
      <c r="O129" s="286"/>
      <c r="P129" s="286"/>
      <c r="Q129" s="204" t="e">
        <f t="shared" si="12"/>
        <v>#DIV/0!</v>
      </c>
      <c r="R129" s="204" t="e">
        <f t="shared" si="4"/>
        <v>#DIV/0!</v>
      </c>
      <c r="S129" s="204" t="e">
        <f t="shared" si="5"/>
        <v>#DIV/0!</v>
      </c>
    </row>
    <row r="130" spans="1:19" s="277" customFormat="1" ht="32.1" customHeight="1">
      <c r="A130" s="419" t="s">
        <v>234</v>
      </c>
      <c r="B130" s="238" t="s">
        <v>2916</v>
      </c>
      <c r="C130" s="238" t="s">
        <v>2917</v>
      </c>
      <c r="D130" s="119">
        <v>26</v>
      </c>
      <c r="E130" s="286"/>
      <c r="F130" s="286"/>
      <c r="G130" s="286"/>
      <c r="H130" s="286"/>
      <c r="I130" s="286"/>
      <c r="J130" s="286"/>
      <c r="K130" s="286"/>
      <c r="L130" s="286">
        <v>97.3</v>
      </c>
      <c r="M130" s="286"/>
      <c r="N130" s="286"/>
      <c r="O130" s="286"/>
      <c r="P130" s="286"/>
      <c r="Q130" s="204">
        <f t="shared" si="12"/>
        <v>97.3</v>
      </c>
      <c r="R130" s="204" t="str">
        <f t="shared" si="4"/>
        <v>NO</v>
      </c>
      <c r="S130" s="204" t="str">
        <f t="shared" si="5"/>
        <v>Inviable Sanitariamente</v>
      </c>
    </row>
    <row r="131" spans="1:19" s="277" customFormat="1" ht="32.1" customHeight="1">
      <c r="A131" s="419" t="s">
        <v>234</v>
      </c>
      <c r="B131" s="238" t="s">
        <v>2918</v>
      </c>
      <c r="C131" s="238" t="s">
        <v>2919</v>
      </c>
      <c r="D131" s="119"/>
      <c r="E131" s="286"/>
      <c r="F131" s="286"/>
      <c r="G131" s="286"/>
      <c r="H131" s="286"/>
      <c r="I131" s="286"/>
      <c r="J131" s="286"/>
      <c r="K131" s="286"/>
      <c r="L131" s="286"/>
      <c r="M131" s="286"/>
      <c r="N131" s="286"/>
      <c r="O131" s="286"/>
      <c r="P131" s="286"/>
      <c r="Q131" s="204" t="e">
        <f t="shared" si="12"/>
        <v>#DIV/0!</v>
      </c>
      <c r="R131" s="204" t="e">
        <f t="shared" si="4"/>
        <v>#DIV/0!</v>
      </c>
      <c r="S131" s="204" t="e">
        <f t="shared" si="5"/>
        <v>#DIV/0!</v>
      </c>
    </row>
    <row r="132" spans="1:19" s="277" customFormat="1" ht="32.1" customHeight="1">
      <c r="A132" s="419" t="s">
        <v>234</v>
      </c>
      <c r="B132" s="238" t="s">
        <v>2920</v>
      </c>
      <c r="C132" s="238" t="s">
        <v>2921</v>
      </c>
      <c r="D132" s="119"/>
      <c r="E132" s="286"/>
      <c r="F132" s="286"/>
      <c r="G132" s="286"/>
      <c r="H132" s="286"/>
      <c r="I132" s="286"/>
      <c r="J132" s="286"/>
      <c r="K132" s="286"/>
      <c r="L132" s="286"/>
      <c r="M132" s="286"/>
      <c r="N132" s="286"/>
      <c r="O132" s="286"/>
      <c r="P132" s="286"/>
      <c r="Q132" s="204" t="e">
        <f t="shared" si="12"/>
        <v>#DIV/0!</v>
      </c>
      <c r="R132" s="204" t="e">
        <f t="shared" si="4"/>
        <v>#DIV/0!</v>
      </c>
      <c r="S132" s="204" t="e">
        <f t="shared" si="5"/>
        <v>#DIV/0!</v>
      </c>
    </row>
    <row r="133" spans="1:19" s="277" customFormat="1" ht="32.1" customHeight="1">
      <c r="A133" s="419" t="s">
        <v>234</v>
      </c>
      <c r="B133" s="238" t="s">
        <v>2922</v>
      </c>
      <c r="C133" s="238" t="s">
        <v>2923</v>
      </c>
      <c r="D133" s="119">
        <v>28</v>
      </c>
      <c r="E133" s="286"/>
      <c r="F133" s="286"/>
      <c r="G133" s="286"/>
      <c r="H133" s="286">
        <v>97.3</v>
      </c>
      <c r="I133" s="286"/>
      <c r="J133" s="286"/>
      <c r="K133" s="286"/>
      <c r="L133" s="286"/>
      <c r="M133" s="286"/>
      <c r="N133" s="286"/>
      <c r="O133" s="286"/>
      <c r="P133" s="286"/>
      <c r="Q133" s="204">
        <f t="shared" si="12"/>
        <v>97.3</v>
      </c>
      <c r="R133" s="204" t="str">
        <f t="shared" si="4"/>
        <v>NO</v>
      </c>
      <c r="S133" s="204" t="str">
        <f t="shared" si="5"/>
        <v>Inviable Sanitariamente</v>
      </c>
    </row>
    <row r="134" spans="1:19" s="277" customFormat="1" ht="32.1" customHeight="1">
      <c r="A134" s="419" t="s">
        <v>234</v>
      </c>
      <c r="B134" s="238" t="s">
        <v>2924</v>
      </c>
      <c r="C134" s="238" t="s">
        <v>2925</v>
      </c>
      <c r="D134" s="119"/>
      <c r="E134" s="286"/>
      <c r="F134" s="286"/>
      <c r="G134" s="286"/>
      <c r="H134" s="286"/>
      <c r="I134" s="286"/>
      <c r="J134" s="286"/>
      <c r="K134" s="286"/>
      <c r="L134" s="286"/>
      <c r="M134" s="286"/>
      <c r="N134" s="286"/>
      <c r="O134" s="286"/>
      <c r="P134" s="286"/>
      <c r="Q134" s="204" t="e">
        <f t="shared" si="12"/>
        <v>#DIV/0!</v>
      </c>
      <c r="R134" s="204" t="e">
        <f t="shared" si="4"/>
        <v>#DIV/0!</v>
      </c>
      <c r="S134" s="204" t="e">
        <f t="shared" si="5"/>
        <v>#DIV/0!</v>
      </c>
    </row>
    <row r="135" spans="1:19" s="277" customFormat="1" ht="32.1" customHeight="1">
      <c r="A135" s="419" t="s">
        <v>234</v>
      </c>
      <c r="B135" s="238" t="s">
        <v>1</v>
      </c>
      <c r="C135" s="238" t="s">
        <v>2926</v>
      </c>
      <c r="D135" s="119">
        <v>20</v>
      </c>
      <c r="E135" s="286"/>
      <c r="F135" s="286"/>
      <c r="G135" s="286"/>
      <c r="H135" s="286">
        <v>97.3</v>
      </c>
      <c r="I135" s="286"/>
      <c r="J135" s="286"/>
      <c r="K135" s="286"/>
      <c r="L135" s="286"/>
      <c r="M135" s="286"/>
      <c r="N135" s="286"/>
      <c r="O135" s="286"/>
      <c r="P135" s="286"/>
      <c r="Q135" s="204">
        <f t="shared" si="12"/>
        <v>97.3</v>
      </c>
      <c r="R135" s="204" t="str">
        <f t="shared" si="4"/>
        <v>NO</v>
      </c>
      <c r="S135" s="204" t="str">
        <f t="shared" si="5"/>
        <v>Inviable Sanitariamente</v>
      </c>
    </row>
    <row r="136" spans="1:19" s="277" customFormat="1" ht="32.1" customHeight="1">
      <c r="A136" s="419" t="s">
        <v>234</v>
      </c>
      <c r="B136" s="238" t="s">
        <v>1</v>
      </c>
      <c r="C136" s="238" t="s">
        <v>2927</v>
      </c>
      <c r="D136" s="119"/>
      <c r="E136" s="286"/>
      <c r="F136" s="286"/>
      <c r="G136" s="286"/>
      <c r="H136" s="286"/>
      <c r="I136" s="286"/>
      <c r="J136" s="286"/>
      <c r="K136" s="286"/>
      <c r="L136" s="286"/>
      <c r="M136" s="286"/>
      <c r="N136" s="286"/>
      <c r="O136" s="286"/>
      <c r="P136" s="286"/>
      <c r="Q136" s="204" t="e">
        <f t="shared" si="12"/>
        <v>#DIV/0!</v>
      </c>
      <c r="R136" s="204" t="e">
        <f t="shared" si="4"/>
        <v>#DIV/0!</v>
      </c>
      <c r="S136" s="204" t="e">
        <f t="shared" si="5"/>
        <v>#DIV/0!</v>
      </c>
    </row>
    <row r="137" spans="1:19" s="277" customFormat="1" ht="32.1" customHeight="1">
      <c r="A137" s="419" t="s">
        <v>234</v>
      </c>
      <c r="B137" s="238" t="s">
        <v>236</v>
      </c>
      <c r="C137" s="238" t="s">
        <v>2928</v>
      </c>
      <c r="D137" s="119"/>
      <c r="E137" s="286"/>
      <c r="F137" s="286"/>
      <c r="G137" s="286"/>
      <c r="H137" s="286"/>
      <c r="I137" s="286"/>
      <c r="J137" s="286"/>
      <c r="K137" s="286"/>
      <c r="L137" s="286"/>
      <c r="M137" s="286"/>
      <c r="N137" s="286"/>
      <c r="O137" s="286"/>
      <c r="P137" s="286"/>
      <c r="Q137" s="204" t="e">
        <f t="shared" si="12"/>
        <v>#DIV/0!</v>
      </c>
      <c r="R137" s="204" t="e">
        <f t="shared" si="4"/>
        <v>#DIV/0!</v>
      </c>
      <c r="S137" s="204" t="e">
        <f t="shared" si="5"/>
        <v>#DIV/0!</v>
      </c>
    </row>
    <row r="138" spans="1:19" s="277" customFormat="1" ht="32.1" customHeight="1">
      <c r="A138" s="419" t="s">
        <v>234</v>
      </c>
      <c r="B138" s="238" t="s">
        <v>1267</v>
      </c>
      <c r="C138" s="238" t="s">
        <v>2929</v>
      </c>
      <c r="D138" s="119">
        <v>30</v>
      </c>
      <c r="E138" s="286"/>
      <c r="F138" s="286">
        <v>97.3</v>
      </c>
      <c r="G138" s="286"/>
      <c r="H138" s="286"/>
      <c r="I138" s="286"/>
      <c r="J138" s="286"/>
      <c r="K138" s="286"/>
      <c r="L138" s="286"/>
      <c r="M138" s="286"/>
      <c r="N138" s="286"/>
      <c r="O138" s="286"/>
      <c r="P138" s="286"/>
      <c r="Q138" s="204">
        <f t="shared" ref="Q138" si="13">AVERAGE(E138:P138)</f>
        <v>97.3</v>
      </c>
      <c r="R138" s="204" t="str">
        <f t="shared" ref="R138" si="14">IF(Q138&lt;5,"SI","NO")</f>
        <v>NO</v>
      </c>
      <c r="S138" s="204" t="str">
        <f t="shared" ref="S138" si="15">IF(Q138&lt;=5,"Sin Riesgo",IF(Q138 &lt;=14,"Bajo",IF(Q138&lt;=35,"Medio",IF(Q138&lt;=80,"Alto","Inviable Sanitariamente"))))</f>
        <v>Inviable Sanitariamente</v>
      </c>
    </row>
    <row r="139" spans="1:19" s="277" customFormat="1" ht="32.1" customHeight="1">
      <c r="A139" s="419" t="s">
        <v>234</v>
      </c>
      <c r="B139" s="238" t="s">
        <v>4457</v>
      </c>
      <c r="C139" s="238" t="s">
        <v>4458</v>
      </c>
      <c r="D139" s="119">
        <v>16</v>
      </c>
      <c r="E139" s="286"/>
      <c r="F139" s="286"/>
      <c r="G139" s="286"/>
      <c r="H139" s="286"/>
      <c r="I139" s="286"/>
      <c r="J139" s="286"/>
      <c r="K139" s="286"/>
      <c r="L139" s="286"/>
      <c r="M139" s="286"/>
      <c r="N139" s="286">
        <v>97.3</v>
      </c>
      <c r="O139" s="286"/>
      <c r="P139" s="286"/>
      <c r="Q139" s="204">
        <f t="shared" si="12"/>
        <v>97.3</v>
      </c>
      <c r="R139" s="204" t="str">
        <f t="shared" si="4"/>
        <v>NO</v>
      </c>
      <c r="S139" s="204" t="str">
        <f t="shared" si="5"/>
        <v>Inviable Sanitariamente</v>
      </c>
    </row>
    <row r="140" spans="1:19" s="277" customFormat="1" ht="32.1" customHeight="1">
      <c r="A140" s="419" t="s">
        <v>234</v>
      </c>
      <c r="B140" s="238" t="s">
        <v>1267</v>
      </c>
      <c r="C140" s="238" t="s">
        <v>2930</v>
      </c>
      <c r="D140" s="119"/>
      <c r="E140" s="286"/>
      <c r="F140" s="286"/>
      <c r="G140" s="286"/>
      <c r="H140" s="286"/>
      <c r="I140" s="286"/>
      <c r="J140" s="286"/>
      <c r="K140" s="286"/>
      <c r="L140" s="286"/>
      <c r="M140" s="286"/>
      <c r="N140" s="286"/>
      <c r="O140" s="286"/>
      <c r="P140" s="286"/>
      <c r="Q140" s="204" t="e">
        <f t="shared" si="12"/>
        <v>#DIV/0!</v>
      </c>
      <c r="R140" s="204" t="e">
        <f t="shared" si="4"/>
        <v>#DIV/0!</v>
      </c>
      <c r="S140" s="204" t="e">
        <f t="shared" si="5"/>
        <v>#DIV/0!</v>
      </c>
    </row>
    <row r="141" spans="1:19" s="277" customFormat="1" ht="32.1" customHeight="1">
      <c r="A141" s="419" t="s">
        <v>234</v>
      </c>
      <c r="B141" s="238" t="s">
        <v>2931</v>
      </c>
      <c r="C141" s="238" t="s">
        <v>2932</v>
      </c>
      <c r="D141" s="119">
        <v>43</v>
      </c>
      <c r="E141" s="286"/>
      <c r="F141" s="286">
        <v>97.3</v>
      </c>
      <c r="G141" s="286"/>
      <c r="H141" s="286"/>
      <c r="I141" s="286"/>
      <c r="J141" s="286"/>
      <c r="K141" s="286"/>
      <c r="L141" s="286"/>
      <c r="M141" s="286"/>
      <c r="N141" s="286"/>
      <c r="O141" s="286"/>
      <c r="P141" s="286"/>
      <c r="Q141" s="204">
        <f t="shared" si="12"/>
        <v>97.3</v>
      </c>
      <c r="R141" s="204" t="str">
        <f t="shared" si="4"/>
        <v>NO</v>
      </c>
      <c r="S141" s="204" t="str">
        <f t="shared" si="5"/>
        <v>Inviable Sanitariamente</v>
      </c>
    </row>
    <row r="142" spans="1:19" s="277" customFormat="1" ht="32.1" customHeight="1">
      <c r="A142" s="419" t="s">
        <v>234</v>
      </c>
      <c r="B142" s="238" t="s">
        <v>2933</v>
      </c>
      <c r="C142" s="238" t="s">
        <v>2934</v>
      </c>
      <c r="D142" s="119">
        <v>65</v>
      </c>
      <c r="E142" s="286"/>
      <c r="F142" s="286"/>
      <c r="G142" s="286"/>
      <c r="H142" s="286"/>
      <c r="I142" s="286"/>
      <c r="J142" s="286">
        <v>97.3</v>
      </c>
      <c r="K142" s="286"/>
      <c r="L142" s="286"/>
      <c r="M142" s="286"/>
      <c r="N142" s="286"/>
      <c r="O142" s="286"/>
      <c r="P142" s="286"/>
      <c r="Q142" s="204">
        <f t="shared" si="12"/>
        <v>97.3</v>
      </c>
      <c r="R142" s="204" t="str">
        <f t="shared" si="4"/>
        <v>NO</v>
      </c>
      <c r="S142" s="204" t="str">
        <f t="shared" si="5"/>
        <v>Inviable Sanitariamente</v>
      </c>
    </row>
    <row r="143" spans="1:19" s="277" customFormat="1" ht="32.1" customHeight="1">
      <c r="A143" s="419" t="s">
        <v>234</v>
      </c>
      <c r="B143" s="238" t="s">
        <v>2935</v>
      </c>
      <c r="C143" s="238" t="s">
        <v>2936</v>
      </c>
      <c r="D143" s="119">
        <v>23</v>
      </c>
      <c r="E143" s="286"/>
      <c r="F143" s="286"/>
      <c r="G143" s="286"/>
      <c r="H143" s="286"/>
      <c r="I143" s="286"/>
      <c r="J143" s="286">
        <v>97.3</v>
      </c>
      <c r="K143" s="286"/>
      <c r="L143" s="286"/>
      <c r="M143" s="286"/>
      <c r="N143" s="286"/>
      <c r="O143" s="286"/>
      <c r="P143" s="286"/>
      <c r="Q143" s="204">
        <f t="shared" si="12"/>
        <v>97.3</v>
      </c>
      <c r="R143" s="204" t="str">
        <f t="shared" si="4"/>
        <v>NO</v>
      </c>
      <c r="S143" s="204" t="str">
        <f t="shared" si="5"/>
        <v>Inviable Sanitariamente</v>
      </c>
    </row>
    <row r="144" spans="1:19" s="277" customFormat="1" ht="32.1" customHeight="1">
      <c r="A144" s="419" t="s">
        <v>234</v>
      </c>
      <c r="B144" s="238" t="s">
        <v>2937</v>
      </c>
      <c r="C144" s="238" t="s">
        <v>2938</v>
      </c>
      <c r="D144" s="119">
        <v>20</v>
      </c>
      <c r="E144" s="286"/>
      <c r="F144" s="286"/>
      <c r="G144" s="286"/>
      <c r="H144" s="286"/>
      <c r="I144" s="286"/>
      <c r="J144" s="286"/>
      <c r="K144" s="286"/>
      <c r="L144" s="286">
        <v>97.3</v>
      </c>
      <c r="M144" s="286"/>
      <c r="N144" s="286"/>
      <c r="O144" s="286"/>
      <c r="P144" s="286"/>
      <c r="Q144" s="204">
        <f t="shared" si="12"/>
        <v>97.3</v>
      </c>
      <c r="R144" s="204" t="str">
        <f t="shared" si="4"/>
        <v>NO</v>
      </c>
      <c r="S144" s="204" t="str">
        <f t="shared" si="5"/>
        <v>Inviable Sanitariamente</v>
      </c>
    </row>
    <row r="145" spans="1:19" s="277" customFormat="1" ht="32.1" customHeight="1">
      <c r="A145" s="419" t="s">
        <v>234</v>
      </c>
      <c r="B145" s="238" t="s">
        <v>2937</v>
      </c>
      <c r="C145" s="238" t="s">
        <v>2939</v>
      </c>
      <c r="D145" s="119"/>
      <c r="E145" s="286"/>
      <c r="F145" s="286"/>
      <c r="G145" s="286"/>
      <c r="H145" s="286"/>
      <c r="I145" s="286"/>
      <c r="J145" s="286"/>
      <c r="K145" s="286"/>
      <c r="L145" s="286"/>
      <c r="M145" s="286"/>
      <c r="N145" s="286"/>
      <c r="O145" s="286"/>
      <c r="P145" s="286"/>
      <c r="Q145" s="204" t="e">
        <f t="shared" si="12"/>
        <v>#DIV/0!</v>
      </c>
      <c r="R145" s="204" t="e">
        <f t="shared" si="4"/>
        <v>#DIV/0!</v>
      </c>
      <c r="S145" s="204" t="e">
        <f t="shared" si="5"/>
        <v>#DIV/0!</v>
      </c>
    </row>
    <row r="146" spans="1:19" s="277" customFormat="1" ht="32.1" customHeight="1">
      <c r="A146" s="419" t="s">
        <v>234</v>
      </c>
      <c r="B146" s="238" t="s">
        <v>1554</v>
      </c>
      <c r="C146" s="238" t="s">
        <v>2940</v>
      </c>
      <c r="D146" s="119">
        <v>18</v>
      </c>
      <c r="E146" s="286"/>
      <c r="F146" s="286">
        <v>97.3</v>
      </c>
      <c r="G146" s="286"/>
      <c r="H146" s="286"/>
      <c r="I146" s="286"/>
      <c r="J146" s="286"/>
      <c r="K146" s="286"/>
      <c r="L146" s="286"/>
      <c r="M146" s="286"/>
      <c r="N146" s="286"/>
      <c r="O146" s="286"/>
      <c r="P146" s="286"/>
      <c r="Q146" s="204">
        <f t="shared" si="12"/>
        <v>97.3</v>
      </c>
      <c r="R146" s="204" t="str">
        <f t="shared" si="4"/>
        <v>NO</v>
      </c>
      <c r="S146" s="204" t="str">
        <f t="shared" si="5"/>
        <v>Inviable Sanitariamente</v>
      </c>
    </row>
    <row r="147" spans="1:19" s="277" customFormat="1" ht="32.1" customHeight="1">
      <c r="A147" s="419" t="s">
        <v>234</v>
      </c>
      <c r="B147" s="238" t="s">
        <v>2941</v>
      </c>
      <c r="C147" s="238" t="s">
        <v>2942</v>
      </c>
      <c r="D147" s="119">
        <v>32</v>
      </c>
      <c r="E147" s="286"/>
      <c r="F147" s="286"/>
      <c r="G147" s="286"/>
      <c r="H147" s="286"/>
      <c r="I147" s="286">
        <v>97.3</v>
      </c>
      <c r="J147" s="286"/>
      <c r="K147" s="286"/>
      <c r="L147" s="286"/>
      <c r="M147" s="286"/>
      <c r="N147" s="286"/>
      <c r="O147" s="286"/>
      <c r="P147" s="286"/>
      <c r="Q147" s="204">
        <f t="shared" si="12"/>
        <v>97.3</v>
      </c>
      <c r="R147" s="204" t="str">
        <f t="shared" si="4"/>
        <v>NO</v>
      </c>
      <c r="S147" s="204" t="str">
        <f t="shared" si="5"/>
        <v>Inviable Sanitariamente</v>
      </c>
    </row>
    <row r="148" spans="1:19" s="277" customFormat="1" ht="32.1" customHeight="1">
      <c r="A148" s="419" t="s">
        <v>234</v>
      </c>
      <c r="B148" s="238" t="s">
        <v>2943</v>
      </c>
      <c r="C148" s="238" t="s">
        <v>2944</v>
      </c>
      <c r="D148" s="119">
        <v>23</v>
      </c>
      <c r="E148" s="286"/>
      <c r="F148" s="286"/>
      <c r="G148" s="286"/>
      <c r="H148" s="286"/>
      <c r="I148" s="286">
        <v>97.3</v>
      </c>
      <c r="J148" s="286"/>
      <c r="K148" s="286"/>
      <c r="L148" s="286"/>
      <c r="M148" s="286"/>
      <c r="N148" s="286"/>
      <c r="O148" s="286"/>
      <c r="P148" s="286"/>
      <c r="Q148" s="204">
        <f t="shared" si="12"/>
        <v>97.3</v>
      </c>
      <c r="R148" s="204" t="str">
        <f t="shared" si="4"/>
        <v>NO</v>
      </c>
      <c r="S148" s="204" t="str">
        <f t="shared" si="5"/>
        <v>Inviable Sanitariamente</v>
      </c>
    </row>
    <row r="149" spans="1:19" s="277" customFormat="1" ht="32.1" customHeight="1">
      <c r="A149" s="419" t="s">
        <v>234</v>
      </c>
      <c r="B149" s="238" t="s">
        <v>2945</v>
      </c>
      <c r="C149" s="238" t="s">
        <v>2946</v>
      </c>
      <c r="D149" s="119">
        <v>28</v>
      </c>
      <c r="E149" s="286"/>
      <c r="F149" s="286"/>
      <c r="G149" s="286"/>
      <c r="H149" s="286">
        <v>97.3</v>
      </c>
      <c r="I149" s="286"/>
      <c r="J149" s="286"/>
      <c r="K149" s="286"/>
      <c r="L149" s="286"/>
      <c r="M149" s="286"/>
      <c r="N149" s="286"/>
      <c r="O149" s="286"/>
      <c r="P149" s="286"/>
      <c r="Q149" s="204">
        <f t="shared" si="12"/>
        <v>97.3</v>
      </c>
      <c r="R149" s="204" t="str">
        <f t="shared" si="4"/>
        <v>NO</v>
      </c>
      <c r="S149" s="204" t="str">
        <f t="shared" si="5"/>
        <v>Inviable Sanitariamente</v>
      </c>
    </row>
    <row r="150" spans="1:19" s="277" customFormat="1" ht="38.25" customHeight="1">
      <c r="A150" s="419" t="s">
        <v>234</v>
      </c>
      <c r="B150" s="238" t="s">
        <v>2947</v>
      </c>
      <c r="C150" s="238" t="s">
        <v>2948</v>
      </c>
      <c r="D150" s="119">
        <v>18</v>
      </c>
      <c r="E150" s="286"/>
      <c r="F150" s="286"/>
      <c r="G150" s="286"/>
      <c r="H150" s="286"/>
      <c r="I150" s="286"/>
      <c r="J150" s="286"/>
      <c r="K150" s="286"/>
      <c r="L150" s="286"/>
      <c r="M150" s="286">
        <v>97.3</v>
      </c>
      <c r="N150" s="286"/>
      <c r="O150" s="286"/>
      <c r="P150" s="286"/>
      <c r="Q150" s="204">
        <f t="shared" si="12"/>
        <v>97.3</v>
      </c>
      <c r="R150" s="204" t="str">
        <f t="shared" si="4"/>
        <v>NO</v>
      </c>
      <c r="S150" s="204" t="str">
        <f t="shared" si="5"/>
        <v>Inviable Sanitariamente</v>
      </c>
    </row>
    <row r="151" spans="1:19" s="277" customFormat="1" ht="37.5" customHeight="1">
      <c r="A151" s="419" t="s">
        <v>234</v>
      </c>
      <c r="B151" s="238" t="s">
        <v>2949</v>
      </c>
      <c r="C151" s="238" t="s">
        <v>2950</v>
      </c>
      <c r="D151" s="119"/>
      <c r="E151" s="286"/>
      <c r="F151" s="286"/>
      <c r="G151" s="286"/>
      <c r="H151" s="286"/>
      <c r="I151" s="286"/>
      <c r="J151" s="286"/>
      <c r="K151" s="286"/>
      <c r="L151" s="286"/>
      <c r="M151" s="286"/>
      <c r="N151" s="286"/>
      <c r="O151" s="286"/>
      <c r="P151" s="286"/>
      <c r="Q151" s="204" t="e">
        <f t="shared" si="12"/>
        <v>#DIV/0!</v>
      </c>
      <c r="R151" s="204" t="e">
        <f t="shared" ref="R151:R217" si="16">IF(Q151&lt;5,"SI","NO")</f>
        <v>#DIV/0!</v>
      </c>
      <c r="S151" s="204" t="e">
        <f t="shared" si="5"/>
        <v>#DIV/0!</v>
      </c>
    </row>
    <row r="152" spans="1:19" s="277" customFormat="1" ht="32.1" customHeight="1">
      <c r="A152" s="419" t="s">
        <v>234</v>
      </c>
      <c r="B152" s="238" t="s">
        <v>2951</v>
      </c>
      <c r="C152" s="238" t="s">
        <v>2952</v>
      </c>
      <c r="D152" s="119"/>
      <c r="E152" s="286"/>
      <c r="F152" s="286"/>
      <c r="G152" s="286"/>
      <c r="H152" s="286"/>
      <c r="I152" s="286"/>
      <c r="J152" s="286"/>
      <c r="K152" s="286"/>
      <c r="L152" s="286"/>
      <c r="M152" s="286"/>
      <c r="N152" s="286"/>
      <c r="O152" s="286"/>
      <c r="P152" s="286"/>
      <c r="Q152" s="204" t="e">
        <f t="shared" si="12"/>
        <v>#DIV/0!</v>
      </c>
      <c r="R152" s="204" t="e">
        <f t="shared" si="16"/>
        <v>#DIV/0!</v>
      </c>
      <c r="S152" s="204" t="e">
        <f t="shared" ref="S152:S218" si="17">IF(Q152&lt;=5,"Sin Riesgo",IF(Q152 &lt;=14,"Bajo",IF(Q152&lt;=35,"Medio",IF(Q152&lt;=80,"Alto","Inviable Sanitariamente"))))</f>
        <v>#DIV/0!</v>
      </c>
    </row>
    <row r="153" spans="1:19" s="277" customFormat="1" ht="32.1" customHeight="1">
      <c r="A153" s="419" t="s">
        <v>234</v>
      </c>
      <c r="B153" s="238" t="s">
        <v>10</v>
      </c>
      <c r="C153" s="238" t="s">
        <v>2953</v>
      </c>
      <c r="D153" s="119">
        <v>20</v>
      </c>
      <c r="E153" s="286"/>
      <c r="F153" s="286"/>
      <c r="G153" s="286">
        <v>97.3</v>
      </c>
      <c r="H153" s="286"/>
      <c r="I153" s="286"/>
      <c r="J153" s="286"/>
      <c r="K153" s="286"/>
      <c r="L153" s="286"/>
      <c r="M153" s="286"/>
      <c r="N153" s="286"/>
      <c r="O153" s="286"/>
      <c r="P153" s="286"/>
      <c r="Q153" s="204">
        <f t="shared" si="12"/>
        <v>97.3</v>
      </c>
      <c r="R153" s="204" t="str">
        <f t="shared" si="16"/>
        <v>NO</v>
      </c>
      <c r="S153" s="204" t="str">
        <f t="shared" si="17"/>
        <v>Inviable Sanitariamente</v>
      </c>
    </row>
    <row r="154" spans="1:19" s="277" customFormat="1" ht="32.1" customHeight="1">
      <c r="A154" s="419" t="s">
        <v>234</v>
      </c>
      <c r="B154" s="238" t="s">
        <v>2954</v>
      </c>
      <c r="C154" s="238" t="s">
        <v>2955</v>
      </c>
      <c r="D154" s="114"/>
      <c r="E154" s="286"/>
      <c r="F154" s="286"/>
      <c r="G154" s="286"/>
      <c r="H154" s="286"/>
      <c r="I154" s="286"/>
      <c r="J154" s="286"/>
      <c r="K154" s="286"/>
      <c r="L154" s="286"/>
      <c r="M154" s="286"/>
      <c r="N154" s="286"/>
      <c r="O154" s="286"/>
      <c r="P154" s="286"/>
      <c r="Q154" s="204" t="e">
        <f t="shared" si="12"/>
        <v>#DIV/0!</v>
      </c>
      <c r="R154" s="204" t="e">
        <f t="shared" si="16"/>
        <v>#DIV/0!</v>
      </c>
      <c r="S154" s="204" t="e">
        <f t="shared" si="17"/>
        <v>#DIV/0!</v>
      </c>
    </row>
    <row r="155" spans="1:19" s="277" customFormat="1" ht="32.1" customHeight="1">
      <c r="A155" s="419" t="s">
        <v>234</v>
      </c>
      <c r="B155" s="238" t="s">
        <v>2956</v>
      </c>
      <c r="C155" s="238" t="s">
        <v>2957</v>
      </c>
      <c r="D155" s="114"/>
      <c r="E155" s="286"/>
      <c r="F155" s="286"/>
      <c r="G155" s="286"/>
      <c r="H155" s="286"/>
      <c r="I155" s="286"/>
      <c r="J155" s="286"/>
      <c r="K155" s="286"/>
      <c r="L155" s="286"/>
      <c r="M155" s="286"/>
      <c r="N155" s="286"/>
      <c r="O155" s="286"/>
      <c r="P155" s="286"/>
      <c r="Q155" s="204" t="e">
        <f t="shared" si="12"/>
        <v>#DIV/0!</v>
      </c>
      <c r="R155" s="204" t="e">
        <f t="shared" si="16"/>
        <v>#DIV/0!</v>
      </c>
      <c r="S155" s="204" t="e">
        <f t="shared" si="17"/>
        <v>#DIV/0!</v>
      </c>
    </row>
    <row r="156" spans="1:19" s="277" customFormat="1" ht="32.1" customHeight="1">
      <c r="A156" s="419" t="s">
        <v>234</v>
      </c>
      <c r="B156" s="238" t="s">
        <v>733</v>
      </c>
      <c r="C156" s="238" t="s">
        <v>2958</v>
      </c>
      <c r="D156" s="114"/>
      <c r="E156" s="286"/>
      <c r="F156" s="286"/>
      <c r="G156" s="286"/>
      <c r="H156" s="286"/>
      <c r="I156" s="286"/>
      <c r="J156" s="286"/>
      <c r="K156" s="286"/>
      <c r="L156" s="286"/>
      <c r="M156" s="286"/>
      <c r="N156" s="286"/>
      <c r="O156" s="286"/>
      <c r="P156" s="286"/>
      <c r="Q156" s="204" t="e">
        <f t="shared" si="12"/>
        <v>#DIV/0!</v>
      </c>
      <c r="R156" s="204" t="e">
        <f t="shared" si="16"/>
        <v>#DIV/0!</v>
      </c>
      <c r="S156" s="204" t="e">
        <f t="shared" si="17"/>
        <v>#DIV/0!</v>
      </c>
    </row>
    <row r="157" spans="1:19" s="277" customFormat="1" ht="32.1" customHeight="1">
      <c r="A157" s="419" t="s">
        <v>234</v>
      </c>
      <c r="B157" s="238" t="s">
        <v>2703</v>
      </c>
      <c r="C157" s="238" t="s">
        <v>2959</v>
      </c>
      <c r="D157" s="114"/>
      <c r="E157" s="286"/>
      <c r="F157" s="286"/>
      <c r="G157" s="286"/>
      <c r="H157" s="286"/>
      <c r="I157" s="286"/>
      <c r="J157" s="286"/>
      <c r="K157" s="286"/>
      <c r="L157" s="286"/>
      <c r="M157" s="286"/>
      <c r="N157" s="286"/>
      <c r="O157" s="286"/>
      <c r="P157" s="286"/>
      <c r="Q157" s="204" t="e">
        <f t="shared" si="12"/>
        <v>#DIV/0!</v>
      </c>
      <c r="R157" s="204" t="e">
        <f t="shared" si="16"/>
        <v>#DIV/0!</v>
      </c>
      <c r="S157" s="204" t="e">
        <f t="shared" si="17"/>
        <v>#DIV/0!</v>
      </c>
    </row>
    <row r="158" spans="1:19" s="277" customFormat="1" ht="32.1" customHeight="1">
      <c r="A158" s="419" t="s">
        <v>234</v>
      </c>
      <c r="B158" s="238" t="s">
        <v>1125</v>
      </c>
      <c r="C158" s="238" t="s">
        <v>2960</v>
      </c>
      <c r="D158" s="114">
        <v>30</v>
      </c>
      <c r="E158" s="286"/>
      <c r="F158" s="286">
        <v>97.3</v>
      </c>
      <c r="G158" s="286"/>
      <c r="H158" s="286"/>
      <c r="I158" s="286"/>
      <c r="J158" s="286"/>
      <c r="K158" s="286"/>
      <c r="L158" s="286"/>
      <c r="M158" s="286"/>
      <c r="N158" s="286"/>
      <c r="O158" s="286"/>
      <c r="P158" s="286"/>
      <c r="Q158" s="204">
        <f t="shared" si="12"/>
        <v>97.3</v>
      </c>
      <c r="R158" s="204" t="str">
        <f t="shared" si="16"/>
        <v>NO</v>
      </c>
      <c r="S158" s="204" t="str">
        <f t="shared" si="17"/>
        <v>Inviable Sanitariamente</v>
      </c>
    </row>
    <row r="159" spans="1:19" s="277" customFormat="1" ht="32.1" customHeight="1">
      <c r="A159" s="419" t="s">
        <v>234</v>
      </c>
      <c r="B159" s="238" t="s">
        <v>2961</v>
      </c>
      <c r="C159" s="238" t="s">
        <v>2962</v>
      </c>
      <c r="D159" s="119">
        <v>18</v>
      </c>
      <c r="E159" s="286"/>
      <c r="F159" s="286"/>
      <c r="G159" s="286"/>
      <c r="H159" s="286"/>
      <c r="I159" s="286"/>
      <c r="J159" s="286"/>
      <c r="K159" s="286">
        <v>97.3</v>
      </c>
      <c r="L159" s="286"/>
      <c r="M159" s="286"/>
      <c r="N159" s="286"/>
      <c r="O159" s="286"/>
      <c r="P159" s="286"/>
      <c r="Q159" s="204">
        <f t="shared" si="12"/>
        <v>97.3</v>
      </c>
      <c r="R159" s="204" t="str">
        <f t="shared" si="16"/>
        <v>NO</v>
      </c>
      <c r="S159" s="204" t="str">
        <f t="shared" si="17"/>
        <v>Inviable Sanitariamente</v>
      </c>
    </row>
    <row r="160" spans="1:19" s="277" customFormat="1" ht="32.1" customHeight="1">
      <c r="A160" s="419" t="s">
        <v>234</v>
      </c>
      <c r="B160" s="238" t="s">
        <v>2963</v>
      </c>
      <c r="C160" s="238" t="s">
        <v>2964</v>
      </c>
      <c r="D160" s="237"/>
      <c r="E160" s="286"/>
      <c r="F160" s="286"/>
      <c r="G160" s="286"/>
      <c r="H160" s="286"/>
      <c r="I160" s="286"/>
      <c r="J160" s="286"/>
      <c r="K160" s="286"/>
      <c r="L160" s="286"/>
      <c r="M160" s="286"/>
      <c r="N160" s="286"/>
      <c r="O160" s="286"/>
      <c r="P160" s="286"/>
      <c r="Q160" s="204" t="e">
        <f t="shared" si="12"/>
        <v>#DIV/0!</v>
      </c>
      <c r="R160" s="397" t="e">
        <f t="shared" si="16"/>
        <v>#DIV/0!</v>
      </c>
      <c r="S160" s="204" t="e">
        <f t="shared" si="17"/>
        <v>#DIV/0!</v>
      </c>
    </row>
    <row r="161" spans="1:19" s="277" customFormat="1" ht="32.1" customHeight="1">
      <c r="A161" s="419" t="s">
        <v>234</v>
      </c>
      <c r="B161" s="238" t="s">
        <v>2965</v>
      </c>
      <c r="C161" s="238" t="s">
        <v>2966</v>
      </c>
      <c r="D161" s="142"/>
      <c r="E161" s="286"/>
      <c r="F161" s="286"/>
      <c r="G161" s="286"/>
      <c r="H161" s="286"/>
      <c r="I161" s="286"/>
      <c r="J161" s="286"/>
      <c r="K161" s="286"/>
      <c r="L161" s="286"/>
      <c r="M161" s="286"/>
      <c r="N161" s="286"/>
      <c r="O161" s="286"/>
      <c r="P161" s="286"/>
      <c r="Q161" s="204" t="e">
        <f t="shared" si="12"/>
        <v>#DIV/0!</v>
      </c>
      <c r="R161" s="398" t="e">
        <f t="shared" si="16"/>
        <v>#DIV/0!</v>
      </c>
      <c r="S161" s="204" t="e">
        <f t="shared" si="17"/>
        <v>#DIV/0!</v>
      </c>
    </row>
    <row r="162" spans="1:19" s="277" customFormat="1" ht="32.1" customHeight="1">
      <c r="A162" s="419" t="s">
        <v>234</v>
      </c>
      <c r="B162" s="238" t="s">
        <v>2967</v>
      </c>
      <c r="C162" s="238" t="s">
        <v>2968</v>
      </c>
      <c r="D162" s="142"/>
      <c r="E162" s="286"/>
      <c r="F162" s="286"/>
      <c r="G162" s="286"/>
      <c r="H162" s="286"/>
      <c r="I162" s="286"/>
      <c r="J162" s="286"/>
      <c r="K162" s="286"/>
      <c r="L162" s="286"/>
      <c r="M162" s="286"/>
      <c r="N162" s="286"/>
      <c r="O162" s="286"/>
      <c r="P162" s="286"/>
      <c r="Q162" s="204" t="e">
        <f t="shared" si="12"/>
        <v>#DIV/0!</v>
      </c>
      <c r="R162" s="398" t="e">
        <f t="shared" si="16"/>
        <v>#DIV/0!</v>
      </c>
      <c r="S162" s="204" t="e">
        <f t="shared" si="17"/>
        <v>#DIV/0!</v>
      </c>
    </row>
    <row r="163" spans="1:19" s="277" customFormat="1" ht="32.1" customHeight="1">
      <c r="A163" s="419" t="s">
        <v>234</v>
      </c>
      <c r="B163" s="238" t="s">
        <v>2969</v>
      </c>
      <c r="C163" s="238" t="s">
        <v>2970</v>
      </c>
      <c r="D163" s="142"/>
      <c r="E163" s="286"/>
      <c r="F163" s="286"/>
      <c r="G163" s="286"/>
      <c r="H163" s="286"/>
      <c r="I163" s="286"/>
      <c r="J163" s="286"/>
      <c r="K163" s="286"/>
      <c r="L163" s="286"/>
      <c r="M163" s="286"/>
      <c r="N163" s="286"/>
      <c r="O163" s="286"/>
      <c r="P163" s="286"/>
      <c r="Q163" s="204" t="e">
        <f t="shared" si="12"/>
        <v>#DIV/0!</v>
      </c>
      <c r="R163" s="398" t="e">
        <f t="shared" si="16"/>
        <v>#DIV/0!</v>
      </c>
      <c r="S163" s="204" t="e">
        <f t="shared" si="17"/>
        <v>#DIV/0!</v>
      </c>
    </row>
    <row r="164" spans="1:19" s="277" customFormat="1" ht="32.1" customHeight="1">
      <c r="A164" s="419" t="s">
        <v>234</v>
      </c>
      <c r="B164" s="238" t="s">
        <v>698</v>
      </c>
      <c r="C164" s="238" t="s">
        <v>2971</v>
      </c>
      <c r="D164" s="114">
        <v>67</v>
      </c>
      <c r="E164" s="286"/>
      <c r="F164" s="286"/>
      <c r="G164" s="286"/>
      <c r="H164" s="286"/>
      <c r="I164" s="286"/>
      <c r="J164" s="286"/>
      <c r="K164" s="286"/>
      <c r="L164" s="286"/>
      <c r="M164" s="286"/>
      <c r="N164" s="286">
        <v>97.3</v>
      </c>
      <c r="O164" s="286"/>
      <c r="P164" s="286"/>
      <c r="Q164" s="204">
        <f t="shared" si="12"/>
        <v>97.3</v>
      </c>
      <c r="R164" s="204" t="str">
        <f t="shared" si="16"/>
        <v>NO</v>
      </c>
      <c r="S164" s="204" t="str">
        <f t="shared" si="17"/>
        <v>Inviable Sanitariamente</v>
      </c>
    </row>
    <row r="165" spans="1:19" s="277" customFormat="1" ht="32.1" customHeight="1">
      <c r="A165" s="419" t="s">
        <v>148</v>
      </c>
      <c r="B165" s="238" t="s">
        <v>2972</v>
      </c>
      <c r="C165" s="238" t="s">
        <v>2973</v>
      </c>
      <c r="D165" s="119">
        <v>25</v>
      </c>
      <c r="E165" s="286"/>
      <c r="F165" s="286">
        <v>97.4</v>
      </c>
      <c r="G165" s="286"/>
      <c r="H165" s="286"/>
      <c r="I165" s="286"/>
      <c r="J165" s="286"/>
      <c r="K165" s="286"/>
      <c r="L165" s="286"/>
      <c r="M165" s="286"/>
      <c r="N165" s="286"/>
      <c r="O165" s="286"/>
      <c r="P165" s="286"/>
      <c r="Q165" s="204">
        <f t="shared" si="12"/>
        <v>97.4</v>
      </c>
      <c r="R165" s="204" t="str">
        <f t="shared" si="16"/>
        <v>NO</v>
      </c>
      <c r="S165" s="204" t="str">
        <f t="shared" si="17"/>
        <v>Inviable Sanitariamente</v>
      </c>
    </row>
    <row r="166" spans="1:19" s="277" customFormat="1" ht="32.1" customHeight="1">
      <c r="A166" s="419" t="s">
        <v>148</v>
      </c>
      <c r="B166" s="238" t="s">
        <v>2974</v>
      </c>
      <c r="C166" s="238" t="s">
        <v>2975</v>
      </c>
      <c r="D166" s="119">
        <v>40</v>
      </c>
      <c r="E166" s="286"/>
      <c r="F166" s="286">
        <v>97.4</v>
      </c>
      <c r="G166" s="286"/>
      <c r="H166" s="286"/>
      <c r="I166" s="286"/>
      <c r="J166" s="286"/>
      <c r="K166" s="286"/>
      <c r="L166" s="286"/>
      <c r="M166" s="286"/>
      <c r="N166" s="286"/>
      <c r="O166" s="286"/>
      <c r="P166" s="286"/>
      <c r="Q166" s="204">
        <f t="shared" si="12"/>
        <v>97.4</v>
      </c>
      <c r="R166" s="204" t="str">
        <f t="shared" si="16"/>
        <v>NO</v>
      </c>
      <c r="S166" s="204" t="str">
        <f t="shared" si="17"/>
        <v>Inviable Sanitariamente</v>
      </c>
    </row>
    <row r="167" spans="1:19" s="277" customFormat="1" ht="32.1" customHeight="1">
      <c r="A167" s="419" t="s">
        <v>148</v>
      </c>
      <c r="B167" s="238" t="s">
        <v>2976</v>
      </c>
      <c r="C167" s="238" t="s">
        <v>2977</v>
      </c>
      <c r="D167" s="119">
        <v>55</v>
      </c>
      <c r="E167" s="286">
        <v>97.35</v>
      </c>
      <c r="F167" s="286"/>
      <c r="G167" s="286"/>
      <c r="H167" s="286"/>
      <c r="I167" s="286"/>
      <c r="J167" s="286"/>
      <c r="K167" s="286"/>
      <c r="L167" s="286"/>
      <c r="M167" s="286"/>
      <c r="N167" s="286"/>
      <c r="O167" s="286"/>
      <c r="P167" s="286"/>
      <c r="Q167" s="204">
        <f t="shared" si="12"/>
        <v>97.35</v>
      </c>
      <c r="R167" s="204" t="str">
        <f t="shared" si="16"/>
        <v>NO</v>
      </c>
      <c r="S167" s="204" t="str">
        <f t="shared" si="17"/>
        <v>Inviable Sanitariamente</v>
      </c>
    </row>
    <row r="168" spans="1:19" s="277" customFormat="1" ht="32.1" customHeight="1">
      <c r="A168" s="419" t="s">
        <v>148</v>
      </c>
      <c r="B168" s="238" t="s">
        <v>2978</v>
      </c>
      <c r="C168" s="238" t="s">
        <v>2979</v>
      </c>
      <c r="D168" s="119">
        <v>25</v>
      </c>
      <c r="E168" s="286">
        <v>97.4</v>
      </c>
      <c r="F168" s="286"/>
      <c r="G168" s="286"/>
      <c r="H168" s="286"/>
      <c r="I168" s="286"/>
      <c r="J168" s="286"/>
      <c r="K168" s="286"/>
      <c r="L168" s="286"/>
      <c r="M168" s="286"/>
      <c r="N168" s="286"/>
      <c r="O168" s="286"/>
      <c r="P168" s="286"/>
      <c r="Q168" s="204">
        <f t="shared" si="12"/>
        <v>97.4</v>
      </c>
      <c r="R168" s="204" t="str">
        <f t="shared" si="16"/>
        <v>NO</v>
      </c>
      <c r="S168" s="204" t="str">
        <f t="shared" si="17"/>
        <v>Inviable Sanitariamente</v>
      </c>
    </row>
    <row r="169" spans="1:19" s="277" customFormat="1" ht="32.1" customHeight="1">
      <c r="A169" s="419" t="s">
        <v>148</v>
      </c>
      <c r="B169" s="238" t="s">
        <v>2980</v>
      </c>
      <c r="C169" s="238" t="s">
        <v>2981</v>
      </c>
      <c r="D169" s="119">
        <v>25</v>
      </c>
      <c r="E169" s="286">
        <v>97.4</v>
      </c>
      <c r="F169" s="286"/>
      <c r="G169" s="286"/>
      <c r="H169" s="286"/>
      <c r="I169" s="286"/>
      <c r="J169" s="286"/>
      <c r="K169" s="286"/>
      <c r="L169" s="286"/>
      <c r="M169" s="286"/>
      <c r="N169" s="286"/>
      <c r="O169" s="286"/>
      <c r="P169" s="286"/>
      <c r="Q169" s="204">
        <f t="shared" si="12"/>
        <v>97.4</v>
      </c>
      <c r="R169" s="204" t="str">
        <f t="shared" si="16"/>
        <v>NO</v>
      </c>
      <c r="S169" s="204" t="str">
        <f t="shared" si="17"/>
        <v>Inviable Sanitariamente</v>
      </c>
    </row>
    <row r="170" spans="1:19" s="277" customFormat="1" ht="32.1" customHeight="1">
      <c r="A170" s="419" t="s">
        <v>148</v>
      </c>
      <c r="B170" s="238" t="s">
        <v>2982</v>
      </c>
      <c r="C170" s="238" t="s">
        <v>2983</v>
      </c>
      <c r="D170" s="119">
        <v>44</v>
      </c>
      <c r="E170" s="286"/>
      <c r="F170" s="286">
        <v>97.4</v>
      </c>
      <c r="G170" s="286"/>
      <c r="H170" s="286"/>
      <c r="I170" s="286"/>
      <c r="J170" s="286"/>
      <c r="K170" s="286"/>
      <c r="L170" s="286"/>
      <c r="M170" s="286"/>
      <c r="N170" s="286"/>
      <c r="O170" s="286"/>
      <c r="P170" s="286"/>
      <c r="Q170" s="204">
        <f t="shared" si="12"/>
        <v>97.4</v>
      </c>
      <c r="R170" s="204" t="str">
        <f t="shared" si="16"/>
        <v>NO</v>
      </c>
      <c r="S170" s="204" t="str">
        <f t="shared" si="17"/>
        <v>Inviable Sanitariamente</v>
      </c>
    </row>
    <row r="171" spans="1:19" s="277" customFormat="1" ht="32.1" customHeight="1">
      <c r="A171" s="419" t="s">
        <v>148</v>
      </c>
      <c r="B171" s="238" t="s">
        <v>2984</v>
      </c>
      <c r="C171" s="238" t="s">
        <v>2985</v>
      </c>
      <c r="D171" s="119">
        <v>25</v>
      </c>
      <c r="E171" s="286">
        <v>97.4</v>
      </c>
      <c r="F171" s="286"/>
      <c r="G171" s="286"/>
      <c r="H171" s="286"/>
      <c r="I171" s="286"/>
      <c r="J171" s="286"/>
      <c r="K171" s="286"/>
      <c r="L171" s="286"/>
      <c r="M171" s="286"/>
      <c r="N171" s="286"/>
      <c r="O171" s="286"/>
      <c r="P171" s="286"/>
      <c r="Q171" s="204">
        <f t="shared" si="12"/>
        <v>97.4</v>
      </c>
      <c r="R171" s="204" t="str">
        <f t="shared" si="16"/>
        <v>NO</v>
      </c>
      <c r="S171" s="204" t="str">
        <f t="shared" si="17"/>
        <v>Inviable Sanitariamente</v>
      </c>
    </row>
    <row r="172" spans="1:19" s="277" customFormat="1" ht="32.1" customHeight="1">
      <c r="A172" s="419" t="s">
        <v>148</v>
      </c>
      <c r="B172" s="238" t="s">
        <v>2986</v>
      </c>
      <c r="C172" s="238" t="s">
        <v>2987</v>
      </c>
      <c r="D172" s="114">
        <v>52</v>
      </c>
      <c r="E172" s="286"/>
      <c r="F172" s="286">
        <v>97.4</v>
      </c>
      <c r="G172" s="286"/>
      <c r="H172" s="286"/>
      <c r="I172" s="286"/>
      <c r="J172" s="286"/>
      <c r="K172" s="286"/>
      <c r="L172" s="286"/>
      <c r="M172" s="286"/>
      <c r="N172" s="286"/>
      <c r="O172" s="286"/>
      <c r="P172" s="286"/>
      <c r="Q172" s="204">
        <f t="shared" si="12"/>
        <v>97.4</v>
      </c>
      <c r="R172" s="204" t="str">
        <f t="shared" si="16"/>
        <v>NO</v>
      </c>
      <c r="S172" s="204" t="str">
        <f t="shared" si="17"/>
        <v>Inviable Sanitariamente</v>
      </c>
    </row>
    <row r="173" spans="1:19" s="277" customFormat="1" ht="32.1" customHeight="1">
      <c r="A173" s="419" t="s">
        <v>148</v>
      </c>
      <c r="B173" s="238" t="s">
        <v>2988</v>
      </c>
      <c r="C173" s="238" t="s">
        <v>2989</v>
      </c>
      <c r="D173" s="119">
        <v>60</v>
      </c>
      <c r="E173" s="286">
        <v>97.4</v>
      </c>
      <c r="F173" s="286"/>
      <c r="G173" s="286"/>
      <c r="H173" s="286"/>
      <c r="I173" s="286"/>
      <c r="J173" s="286"/>
      <c r="K173" s="286"/>
      <c r="L173" s="286"/>
      <c r="M173" s="286"/>
      <c r="N173" s="286"/>
      <c r="O173" s="286"/>
      <c r="P173" s="286"/>
      <c r="Q173" s="204">
        <f t="shared" si="12"/>
        <v>97.4</v>
      </c>
      <c r="R173" s="204" t="str">
        <f t="shared" si="16"/>
        <v>NO</v>
      </c>
      <c r="S173" s="204" t="str">
        <f t="shared" si="17"/>
        <v>Inviable Sanitariamente</v>
      </c>
    </row>
    <row r="174" spans="1:19" s="277" customFormat="1" ht="32.1" customHeight="1">
      <c r="A174" s="419" t="s">
        <v>148</v>
      </c>
      <c r="B174" s="238" t="s">
        <v>2990</v>
      </c>
      <c r="C174" s="238" t="s">
        <v>2991</v>
      </c>
      <c r="D174" s="119">
        <v>40</v>
      </c>
      <c r="E174" s="286">
        <v>97.4</v>
      </c>
      <c r="F174" s="286"/>
      <c r="G174" s="286"/>
      <c r="H174" s="286"/>
      <c r="I174" s="286"/>
      <c r="J174" s="286"/>
      <c r="K174" s="286"/>
      <c r="L174" s="286"/>
      <c r="M174" s="286"/>
      <c r="N174" s="286"/>
      <c r="O174" s="286"/>
      <c r="P174" s="286"/>
      <c r="Q174" s="204">
        <f t="shared" si="12"/>
        <v>97.4</v>
      </c>
      <c r="R174" s="204" t="str">
        <f t="shared" si="16"/>
        <v>NO</v>
      </c>
      <c r="S174" s="204" t="str">
        <f t="shared" si="17"/>
        <v>Inviable Sanitariamente</v>
      </c>
    </row>
    <row r="175" spans="1:19" s="277" customFormat="1" ht="32.1" customHeight="1">
      <c r="A175" s="419" t="s">
        <v>148</v>
      </c>
      <c r="B175" s="238" t="s">
        <v>2992</v>
      </c>
      <c r="C175" s="238" t="s">
        <v>2993</v>
      </c>
      <c r="D175" s="114">
        <v>180</v>
      </c>
      <c r="E175" s="286"/>
      <c r="F175" s="286">
        <v>97.4</v>
      </c>
      <c r="G175" s="286"/>
      <c r="H175" s="286"/>
      <c r="I175" s="286"/>
      <c r="J175" s="286"/>
      <c r="K175" s="286"/>
      <c r="L175" s="286"/>
      <c r="M175" s="286"/>
      <c r="N175" s="286"/>
      <c r="O175" s="286"/>
      <c r="P175" s="286"/>
      <c r="Q175" s="204">
        <f t="shared" ref="Q175" si="18">AVERAGE(E175:P175)</f>
        <v>97.4</v>
      </c>
      <c r="R175" s="204" t="str">
        <f t="shared" ref="R175" si="19">IF(Q175&lt;5,"SI","NO")</f>
        <v>NO</v>
      </c>
      <c r="S175" s="204" t="str">
        <f t="shared" ref="S175" si="20">IF(Q175&lt;=5,"Sin Riesgo",IF(Q175 &lt;=14,"Bajo",IF(Q175&lt;=35,"Medio",IF(Q175&lt;=80,"Alto","Inviable Sanitariamente"))))</f>
        <v>Inviable Sanitariamente</v>
      </c>
    </row>
    <row r="176" spans="1:19" s="277" customFormat="1" ht="32.1" customHeight="1">
      <c r="A176" s="419" t="s">
        <v>148</v>
      </c>
      <c r="B176" s="238" t="s">
        <v>4460</v>
      </c>
      <c r="C176" s="238" t="s">
        <v>4461</v>
      </c>
      <c r="D176" s="114">
        <v>50</v>
      </c>
      <c r="E176" s="286"/>
      <c r="F176" s="286">
        <v>97.4</v>
      </c>
      <c r="G176" s="286"/>
      <c r="H176" s="286"/>
      <c r="I176" s="286"/>
      <c r="J176" s="286"/>
      <c r="K176" s="286"/>
      <c r="L176" s="286"/>
      <c r="M176" s="286"/>
      <c r="N176" s="286"/>
      <c r="O176" s="286"/>
      <c r="P176" s="286"/>
      <c r="Q176" s="204">
        <f t="shared" ref="Q176:Q241" si="21">AVERAGE(E176:P176)</f>
        <v>97.4</v>
      </c>
      <c r="R176" s="204" t="str">
        <f t="shared" si="16"/>
        <v>NO</v>
      </c>
      <c r="S176" s="204" t="str">
        <f t="shared" si="17"/>
        <v>Inviable Sanitariamente</v>
      </c>
    </row>
    <row r="177" spans="1:20" s="277" customFormat="1" ht="32.1" customHeight="1">
      <c r="A177" s="419" t="s">
        <v>148</v>
      </c>
      <c r="B177" s="238" t="s">
        <v>4462</v>
      </c>
      <c r="C177" s="238" t="s">
        <v>4463</v>
      </c>
      <c r="D177" s="119">
        <v>25</v>
      </c>
      <c r="E177" s="286"/>
      <c r="F177" s="286"/>
      <c r="G177" s="286">
        <v>97.4</v>
      </c>
      <c r="H177" s="286"/>
      <c r="I177" s="286"/>
      <c r="J177" s="286"/>
      <c r="K177" s="286"/>
      <c r="L177" s="286"/>
      <c r="M177" s="286"/>
      <c r="N177" s="286"/>
      <c r="O177" s="286"/>
      <c r="P177" s="286"/>
      <c r="Q177" s="204">
        <f t="shared" ref="Q177:Q178" si="22">AVERAGE(E177:P177)</f>
        <v>97.4</v>
      </c>
      <c r="R177" s="204" t="str">
        <f t="shared" ref="R177:R178" si="23">IF(Q177&lt;5,"SI","NO")</f>
        <v>NO</v>
      </c>
      <c r="S177" s="204" t="str">
        <f t="shared" ref="S177:S178" si="24">IF(Q177&lt;=5,"Sin Riesgo",IF(Q177 &lt;=14,"Bajo",IF(Q177&lt;=35,"Medio",IF(Q177&lt;=80,"Alto","Inviable Sanitariamente"))))</f>
        <v>Inviable Sanitariamente</v>
      </c>
    </row>
    <row r="178" spans="1:20" s="277" customFormat="1" ht="32.1" customHeight="1">
      <c r="A178" s="419" t="s">
        <v>148</v>
      </c>
      <c r="B178" s="238" t="s">
        <v>4464</v>
      </c>
      <c r="C178" s="238" t="s">
        <v>4465</v>
      </c>
      <c r="D178" s="119">
        <v>35</v>
      </c>
      <c r="E178" s="286"/>
      <c r="F178" s="286">
        <v>97.4</v>
      </c>
      <c r="G178" s="286"/>
      <c r="H178" s="286"/>
      <c r="I178" s="286"/>
      <c r="J178" s="286"/>
      <c r="K178" s="286"/>
      <c r="L178" s="286"/>
      <c r="M178" s="286"/>
      <c r="N178" s="286"/>
      <c r="O178" s="286"/>
      <c r="P178" s="286"/>
      <c r="Q178" s="204">
        <f t="shared" si="22"/>
        <v>97.4</v>
      </c>
      <c r="R178" s="204" t="str">
        <f t="shared" si="23"/>
        <v>NO</v>
      </c>
      <c r="S178" s="204" t="str">
        <f t="shared" si="24"/>
        <v>Inviable Sanitariamente</v>
      </c>
    </row>
    <row r="179" spans="1:20" s="277" customFormat="1" ht="32.1" customHeight="1">
      <c r="A179" s="419" t="s">
        <v>148</v>
      </c>
      <c r="B179" s="238" t="s">
        <v>2994</v>
      </c>
      <c r="C179" s="238" t="s">
        <v>2995</v>
      </c>
      <c r="D179" s="119">
        <v>50</v>
      </c>
      <c r="E179" s="286"/>
      <c r="F179" s="286"/>
      <c r="G179" s="286">
        <v>97.4</v>
      </c>
      <c r="H179" s="286"/>
      <c r="I179" s="286"/>
      <c r="J179" s="286"/>
      <c r="K179" s="286"/>
      <c r="L179" s="286"/>
      <c r="M179" s="286"/>
      <c r="N179" s="286"/>
      <c r="O179" s="286"/>
      <c r="P179" s="286"/>
      <c r="Q179" s="204">
        <f t="shared" si="21"/>
        <v>97.4</v>
      </c>
      <c r="R179" s="204" t="str">
        <f t="shared" si="16"/>
        <v>NO</v>
      </c>
      <c r="S179" s="204" t="str">
        <f t="shared" si="17"/>
        <v>Inviable Sanitariamente</v>
      </c>
    </row>
    <row r="180" spans="1:20" s="277" customFormat="1" ht="32.1" customHeight="1">
      <c r="A180" s="419" t="s">
        <v>148</v>
      </c>
      <c r="B180" s="238" t="s">
        <v>2996</v>
      </c>
      <c r="C180" s="238" t="s">
        <v>2997</v>
      </c>
      <c r="D180" s="119">
        <v>35</v>
      </c>
      <c r="E180" s="286">
        <v>97.4</v>
      </c>
      <c r="F180" s="286"/>
      <c r="G180" s="286"/>
      <c r="H180" s="286"/>
      <c r="I180" s="286"/>
      <c r="J180" s="286"/>
      <c r="K180" s="286"/>
      <c r="L180" s="286">
        <v>97.4</v>
      </c>
      <c r="M180" s="286"/>
      <c r="N180" s="286"/>
      <c r="O180" s="286"/>
      <c r="P180" s="286"/>
      <c r="Q180" s="204">
        <f t="shared" si="21"/>
        <v>97.4</v>
      </c>
      <c r="R180" s="204" t="str">
        <f t="shared" si="16"/>
        <v>NO</v>
      </c>
      <c r="S180" s="204" t="str">
        <f t="shared" si="17"/>
        <v>Inviable Sanitariamente</v>
      </c>
    </row>
    <row r="181" spans="1:20" s="277" customFormat="1" ht="32.1" customHeight="1">
      <c r="A181" s="419" t="s">
        <v>148</v>
      </c>
      <c r="B181" s="238" t="s">
        <v>2998</v>
      </c>
      <c r="C181" s="238" t="s">
        <v>2999</v>
      </c>
      <c r="D181" s="114">
        <v>12</v>
      </c>
      <c r="E181" s="286"/>
      <c r="F181" s="286">
        <v>97.4</v>
      </c>
      <c r="G181" s="286"/>
      <c r="H181" s="286"/>
      <c r="I181" s="286"/>
      <c r="J181" s="286"/>
      <c r="K181" s="286"/>
      <c r="L181" s="286"/>
      <c r="M181" s="286"/>
      <c r="N181" s="286"/>
      <c r="O181" s="286"/>
      <c r="P181" s="286"/>
      <c r="Q181" s="204">
        <f t="shared" si="21"/>
        <v>97.4</v>
      </c>
      <c r="R181" s="204" t="str">
        <f t="shared" si="16"/>
        <v>NO</v>
      </c>
      <c r="S181" s="204" t="str">
        <f t="shared" si="17"/>
        <v>Inviable Sanitariamente</v>
      </c>
    </row>
    <row r="182" spans="1:20" s="277" customFormat="1" ht="32.1" customHeight="1">
      <c r="A182" s="419" t="s">
        <v>148</v>
      </c>
      <c r="B182" s="238" t="s">
        <v>3000</v>
      </c>
      <c r="C182" s="238" t="s">
        <v>3001</v>
      </c>
      <c r="D182" s="119">
        <v>20</v>
      </c>
      <c r="E182" s="286"/>
      <c r="F182" s="286">
        <v>97.4</v>
      </c>
      <c r="G182" s="286"/>
      <c r="H182" s="286"/>
      <c r="I182" s="286"/>
      <c r="J182" s="286"/>
      <c r="K182" s="286"/>
      <c r="L182" s="286"/>
      <c r="M182" s="286"/>
      <c r="N182" s="286"/>
      <c r="O182" s="286"/>
      <c r="P182" s="286"/>
      <c r="Q182" s="204">
        <f t="shared" si="21"/>
        <v>97.4</v>
      </c>
      <c r="R182" s="204" t="str">
        <f t="shared" si="16"/>
        <v>NO</v>
      </c>
      <c r="S182" s="204" t="str">
        <f t="shared" si="17"/>
        <v>Inviable Sanitariamente</v>
      </c>
    </row>
    <row r="183" spans="1:20" s="277" customFormat="1" ht="32.1" customHeight="1">
      <c r="A183" s="419" t="s">
        <v>148</v>
      </c>
      <c r="B183" s="238" t="s">
        <v>3002</v>
      </c>
      <c r="C183" s="238" t="s">
        <v>3003</v>
      </c>
      <c r="D183" s="119">
        <v>60</v>
      </c>
      <c r="E183" s="286"/>
      <c r="F183" s="286">
        <v>97.4</v>
      </c>
      <c r="G183" s="286"/>
      <c r="H183" s="286"/>
      <c r="I183" s="286"/>
      <c r="J183" s="286"/>
      <c r="K183" s="286"/>
      <c r="L183" s="286"/>
      <c r="M183" s="286"/>
      <c r="N183" s="286"/>
      <c r="O183" s="286"/>
      <c r="P183" s="286"/>
      <c r="Q183" s="204">
        <f t="shared" si="21"/>
        <v>97.4</v>
      </c>
      <c r="R183" s="204" t="str">
        <f t="shared" si="16"/>
        <v>NO</v>
      </c>
      <c r="S183" s="204" t="str">
        <f t="shared" si="17"/>
        <v>Inviable Sanitariamente</v>
      </c>
    </row>
    <row r="184" spans="1:20" s="277" customFormat="1" ht="32.1" customHeight="1">
      <c r="A184" s="419" t="s">
        <v>148</v>
      </c>
      <c r="B184" s="238" t="s">
        <v>3004</v>
      </c>
      <c r="C184" s="238" t="s">
        <v>3005</v>
      </c>
      <c r="D184" s="119">
        <v>24</v>
      </c>
      <c r="E184" s="286"/>
      <c r="F184" s="286">
        <v>97.4</v>
      </c>
      <c r="G184" s="286"/>
      <c r="H184" s="286"/>
      <c r="I184" s="286"/>
      <c r="J184" s="286"/>
      <c r="K184" s="286"/>
      <c r="L184" s="286"/>
      <c r="M184" s="286"/>
      <c r="N184" s="286"/>
      <c r="O184" s="286"/>
      <c r="P184" s="286"/>
      <c r="Q184" s="204">
        <f t="shared" si="21"/>
        <v>97.4</v>
      </c>
      <c r="R184" s="204" t="str">
        <f t="shared" si="16"/>
        <v>NO</v>
      </c>
      <c r="S184" s="204" t="str">
        <f t="shared" si="17"/>
        <v>Inviable Sanitariamente</v>
      </c>
    </row>
    <row r="185" spans="1:20" s="277" customFormat="1" ht="32.1" customHeight="1">
      <c r="A185" s="419" t="s">
        <v>148</v>
      </c>
      <c r="B185" s="238" t="s">
        <v>3006</v>
      </c>
      <c r="C185" s="238" t="s">
        <v>3007</v>
      </c>
      <c r="D185" s="119">
        <v>26</v>
      </c>
      <c r="E185" s="286"/>
      <c r="F185" s="286"/>
      <c r="G185" s="286"/>
      <c r="H185" s="286">
        <v>97.4</v>
      </c>
      <c r="I185" s="286"/>
      <c r="J185" s="286"/>
      <c r="K185" s="286"/>
      <c r="L185" s="286"/>
      <c r="M185" s="286"/>
      <c r="N185" s="286"/>
      <c r="O185" s="286"/>
      <c r="P185" s="286"/>
      <c r="Q185" s="204">
        <f t="shared" si="21"/>
        <v>97.4</v>
      </c>
      <c r="R185" s="204" t="str">
        <f t="shared" si="16"/>
        <v>NO</v>
      </c>
      <c r="S185" s="204" t="str">
        <f t="shared" si="17"/>
        <v>Inviable Sanitariamente</v>
      </c>
    </row>
    <row r="186" spans="1:20" s="277" customFormat="1" ht="32.1" customHeight="1">
      <c r="A186" s="419" t="s">
        <v>148</v>
      </c>
      <c r="B186" s="238" t="s">
        <v>3008</v>
      </c>
      <c r="C186" s="238" t="s">
        <v>3009</v>
      </c>
      <c r="D186" s="119">
        <v>14</v>
      </c>
      <c r="E186" s="286"/>
      <c r="F186" s="286"/>
      <c r="G186" s="286"/>
      <c r="H186" s="286">
        <v>97.4</v>
      </c>
      <c r="I186" s="286"/>
      <c r="J186" s="286"/>
      <c r="K186" s="286"/>
      <c r="L186" s="286"/>
      <c r="M186" s="286"/>
      <c r="N186" s="286"/>
      <c r="O186" s="286"/>
      <c r="P186" s="286"/>
      <c r="Q186" s="204">
        <f t="shared" si="21"/>
        <v>97.4</v>
      </c>
      <c r="R186" s="204" t="str">
        <f t="shared" si="16"/>
        <v>NO</v>
      </c>
      <c r="S186" s="204" t="str">
        <f t="shared" si="17"/>
        <v>Inviable Sanitariamente</v>
      </c>
      <c r="T186" s="285"/>
    </row>
    <row r="187" spans="1:20" s="277" customFormat="1" ht="32.1" customHeight="1">
      <c r="A187" s="419" t="s">
        <v>148</v>
      </c>
      <c r="B187" s="238" t="s">
        <v>3010</v>
      </c>
      <c r="C187" s="238" t="s">
        <v>3011</v>
      </c>
      <c r="D187" s="119">
        <v>15</v>
      </c>
      <c r="E187" s="286"/>
      <c r="F187" s="286"/>
      <c r="G187" s="286">
        <v>97.4</v>
      </c>
      <c r="H187" s="286"/>
      <c r="I187" s="286"/>
      <c r="J187" s="286"/>
      <c r="K187" s="286"/>
      <c r="L187" s="286"/>
      <c r="M187" s="286"/>
      <c r="N187" s="286"/>
      <c r="O187" s="286"/>
      <c r="P187" s="286"/>
      <c r="Q187" s="204">
        <f t="shared" si="21"/>
        <v>97.4</v>
      </c>
      <c r="R187" s="204" t="str">
        <f t="shared" si="16"/>
        <v>NO</v>
      </c>
      <c r="S187" s="204" t="str">
        <f t="shared" si="17"/>
        <v>Inviable Sanitariamente</v>
      </c>
      <c r="T187" s="285"/>
    </row>
    <row r="188" spans="1:20" s="277" customFormat="1" ht="32.1" customHeight="1">
      <c r="A188" s="419" t="s">
        <v>148</v>
      </c>
      <c r="B188" s="238" t="s">
        <v>3012</v>
      </c>
      <c r="C188" s="238" t="s">
        <v>3013</v>
      </c>
      <c r="D188" s="119">
        <v>25</v>
      </c>
      <c r="E188" s="286"/>
      <c r="F188" s="286"/>
      <c r="G188" s="286">
        <v>97.4</v>
      </c>
      <c r="H188" s="286"/>
      <c r="I188" s="286"/>
      <c r="J188" s="286"/>
      <c r="K188" s="286"/>
      <c r="L188" s="286"/>
      <c r="M188" s="286"/>
      <c r="N188" s="286"/>
      <c r="O188" s="286"/>
      <c r="P188" s="286"/>
      <c r="Q188" s="204">
        <f t="shared" si="21"/>
        <v>97.4</v>
      </c>
      <c r="R188" s="204" t="str">
        <f t="shared" si="16"/>
        <v>NO</v>
      </c>
      <c r="S188" s="204" t="str">
        <f t="shared" si="17"/>
        <v>Inviable Sanitariamente</v>
      </c>
      <c r="T188" s="285"/>
    </row>
    <row r="189" spans="1:20" s="277" customFormat="1" ht="32.1" customHeight="1">
      <c r="A189" s="419" t="s">
        <v>148</v>
      </c>
      <c r="B189" s="238" t="s">
        <v>2214</v>
      </c>
      <c r="C189" s="238" t="s">
        <v>3014</v>
      </c>
      <c r="D189" s="119">
        <v>16</v>
      </c>
      <c r="E189" s="286"/>
      <c r="F189" s="286">
        <v>97.4</v>
      </c>
      <c r="G189" s="286"/>
      <c r="H189" s="286"/>
      <c r="I189" s="286"/>
      <c r="J189" s="286"/>
      <c r="K189" s="286"/>
      <c r="L189" s="286"/>
      <c r="M189" s="286"/>
      <c r="N189" s="286"/>
      <c r="O189" s="286"/>
      <c r="P189" s="286"/>
      <c r="Q189" s="204">
        <f t="shared" si="21"/>
        <v>97.4</v>
      </c>
      <c r="R189" s="204" t="str">
        <f t="shared" si="16"/>
        <v>NO</v>
      </c>
      <c r="S189" s="204" t="str">
        <f t="shared" si="17"/>
        <v>Inviable Sanitariamente</v>
      </c>
      <c r="T189" s="285"/>
    </row>
    <row r="190" spans="1:20" s="277" customFormat="1" ht="32.1" customHeight="1">
      <c r="A190" s="419" t="s">
        <v>148</v>
      </c>
      <c r="B190" s="238" t="s">
        <v>3015</v>
      </c>
      <c r="C190" s="238" t="s">
        <v>3016</v>
      </c>
      <c r="D190" s="119">
        <v>18</v>
      </c>
      <c r="E190" s="286">
        <v>97.4</v>
      </c>
      <c r="F190" s="286"/>
      <c r="G190" s="286"/>
      <c r="H190" s="286"/>
      <c r="I190" s="286"/>
      <c r="J190" s="286"/>
      <c r="K190" s="286"/>
      <c r="L190" s="286"/>
      <c r="M190" s="286"/>
      <c r="N190" s="286"/>
      <c r="O190" s="286"/>
      <c r="P190" s="286"/>
      <c r="Q190" s="204">
        <f t="shared" si="21"/>
        <v>97.4</v>
      </c>
      <c r="R190" s="204" t="str">
        <f t="shared" si="16"/>
        <v>NO</v>
      </c>
      <c r="S190" s="204" t="str">
        <f t="shared" si="17"/>
        <v>Inviable Sanitariamente</v>
      </c>
      <c r="T190" s="285"/>
    </row>
    <row r="191" spans="1:20" s="277" customFormat="1" ht="32.1" customHeight="1">
      <c r="A191" s="419" t="s">
        <v>148</v>
      </c>
      <c r="B191" s="489" t="s">
        <v>3017</v>
      </c>
      <c r="C191" s="238" t="s">
        <v>3018</v>
      </c>
      <c r="D191" s="156">
        <v>20</v>
      </c>
      <c r="E191" s="286">
        <v>97.4</v>
      </c>
      <c r="F191" s="286"/>
      <c r="G191" s="286"/>
      <c r="H191" s="286"/>
      <c r="I191" s="286"/>
      <c r="J191" s="286"/>
      <c r="K191" s="286"/>
      <c r="L191" s="286"/>
      <c r="M191" s="286"/>
      <c r="N191" s="286"/>
      <c r="O191" s="286"/>
      <c r="P191" s="286"/>
      <c r="Q191" s="204">
        <f t="shared" si="21"/>
        <v>97.4</v>
      </c>
      <c r="R191" s="204" t="str">
        <f t="shared" si="16"/>
        <v>NO</v>
      </c>
      <c r="S191" s="204" t="str">
        <f t="shared" si="17"/>
        <v>Inviable Sanitariamente</v>
      </c>
      <c r="T191" s="285"/>
    </row>
    <row r="192" spans="1:20" s="277" customFormat="1" ht="32.1" customHeight="1">
      <c r="A192" s="419" t="s">
        <v>148</v>
      </c>
      <c r="B192" s="238" t="s">
        <v>2894</v>
      </c>
      <c r="C192" s="238" t="s">
        <v>3019</v>
      </c>
      <c r="D192" s="119">
        <v>25</v>
      </c>
      <c r="E192" s="286"/>
      <c r="F192" s="286">
        <v>97.4</v>
      </c>
      <c r="G192" s="286"/>
      <c r="H192" s="286"/>
      <c r="I192" s="286"/>
      <c r="J192" s="286"/>
      <c r="K192" s="286"/>
      <c r="L192" s="286"/>
      <c r="M192" s="286"/>
      <c r="N192" s="286"/>
      <c r="O192" s="286"/>
      <c r="P192" s="286"/>
      <c r="Q192" s="204">
        <f t="shared" si="21"/>
        <v>97.4</v>
      </c>
      <c r="R192" s="204" t="str">
        <f t="shared" si="16"/>
        <v>NO</v>
      </c>
      <c r="S192" s="204" t="str">
        <f t="shared" si="17"/>
        <v>Inviable Sanitariamente</v>
      </c>
      <c r="T192" s="285"/>
    </row>
    <row r="193" spans="1:20" s="277" customFormat="1" ht="32.1" customHeight="1">
      <c r="A193" s="419" t="s">
        <v>148</v>
      </c>
      <c r="B193" s="238" t="s">
        <v>3020</v>
      </c>
      <c r="C193" s="238" t="s">
        <v>3021</v>
      </c>
      <c r="D193" s="119">
        <v>32</v>
      </c>
      <c r="E193" s="286"/>
      <c r="F193" s="286">
        <v>97.4</v>
      </c>
      <c r="G193" s="286"/>
      <c r="H193" s="286"/>
      <c r="I193" s="286"/>
      <c r="J193" s="286"/>
      <c r="K193" s="286"/>
      <c r="L193" s="286"/>
      <c r="M193" s="286"/>
      <c r="N193" s="286"/>
      <c r="O193" s="286"/>
      <c r="P193" s="286"/>
      <c r="Q193" s="204">
        <f t="shared" si="21"/>
        <v>97.4</v>
      </c>
      <c r="R193" s="204" t="str">
        <f t="shared" si="16"/>
        <v>NO</v>
      </c>
      <c r="S193" s="204" t="str">
        <f t="shared" si="17"/>
        <v>Inviable Sanitariamente</v>
      </c>
      <c r="T193" s="285"/>
    </row>
    <row r="194" spans="1:20" s="277" customFormat="1" ht="32.1" customHeight="1">
      <c r="A194" s="419" t="s">
        <v>4092</v>
      </c>
      <c r="B194" s="238" t="s">
        <v>3022</v>
      </c>
      <c r="C194" s="238" t="s">
        <v>3023</v>
      </c>
      <c r="D194" s="119">
        <v>119</v>
      </c>
      <c r="E194" s="286"/>
      <c r="F194" s="286"/>
      <c r="G194" s="286"/>
      <c r="H194" s="286"/>
      <c r="I194" s="286"/>
      <c r="J194" s="286"/>
      <c r="K194" s="286"/>
      <c r="L194" s="286"/>
      <c r="M194" s="286"/>
      <c r="N194" s="286">
        <v>0</v>
      </c>
      <c r="O194" s="286"/>
      <c r="P194" s="286"/>
      <c r="Q194" s="204">
        <f t="shared" si="21"/>
        <v>0</v>
      </c>
      <c r="R194" s="204" t="str">
        <f t="shared" si="16"/>
        <v>SI</v>
      </c>
      <c r="S194" s="204" t="str">
        <f t="shared" si="17"/>
        <v>Sin Riesgo</v>
      </c>
      <c r="T194" s="285"/>
    </row>
    <row r="195" spans="1:20" s="277" customFormat="1" ht="32.1" customHeight="1">
      <c r="A195" s="419" t="s">
        <v>4092</v>
      </c>
      <c r="B195" s="238" t="s">
        <v>3024</v>
      </c>
      <c r="C195" s="238" t="s">
        <v>3025</v>
      </c>
      <c r="D195" s="119"/>
      <c r="E195" s="286"/>
      <c r="F195" s="286"/>
      <c r="G195" s="286"/>
      <c r="H195" s="286"/>
      <c r="I195" s="286"/>
      <c r="J195" s="286"/>
      <c r="K195" s="286"/>
      <c r="L195" s="286"/>
      <c r="M195" s="286"/>
      <c r="N195" s="286"/>
      <c r="O195" s="286"/>
      <c r="P195" s="286"/>
      <c r="Q195" s="204" t="e">
        <f t="shared" si="21"/>
        <v>#DIV/0!</v>
      </c>
      <c r="R195" s="204" t="e">
        <f t="shared" si="16"/>
        <v>#DIV/0!</v>
      </c>
      <c r="S195" s="204" t="e">
        <f t="shared" si="17"/>
        <v>#DIV/0!</v>
      </c>
      <c r="T195" s="285"/>
    </row>
    <row r="196" spans="1:20" s="277" customFormat="1" ht="32.1" customHeight="1">
      <c r="A196" s="419" t="s">
        <v>4092</v>
      </c>
      <c r="B196" s="238" t="s">
        <v>828</v>
      </c>
      <c r="C196" s="238" t="s">
        <v>3026</v>
      </c>
      <c r="D196" s="119"/>
      <c r="E196" s="286"/>
      <c r="F196" s="286"/>
      <c r="G196" s="286"/>
      <c r="H196" s="286"/>
      <c r="I196" s="286"/>
      <c r="J196" s="286"/>
      <c r="K196" s="286"/>
      <c r="L196" s="286"/>
      <c r="M196" s="286"/>
      <c r="N196" s="286"/>
      <c r="O196" s="286"/>
      <c r="P196" s="286"/>
      <c r="Q196" s="204" t="e">
        <f t="shared" si="21"/>
        <v>#DIV/0!</v>
      </c>
      <c r="R196" s="204" t="e">
        <f t="shared" si="16"/>
        <v>#DIV/0!</v>
      </c>
      <c r="S196" s="204" t="e">
        <f t="shared" si="17"/>
        <v>#DIV/0!</v>
      </c>
      <c r="T196" s="285"/>
    </row>
    <row r="197" spans="1:20" s="277" customFormat="1" ht="32.1" customHeight="1">
      <c r="A197" s="419" t="s">
        <v>4092</v>
      </c>
      <c r="B197" s="238" t="s">
        <v>1828</v>
      </c>
      <c r="C197" s="238" t="s">
        <v>3027</v>
      </c>
      <c r="D197" s="119"/>
      <c r="E197" s="286"/>
      <c r="F197" s="286"/>
      <c r="G197" s="286"/>
      <c r="H197" s="286"/>
      <c r="I197" s="286"/>
      <c r="J197" s="286"/>
      <c r="K197" s="286"/>
      <c r="L197" s="286"/>
      <c r="M197" s="286"/>
      <c r="N197" s="286"/>
      <c r="O197" s="286"/>
      <c r="P197" s="286"/>
      <c r="Q197" s="204" t="e">
        <f t="shared" si="21"/>
        <v>#DIV/0!</v>
      </c>
      <c r="R197" s="204" t="e">
        <f t="shared" si="16"/>
        <v>#DIV/0!</v>
      </c>
      <c r="S197" s="204" t="e">
        <f t="shared" si="17"/>
        <v>#DIV/0!</v>
      </c>
      <c r="T197" s="285"/>
    </row>
    <row r="198" spans="1:20" s="277" customFormat="1" ht="32.1" customHeight="1">
      <c r="A198" s="419" t="s">
        <v>4092</v>
      </c>
      <c r="B198" s="238" t="s">
        <v>3028</v>
      </c>
      <c r="C198" s="238" t="s">
        <v>3029</v>
      </c>
      <c r="D198" s="119"/>
      <c r="E198" s="286"/>
      <c r="F198" s="286"/>
      <c r="G198" s="286"/>
      <c r="H198" s="286"/>
      <c r="I198" s="286"/>
      <c r="J198" s="286"/>
      <c r="K198" s="286"/>
      <c r="L198" s="286"/>
      <c r="M198" s="286"/>
      <c r="N198" s="286"/>
      <c r="O198" s="286"/>
      <c r="P198" s="286"/>
      <c r="Q198" s="204" t="e">
        <f t="shared" si="21"/>
        <v>#DIV/0!</v>
      </c>
      <c r="R198" s="204" t="e">
        <f t="shared" si="16"/>
        <v>#DIV/0!</v>
      </c>
      <c r="S198" s="204" t="e">
        <f t="shared" si="17"/>
        <v>#DIV/0!</v>
      </c>
      <c r="T198" s="285"/>
    </row>
    <row r="199" spans="1:20" s="277" customFormat="1" ht="32.1" customHeight="1">
      <c r="A199" s="419" t="s">
        <v>4092</v>
      </c>
      <c r="B199" s="238" t="s">
        <v>3030</v>
      </c>
      <c r="C199" s="238" t="s">
        <v>3031</v>
      </c>
      <c r="D199" s="119"/>
      <c r="E199" s="286"/>
      <c r="F199" s="286"/>
      <c r="G199" s="286"/>
      <c r="H199" s="286"/>
      <c r="I199" s="286"/>
      <c r="J199" s="286"/>
      <c r="K199" s="286"/>
      <c r="L199" s="286"/>
      <c r="M199" s="286"/>
      <c r="N199" s="286"/>
      <c r="O199" s="286"/>
      <c r="P199" s="286"/>
      <c r="Q199" s="204" t="e">
        <f t="shared" si="21"/>
        <v>#DIV/0!</v>
      </c>
      <c r="R199" s="204" t="e">
        <f t="shared" si="16"/>
        <v>#DIV/0!</v>
      </c>
      <c r="S199" s="204" t="e">
        <f t="shared" si="17"/>
        <v>#DIV/0!</v>
      </c>
      <c r="T199" s="285"/>
    </row>
    <row r="200" spans="1:20" s="277" customFormat="1" ht="32.1" customHeight="1">
      <c r="A200" s="419" t="s">
        <v>4092</v>
      </c>
      <c r="B200" s="238" t="s">
        <v>2875</v>
      </c>
      <c r="C200" s="238" t="s">
        <v>3032</v>
      </c>
      <c r="D200" s="119"/>
      <c r="E200" s="286"/>
      <c r="F200" s="286"/>
      <c r="G200" s="286"/>
      <c r="H200" s="286"/>
      <c r="I200" s="286"/>
      <c r="J200" s="286"/>
      <c r="K200" s="286"/>
      <c r="L200" s="286"/>
      <c r="M200" s="286"/>
      <c r="N200" s="286"/>
      <c r="O200" s="286"/>
      <c r="P200" s="286"/>
      <c r="Q200" s="204" t="e">
        <f t="shared" si="21"/>
        <v>#DIV/0!</v>
      </c>
      <c r="R200" s="204" t="e">
        <f t="shared" si="16"/>
        <v>#DIV/0!</v>
      </c>
      <c r="S200" s="204" t="e">
        <f t="shared" si="17"/>
        <v>#DIV/0!</v>
      </c>
      <c r="T200" s="285"/>
    </row>
    <row r="201" spans="1:20" s="277" customFormat="1" ht="32.1" customHeight="1">
      <c r="A201" s="419" t="s">
        <v>4092</v>
      </c>
      <c r="B201" s="238" t="s">
        <v>3033</v>
      </c>
      <c r="C201" s="238" t="s">
        <v>3034</v>
      </c>
      <c r="D201" s="114"/>
      <c r="E201" s="286"/>
      <c r="F201" s="286"/>
      <c r="G201" s="286"/>
      <c r="H201" s="286"/>
      <c r="I201" s="286"/>
      <c r="J201" s="286"/>
      <c r="K201" s="286"/>
      <c r="L201" s="286"/>
      <c r="M201" s="286"/>
      <c r="N201" s="286"/>
      <c r="O201" s="286"/>
      <c r="P201" s="286"/>
      <c r="Q201" s="204" t="e">
        <f t="shared" si="21"/>
        <v>#DIV/0!</v>
      </c>
      <c r="R201" s="204" t="e">
        <f t="shared" si="16"/>
        <v>#DIV/0!</v>
      </c>
      <c r="S201" s="204" t="e">
        <f t="shared" si="17"/>
        <v>#DIV/0!</v>
      </c>
      <c r="T201" s="285"/>
    </row>
    <row r="202" spans="1:20" s="277" customFormat="1" ht="32.1" customHeight="1">
      <c r="A202" s="419" t="s">
        <v>4092</v>
      </c>
      <c r="B202" s="238" t="s">
        <v>3035</v>
      </c>
      <c r="C202" s="238" t="s">
        <v>3036</v>
      </c>
      <c r="D202" s="119"/>
      <c r="E202" s="286"/>
      <c r="F202" s="286"/>
      <c r="G202" s="286"/>
      <c r="H202" s="286"/>
      <c r="I202" s="286"/>
      <c r="J202" s="286"/>
      <c r="K202" s="286"/>
      <c r="L202" s="286"/>
      <c r="M202" s="286"/>
      <c r="N202" s="286"/>
      <c r="O202" s="286"/>
      <c r="P202" s="286"/>
      <c r="Q202" s="204" t="e">
        <f t="shared" si="21"/>
        <v>#DIV/0!</v>
      </c>
      <c r="R202" s="204" t="e">
        <f t="shared" si="16"/>
        <v>#DIV/0!</v>
      </c>
      <c r="S202" s="204" t="e">
        <f t="shared" si="17"/>
        <v>#DIV/0!</v>
      </c>
      <c r="T202" s="285"/>
    </row>
    <row r="203" spans="1:20" s="277" customFormat="1" ht="32.1" customHeight="1">
      <c r="A203" s="419" t="s">
        <v>4092</v>
      </c>
      <c r="B203" s="238" t="s">
        <v>3037</v>
      </c>
      <c r="C203" s="238" t="s">
        <v>3038</v>
      </c>
      <c r="D203" s="119">
        <v>50</v>
      </c>
      <c r="E203" s="286"/>
      <c r="F203" s="286">
        <v>0</v>
      </c>
      <c r="G203" s="286"/>
      <c r="H203" s="286"/>
      <c r="I203" s="286"/>
      <c r="J203" s="286"/>
      <c r="K203" s="286"/>
      <c r="L203" s="286"/>
      <c r="M203" s="286"/>
      <c r="N203" s="286"/>
      <c r="O203" s="286"/>
      <c r="P203" s="286"/>
      <c r="Q203" s="204">
        <f t="shared" si="21"/>
        <v>0</v>
      </c>
      <c r="R203" s="204" t="str">
        <f t="shared" si="16"/>
        <v>SI</v>
      </c>
      <c r="S203" s="204" t="str">
        <f t="shared" si="17"/>
        <v>Sin Riesgo</v>
      </c>
      <c r="T203" s="285"/>
    </row>
    <row r="204" spans="1:20" s="277" customFormat="1" ht="32.1" customHeight="1">
      <c r="A204" s="419" t="s">
        <v>4092</v>
      </c>
      <c r="B204" s="238" t="s">
        <v>3039</v>
      </c>
      <c r="C204" s="238" t="s">
        <v>3040</v>
      </c>
      <c r="D204" s="114"/>
      <c r="E204" s="286"/>
      <c r="F204" s="286"/>
      <c r="G204" s="286"/>
      <c r="H204" s="286"/>
      <c r="I204" s="286"/>
      <c r="J204" s="286"/>
      <c r="K204" s="286"/>
      <c r="L204" s="286"/>
      <c r="M204" s="286"/>
      <c r="N204" s="286"/>
      <c r="O204" s="286"/>
      <c r="P204" s="286"/>
      <c r="Q204" s="204" t="e">
        <f t="shared" si="21"/>
        <v>#DIV/0!</v>
      </c>
      <c r="R204" s="204" t="e">
        <f t="shared" si="16"/>
        <v>#DIV/0!</v>
      </c>
      <c r="S204" s="204" t="e">
        <f t="shared" si="17"/>
        <v>#DIV/0!</v>
      </c>
      <c r="T204" s="285"/>
    </row>
    <row r="205" spans="1:20" s="277" customFormat="1" ht="32.1" customHeight="1">
      <c r="A205" s="419" t="s">
        <v>4092</v>
      </c>
      <c r="B205" s="238" t="s">
        <v>3041</v>
      </c>
      <c r="C205" s="238" t="s">
        <v>3042</v>
      </c>
      <c r="D205" s="119"/>
      <c r="E205" s="286"/>
      <c r="F205" s="286"/>
      <c r="G205" s="286"/>
      <c r="H205" s="286"/>
      <c r="I205" s="286"/>
      <c r="J205" s="286"/>
      <c r="K205" s="286"/>
      <c r="L205" s="286"/>
      <c r="M205" s="286"/>
      <c r="N205" s="286"/>
      <c r="O205" s="286"/>
      <c r="P205" s="286"/>
      <c r="Q205" s="204" t="e">
        <f t="shared" si="21"/>
        <v>#DIV/0!</v>
      </c>
      <c r="R205" s="204" t="e">
        <f t="shared" si="16"/>
        <v>#DIV/0!</v>
      </c>
      <c r="S205" s="204" t="e">
        <f t="shared" si="17"/>
        <v>#DIV/0!</v>
      </c>
      <c r="T205" s="285"/>
    </row>
    <row r="206" spans="1:20" s="277" customFormat="1" ht="36.75" customHeight="1">
      <c r="A206" s="419" t="s">
        <v>4092</v>
      </c>
      <c r="B206" s="238" t="s">
        <v>3043</v>
      </c>
      <c r="C206" s="238" t="s">
        <v>3044</v>
      </c>
      <c r="D206" s="119"/>
      <c r="E206" s="286"/>
      <c r="F206" s="286"/>
      <c r="G206" s="286"/>
      <c r="H206" s="286"/>
      <c r="I206" s="286"/>
      <c r="J206" s="286"/>
      <c r="K206" s="286"/>
      <c r="L206" s="286"/>
      <c r="M206" s="286"/>
      <c r="N206" s="286"/>
      <c r="O206" s="286"/>
      <c r="P206" s="286"/>
      <c r="Q206" s="204" t="e">
        <f t="shared" si="21"/>
        <v>#DIV/0!</v>
      </c>
      <c r="R206" s="204" t="e">
        <f t="shared" si="16"/>
        <v>#DIV/0!</v>
      </c>
      <c r="S206" s="204" t="e">
        <f t="shared" si="17"/>
        <v>#DIV/0!</v>
      </c>
      <c r="T206" s="285"/>
    </row>
    <row r="207" spans="1:20" s="277" customFormat="1" ht="39.950000000000003" customHeight="1">
      <c r="A207" s="419" t="s">
        <v>4092</v>
      </c>
      <c r="B207" s="238" t="s">
        <v>3045</v>
      </c>
      <c r="C207" s="238" t="s">
        <v>3046</v>
      </c>
      <c r="D207" s="114"/>
      <c r="E207" s="286"/>
      <c r="F207" s="286"/>
      <c r="G207" s="286"/>
      <c r="H207" s="286"/>
      <c r="I207" s="286"/>
      <c r="J207" s="286"/>
      <c r="K207" s="286"/>
      <c r="L207" s="286"/>
      <c r="M207" s="286"/>
      <c r="N207" s="286"/>
      <c r="O207" s="286"/>
      <c r="P207" s="286"/>
      <c r="Q207" s="204" t="e">
        <f t="shared" si="21"/>
        <v>#DIV/0!</v>
      </c>
      <c r="R207" s="204" t="e">
        <f t="shared" si="16"/>
        <v>#DIV/0!</v>
      </c>
      <c r="S207" s="204" t="e">
        <f t="shared" si="17"/>
        <v>#DIV/0!</v>
      </c>
      <c r="T207" s="285"/>
    </row>
    <row r="208" spans="1:20" s="277" customFormat="1" ht="39.950000000000003" customHeight="1">
      <c r="A208" s="419" t="s">
        <v>4092</v>
      </c>
      <c r="B208" s="238" t="s">
        <v>1309</v>
      </c>
      <c r="C208" s="238" t="s">
        <v>3047</v>
      </c>
      <c r="D208" s="119"/>
      <c r="E208" s="286"/>
      <c r="F208" s="286"/>
      <c r="G208" s="286"/>
      <c r="H208" s="286"/>
      <c r="I208" s="286"/>
      <c r="J208" s="286"/>
      <c r="K208" s="286"/>
      <c r="L208" s="286"/>
      <c r="M208" s="286"/>
      <c r="N208" s="286"/>
      <c r="O208" s="286"/>
      <c r="P208" s="286"/>
      <c r="Q208" s="204" t="e">
        <f t="shared" si="21"/>
        <v>#DIV/0!</v>
      </c>
      <c r="R208" s="204" t="e">
        <f t="shared" si="16"/>
        <v>#DIV/0!</v>
      </c>
      <c r="S208" s="204" t="e">
        <f t="shared" si="17"/>
        <v>#DIV/0!</v>
      </c>
      <c r="T208" s="285"/>
    </row>
    <row r="209" spans="1:20" s="277" customFormat="1" ht="39.950000000000003" customHeight="1">
      <c r="A209" s="419" t="s">
        <v>4092</v>
      </c>
      <c r="B209" s="238" t="s">
        <v>10</v>
      </c>
      <c r="C209" s="238" t="s">
        <v>3048</v>
      </c>
      <c r="D209" s="119">
        <v>49</v>
      </c>
      <c r="E209" s="286"/>
      <c r="F209" s="286"/>
      <c r="G209" s="286"/>
      <c r="H209" s="286">
        <v>0</v>
      </c>
      <c r="I209" s="286"/>
      <c r="J209" s="286"/>
      <c r="K209" s="286"/>
      <c r="L209" s="286"/>
      <c r="M209" s="286"/>
      <c r="N209" s="286"/>
      <c r="O209" s="286"/>
      <c r="P209" s="286"/>
      <c r="Q209" s="204">
        <f t="shared" si="21"/>
        <v>0</v>
      </c>
      <c r="R209" s="204" t="str">
        <f t="shared" si="16"/>
        <v>SI</v>
      </c>
      <c r="S209" s="204" t="str">
        <f t="shared" si="17"/>
        <v>Sin Riesgo</v>
      </c>
      <c r="T209" s="285"/>
    </row>
    <row r="210" spans="1:20" s="277" customFormat="1" ht="39.950000000000003" customHeight="1">
      <c r="A210" s="419" t="s">
        <v>4092</v>
      </c>
      <c r="B210" s="238" t="s">
        <v>3049</v>
      </c>
      <c r="C210" s="238" t="s">
        <v>3050</v>
      </c>
      <c r="D210" s="119">
        <v>99</v>
      </c>
      <c r="E210" s="286"/>
      <c r="F210" s="286"/>
      <c r="G210" s="286"/>
      <c r="H210" s="286"/>
      <c r="I210" s="286"/>
      <c r="J210" s="286"/>
      <c r="K210" s="286"/>
      <c r="L210" s="286">
        <v>0</v>
      </c>
      <c r="M210" s="286"/>
      <c r="N210" s="286"/>
      <c r="O210" s="286"/>
      <c r="P210" s="286"/>
      <c r="Q210" s="204">
        <f t="shared" si="21"/>
        <v>0</v>
      </c>
      <c r="R210" s="204" t="str">
        <f t="shared" si="16"/>
        <v>SI</v>
      </c>
      <c r="S210" s="204" t="str">
        <f t="shared" si="17"/>
        <v>Sin Riesgo</v>
      </c>
      <c r="T210" s="285"/>
    </row>
    <row r="211" spans="1:20" s="277" customFormat="1" ht="39.950000000000003" customHeight="1">
      <c r="A211" s="419" t="s">
        <v>4092</v>
      </c>
      <c r="B211" s="238" t="s">
        <v>631</v>
      </c>
      <c r="C211" s="238" t="s">
        <v>3051</v>
      </c>
      <c r="D211" s="119"/>
      <c r="E211" s="286"/>
      <c r="F211" s="286"/>
      <c r="G211" s="286"/>
      <c r="H211" s="286"/>
      <c r="I211" s="286"/>
      <c r="J211" s="286"/>
      <c r="K211" s="286"/>
      <c r="L211" s="286"/>
      <c r="M211" s="286"/>
      <c r="N211" s="286"/>
      <c r="O211" s="286"/>
      <c r="P211" s="286"/>
      <c r="Q211" s="204" t="e">
        <f t="shared" si="21"/>
        <v>#DIV/0!</v>
      </c>
      <c r="R211" s="204" t="e">
        <f t="shared" si="16"/>
        <v>#DIV/0!</v>
      </c>
      <c r="S211" s="204" t="e">
        <f t="shared" si="17"/>
        <v>#DIV/0!</v>
      </c>
      <c r="T211" s="285"/>
    </row>
    <row r="212" spans="1:20" s="277" customFormat="1" ht="39.950000000000003" customHeight="1">
      <c r="A212" s="419" t="s">
        <v>4092</v>
      </c>
      <c r="B212" s="238" t="s">
        <v>702</v>
      </c>
      <c r="C212" s="238" t="s">
        <v>3052</v>
      </c>
      <c r="D212" s="119"/>
      <c r="E212" s="286"/>
      <c r="F212" s="286"/>
      <c r="G212" s="286"/>
      <c r="H212" s="286"/>
      <c r="I212" s="286"/>
      <c r="J212" s="286"/>
      <c r="K212" s="286"/>
      <c r="L212" s="286"/>
      <c r="M212" s="286"/>
      <c r="N212" s="286"/>
      <c r="O212" s="286"/>
      <c r="P212" s="286"/>
      <c r="Q212" s="204" t="e">
        <f t="shared" si="21"/>
        <v>#DIV/0!</v>
      </c>
      <c r="R212" s="204" t="e">
        <f t="shared" si="16"/>
        <v>#DIV/0!</v>
      </c>
      <c r="S212" s="204" t="e">
        <f t="shared" si="17"/>
        <v>#DIV/0!</v>
      </c>
      <c r="T212" s="285"/>
    </row>
    <row r="213" spans="1:20" s="277" customFormat="1" ht="39.950000000000003" customHeight="1">
      <c r="A213" s="419" t="s">
        <v>4092</v>
      </c>
      <c r="B213" s="238" t="s">
        <v>3053</v>
      </c>
      <c r="C213" s="238" t="s">
        <v>3054</v>
      </c>
      <c r="D213" s="119">
        <v>23</v>
      </c>
      <c r="E213" s="286"/>
      <c r="F213" s="286"/>
      <c r="G213" s="286"/>
      <c r="H213" s="286"/>
      <c r="I213" s="286"/>
      <c r="J213" s="286"/>
      <c r="K213" s="286"/>
      <c r="L213" s="286">
        <v>0</v>
      </c>
      <c r="M213" s="286"/>
      <c r="N213" s="286"/>
      <c r="O213" s="286"/>
      <c r="P213" s="286"/>
      <c r="Q213" s="204">
        <f t="shared" si="21"/>
        <v>0</v>
      </c>
      <c r="R213" s="204" t="str">
        <f t="shared" si="16"/>
        <v>SI</v>
      </c>
      <c r="S213" s="204" t="str">
        <f t="shared" si="17"/>
        <v>Sin Riesgo</v>
      </c>
      <c r="T213" s="285"/>
    </row>
    <row r="214" spans="1:20" s="277" customFormat="1" ht="39.950000000000003" customHeight="1">
      <c r="A214" s="419" t="s">
        <v>4092</v>
      </c>
      <c r="B214" s="238" t="s">
        <v>3055</v>
      </c>
      <c r="C214" s="238" t="s">
        <v>3056</v>
      </c>
      <c r="D214" s="119"/>
      <c r="E214" s="286"/>
      <c r="F214" s="286"/>
      <c r="G214" s="286"/>
      <c r="H214" s="286"/>
      <c r="I214" s="286"/>
      <c r="J214" s="286"/>
      <c r="K214" s="286"/>
      <c r="L214" s="286"/>
      <c r="M214" s="286"/>
      <c r="N214" s="286"/>
      <c r="O214" s="286"/>
      <c r="P214" s="286"/>
      <c r="Q214" s="204" t="e">
        <f t="shared" si="21"/>
        <v>#DIV/0!</v>
      </c>
      <c r="R214" s="204" t="e">
        <f t="shared" si="16"/>
        <v>#DIV/0!</v>
      </c>
      <c r="S214" s="204" t="e">
        <f t="shared" si="17"/>
        <v>#DIV/0!</v>
      </c>
      <c r="T214" s="285"/>
    </row>
    <row r="215" spans="1:20" s="277" customFormat="1" ht="39.950000000000003" customHeight="1">
      <c r="A215" s="419" t="s">
        <v>4092</v>
      </c>
      <c r="B215" s="238" t="s">
        <v>3057</v>
      </c>
      <c r="C215" s="238" t="s">
        <v>3058</v>
      </c>
      <c r="D215" s="119">
        <v>77</v>
      </c>
      <c r="E215" s="286"/>
      <c r="F215" s="286"/>
      <c r="G215" s="286"/>
      <c r="H215" s="286"/>
      <c r="I215" s="286"/>
      <c r="J215" s="286">
        <v>0</v>
      </c>
      <c r="K215" s="286"/>
      <c r="L215" s="286"/>
      <c r="M215" s="286"/>
      <c r="N215" s="286"/>
      <c r="O215" s="286"/>
      <c r="P215" s="286"/>
      <c r="Q215" s="204">
        <f t="shared" si="21"/>
        <v>0</v>
      </c>
      <c r="R215" s="204" t="str">
        <f t="shared" si="16"/>
        <v>SI</v>
      </c>
      <c r="S215" s="204" t="str">
        <f t="shared" si="17"/>
        <v>Sin Riesgo</v>
      </c>
      <c r="T215" s="285"/>
    </row>
    <row r="216" spans="1:20" s="277" customFormat="1" ht="39.950000000000003" customHeight="1">
      <c r="A216" s="419" t="s">
        <v>4092</v>
      </c>
      <c r="B216" s="238" t="s">
        <v>3059</v>
      </c>
      <c r="C216" s="238" t="s">
        <v>3060</v>
      </c>
      <c r="D216" s="119">
        <v>118</v>
      </c>
      <c r="E216" s="286"/>
      <c r="F216" s="286"/>
      <c r="G216" s="286">
        <v>0</v>
      </c>
      <c r="H216" s="286"/>
      <c r="I216" s="286">
        <v>0</v>
      </c>
      <c r="J216" s="286">
        <v>0</v>
      </c>
      <c r="K216" s="286"/>
      <c r="L216" s="286"/>
      <c r="M216" s="286"/>
      <c r="N216" s="286"/>
      <c r="O216" s="286"/>
      <c r="P216" s="286"/>
      <c r="Q216" s="204">
        <f t="shared" si="21"/>
        <v>0</v>
      </c>
      <c r="R216" s="204" t="str">
        <f t="shared" si="16"/>
        <v>SI</v>
      </c>
      <c r="S216" s="204" t="str">
        <f t="shared" si="17"/>
        <v>Sin Riesgo</v>
      </c>
      <c r="T216" s="285"/>
    </row>
    <row r="217" spans="1:20" s="277" customFormat="1" ht="39.950000000000003" customHeight="1">
      <c r="A217" s="419" t="s">
        <v>4092</v>
      </c>
      <c r="B217" s="238" t="s">
        <v>1606</v>
      </c>
      <c r="C217" s="238" t="s">
        <v>3061</v>
      </c>
      <c r="D217" s="119"/>
      <c r="E217" s="286"/>
      <c r="F217" s="286"/>
      <c r="G217" s="286"/>
      <c r="H217" s="286"/>
      <c r="I217" s="286"/>
      <c r="J217" s="286"/>
      <c r="K217" s="286"/>
      <c r="L217" s="286"/>
      <c r="M217" s="286"/>
      <c r="N217" s="286"/>
      <c r="O217" s="286"/>
      <c r="P217" s="286"/>
      <c r="Q217" s="204" t="e">
        <f t="shared" si="21"/>
        <v>#DIV/0!</v>
      </c>
      <c r="R217" s="204" t="e">
        <f t="shared" si="16"/>
        <v>#DIV/0!</v>
      </c>
      <c r="S217" s="204" t="e">
        <f t="shared" si="17"/>
        <v>#DIV/0!</v>
      </c>
      <c r="T217" s="285"/>
    </row>
    <row r="218" spans="1:20" s="277" customFormat="1" ht="39.950000000000003" customHeight="1">
      <c r="A218" s="419" t="s">
        <v>4092</v>
      </c>
      <c r="B218" s="238" t="s">
        <v>3062</v>
      </c>
      <c r="C218" s="238" t="s">
        <v>3063</v>
      </c>
      <c r="D218" s="119"/>
      <c r="E218" s="286"/>
      <c r="F218" s="286"/>
      <c r="G218" s="286"/>
      <c r="H218" s="286"/>
      <c r="I218" s="286"/>
      <c r="J218" s="286"/>
      <c r="K218" s="286"/>
      <c r="L218" s="286"/>
      <c r="M218" s="286"/>
      <c r="N218" s="286"/>
      <c r="O218" s="286"/>
      <c r="P218" s="286"/>
      <c r="Q218" s="204" t="e">
        <f t="shared" si="21"/>
        <v>#DIV/0!</v>
      </c>
      <c r="R218" s="204" t="e">
        <f t="shared" ref="R218:R281" si="25">IF(Q218&lt;5,"SI","NO")</f>
        <v>#DIV/0!</v>
      </c>
      <c r="S218" s="204" t="e">
        <f t="shared" si="17"/>
        <v>#DIV/0!</v>
      </c>
      <c r="T218" s="285"/>
    </row>
    <row r="219" spans="1:20" s="277" customFormat="1" ht="39.950000000000003" customHeight="1">
      <c r="A219" s="419" t="s">
        <v>4092</v>
      </c>
      <c r="B219" s="238" t="s">
        <v>3064</v>
      </c>
      <c r="C219" s="238" t="s">
        <v>3065</v>
      </c>
      <c r="D219" s="119"/>
      <c r="E219" s="286"/>
      <c r="F219" s="286"/>
      <c r="G219" s="286"/>
      <c r="H219" s="286"/>
      <c r="I219" s="286"/>
      <c r="J219" s="286"/>
      <c r="K219" s="286"/>
      <c r="L219" s="286"/>
      <c r="M219" s="286"/>
      <c r="N219" s="286"/>
      <c r="O219" s="286"/>
      <c r="P219" s="286"/>
      <c r="Q219" s="204" t="e">
        <f t="shared" si="21"/>
        <v>#DIV/0!</v>
      </c>
      <c r="R219" s="204" t="e">
        <f t="shared" si="25"/>
        <v>#DIV/0!</v>
      </c>
      <c r="S219" s="204" t="e">
        <f t="shared" ref="S219:S284" si="26">IF(Q219&lt;=5,"Sin Riesgo",IF(Q219 &lt;=14,"Bajo",IF(Q219&lt;=35,"Medio",IF(Q219&lt;=80,"Alto","Inviable Sanitariamente"))))</f>
        <v>#DIV/0!</v>
      </c>
      <c r="T219" s="285"/>
    </row>
    <row r="220" spans="1:20" s="277" customFormat="1" ht="39.950000000000003" customHeight="1">
      <c r="A220" s="419" t="s">
        <v>4092</v>
      </c>
      <c r="B220" s="238" t="s">
        <v>2277</v>
      </c>
      <c r="C220" s="238" t="s">
        <v>3066</v>
      </c>
      <c r="D220" s="119">
        <v>72</v>
      </c>
      <c r="E220" s="286"/>
      <c r="F220" s="286"/>
      <c r="G220" s="286">
        <v>96.7</v>
      </c>
      <c r="H220" s="286"/>
      <c r="I220" s="286"/>
      <c r="J220" s="286"/>
      <c r="K220" s="286"/>
      <c r="L220" s="286"/>
      <c r="M220" s="286"/>
      <c r="N220" s="286"/>
      <c r="O220" s="286"/>
      <c r="P220" s="286"/>
      <c r="Q220" s="204">
        <f t="shared" si="21"/>
        <v>96.7</v>
      </c>
      <c r="R220" s="204" t="str">
        <f t="shared" si="25"/>
        <v>NO</v>
      </c>
      <c r="S220" s="204" t="str">
        <f t="shared" si="26"/>
        <v>Inviable Sanitariamente</v>
      </c>
      <c r="T220" s="285"/>
    </row>
    <row r="221" spans="1:20" s="277" customFormat="1" ht="39.950000000000003" customHeight="1">
      <c r="A221" s="419" t="s">
        <v>4092</v>
      </c>
      <c r="B221" s="238" t="s">
        <v>3067</v>
      </c>
      <c r="C221" s="238" t="s">
        <v>3068</v>
      </c>
      <c r="D221" s="119">
        <v>60</v>
      </c>
      <c r="E221" s="286"/>
      <c r="F221" s="286"/>
      <c r="G221" s="286"/>
      <c r="H221" s="286"/>
      <c r="I221" s="286"/>
      <c r="J221" s="286"/>
      <c r="K221" s="286"/>
      <c r="L221" s="286"/>
      <c r="M221" s="286"/>
      <c r="N221" s="286"/>
      <c r="O221" s="286"/>
      <c r="P221" s="286"/>
      <c r="Q221" s="204" t="e">
        <f t="shared" si="21"/>
        <v>#DIV/0!</v>
      </c>
      <c r="R221" s="204" t="e">
        <f t="shared" si="25"/>
        <v>#DIV/0!</v>
      </c>
      <c r="S221" s="204" t="e">
        <f t="shared" si="26"/>
        <v>#DIV/0!</v>
      </c>
      <c r="T221" s="285"/>
    </row>
    <row r="222" spans="1:20" s="277" customFormat="1" ht="32.1" customHeight="1">
      <c r="A222" s="419" t="s">
        <v>4092</v>
      </c>
      <c r="B222" s="238" t="s">
        <v>1325</v>
      </c>
      <c r="C222" s="238" t="s">
        <v>3069</v>
      </c>
      <c r="D222" s="119">
        <v>30</v>
      </c>
      <c r="E222" s="286"/>
      <c r="F222" s="286"/>
      <c r="G222" s="286"/>
      <c r="H222" s="286"/>
      <c r="I222" s="286"/>
      <c r="J222" s="286"/>
      <c r="K222" s="286"/>
      <c r="L222" s="286"/>
      <c r="M222" s="286"/>
      <c r="N222" s="286"/>
      <c r="O222" s="286"/>
      <c r="P222" s="286"/>
      <c r="Q222" s="204" t="e">
        <f t="shared" si="21"/>
        <v>#DIV/0!</v>
      </c>
      <c r="R222" s="204" t="e">
        <f t="shared" si="25"/>
        <v>#DIV/0!</v>
      </c>
      <c r="S222" s="204" t="e">
        <f t="shared" si="26"/>
        <v>#DIV/0!</v>
      </c>
      <c r="T222" s="285"/>
    </row>
    <row r="223" spans="1:20" s="277" customFormat="1" ht="32.1" customHeight="1">
      <c r="A223" s="419" t="s">
        <v>4092</v>
      </c>
      <c r="B223" s="238" t="s">
        <v>3070</v>
      </c>
      <c r="C223" s="238" t="s">
        <v>3071</v>
      </c>
      <c r="D223" s="119">
        <v>95</v>
      </c>
      <c r="E223" s="286"/>
      <c r="F223" s="286"/>
      <c r="G223" s="286"/>
      <c r="H223" s="286"/>
      <c r="I223" s="286"/>
      <c r="J223" s="286"/>
      <c r="K223" s="286"/>
      <c r="L223" s="286"/>
      <c r="M223" s="286"/>
      <c r="N223" s="286"/>
      <c r="O223" s="286"/>
      <c r="P223" s="286"/>
      <c r="Q223" s="204" t="e">
        <f t="shared" si="21"/>
        <v>#DIV/0!</v>
      </c>
      <c r="R223" s="204" t="e">
        <f t="shared" si="25"/>
        <v>#DIV/0!</v>
      </c>
      <c r="S223" s="204" t="e">
        <f t="shared" si="26"/>
        <v>#DIV/0!</v>
      </c>
      <c r="T223" s="285"/>
    </row>
    <row r="224" spans="1:20" s="277" customFormat="1" ht="32.1" customHeight="1">
      <c r="A224" s="419" t="s">
        <v>4092</v>
      </c>
      <c r="B224" s="238" t="s">
        <v>3072</v>
      </c>
      <c r="C224" s="238" t="s">
        <v>3073</v>
      </c>
      <c r="D224" s="119">
        <v>80</v>
      </c>
      <c r="E224" s="286"/>
      <c r="F224" s="286"/>
      <c r="G224" s="286"/>
      <c r="H224" s="286"/>
      <c r="I224" s="286"/>
      <c r="J224" s="286"/>
      <c r="K224" s="286"/>
      <c r="L224" s="286"/>
      <c r="M224" s="286"/>
      <c r="N224" s="286"/>
      <c r="O224" s="286"/>
      <c r="P224" s="286">
        <v>0</v>
      </c>
      <c r="Q224" s="204">
        <f t="shared" si="21"/>
        <v>0</v>
      </c>
      <c r="R224" s="204" t="str">
        <f t="shared" si="25"/>
        <v>SI</v>
      </c>
      <c r="S224" s="204" t="str">
        <f t="shared" si="26"/>
        <v>Sin Riesgo</v>
      </c>
      <c r="T224" s="285"/>
    </row>
    <row r="225" spans="1:20" s="277" customFormat="1" ht="32.1" customHeight="1">
      <c r="A225" s="419" t="s">
        <v>4092</v>
      </c>
      <c r="B225" s="238" t="s">
        <v>2198</v>
      </c>
      <c r="C225" s="238" t="s">
        <v>3074</v>
      </c>
      <c r="D225" s="119"/>
      <c r="E225" s="286"/>
      <c r="F225" s="286"/>
      <c r="G225" s="286"/>
      <c r="H225" s="286"/>
      <c r="I225" s="286"/>
      <c r="J225" s="286"/>
      <c r="K225" s="286"/>
      <c r="L225" s="286"/>
      <c r="M225" s="286"/>
      <c r="N225" s="286"/>
      <c r="O225" s="286"/>
      <c r="P225" s="286"/>
      <c r="Q225" s="204" t="e">
        <f t="shared" si="21"/>
        <v>#DIV/0!</v>
      </c>
      <c r="R225" s="204" t="e">
        <f t="shared" si="25"/>
        <v>#DIV/0!</v>
      </c>
      <c r="S225" s="204" t="e">
        <f t="shared" si="26"/>
        <v>#DIV/0!</v>
      </c>
      <c r="T225" s="285"/>
    </row>
    <row r="226" spans="1:20" s="277" customFormat="1" ht="32.1" customHeight="1">
      <c r="A226" s="419" t="s">
        <v>4092</v>
      </c>
      <c r="B226" s="238" t="s">
        <v>3075</v>
      </c>
      <c r="C226" s="238" t="s">
        <v>3076</v>
      </c>
      <c r="D226" s="119"/>
      <c r="E226" s="286"/>
      <c r="F226" s="286"/>
      <c r="G226" s="286"/>
      <c r="H226" s="286"/>
      <c r="I226" s="286"/>
      <c r="J226" s="286"/>
      <c r="K226" s="286"/>
      <c r="L226" s="286"/>
      <c r="M226" s="286"/>
      <c r="N226" s="286"/>
      <c r="O226" s="286"/>
      <c r="P226" s="286"/>
      <c r="Q226" s="204" t="e">
        <f t="shared" si="21"/>
        <v>#DIV/0!</v>
      </c>
      <c r="R226" s="204" t="e">
        <f t="shared" si="25"/>
        <v>#DIV/0!</v>
      </c>
      <c r="S226" s="204" t="e">
        <f t="shared" si="26"/>
        <v>#DIV/0!</v>
      </c>
      <c r="T226" s="285"/>
    </row>
    <row r="227" spans="1:20" s="277" customFormat="1" ht="32.1" customHeight="1">
      <c r="A227" s="419" t="s">
        <v>4092</v>
      </c>
      <c r="B227" s="238" t="s">
        <v>1046</v>
      </c>
      <c r="C227" s="238" t="s">
        <v>3077</v>
      </c>
      <c r="D227" s="119"/>
      <c r="E227" s="286"/>
      <c r="F227" s="286"/>
      <c r="G227" s="286"/>
      <c r="H227" s="286"/>
      <c r="I227" s="286"/>
      <c r="J227" s="286"/>
      <c r="K227" s="286"/>
      <c r="L227" s="286"/>
      <c r="M227" s="286"/>
      <c r="N227" s="286"/>
      <c r="O227" s="286"/>
      <c r="P227" s="286"/>
      <c r="Q227" s="204" t="e">
        <f t="shared" si="21"/>
        <v>#DIV/0!</v>
      </c>
      <c r="R227" s="204" t="e">
        <f t="shared" si="25"/>
        <v>#DIV/0!</v>
      </c>
      <c r="S227" s="204" t="e">
        <f t="shared" si="26"/>
        <v>#DIV/0!</v>
      </c>
      <c r="T227" s="285"/>
    </row>
    <row r="228" spans="1:20" s="277" customFormat="1" ht="32.1" customHeight="1">
      <c r="A228" s="419" t="s">
        <v>4092</v>
      </c>
      <c r="B228" s="238" t="s">
        <v>3078</v>
      </c>
      <c r="C228" s="238" t="s">
        <v>3079</v>
      </c>
      <c r="D228" s="119"/>
      <c r="E228" s="286"/>
      <c r="F228" s="286"/>
      <c r="G228" s="286"/>
      <c r="H228" s="286"/>
      <c r="I228" s="286"/>
      <c r="J228" s="286"/>
      <c r="K228" s="286"/>
      <c r="L228" s="286"/>
      <c r="M228" s="286"/>
      <c r="N228" s="286"/>
      <c r="O228" s="286"/>
      <c r="P228" s="286"/>
      <c r="Q228" s="204" t="e">
        <f t="shared" si="21"/>
        <v>#DIV/0!</v>
      </c>
      <c r="R228" s="204" t="e">
        <f t="shared" si="25"/>
        <v>#DIV/0!</v>
      </c>
      <c r="S228" s="204" t="e">
        <f t="shared" si="26"/>
        <v>#DIV/0!</v>
      </c>
      <c r="T228" s="285"/>
    </row>
    <row r="229" spans="1:20" s="277" customFormat="1" ht="32.1" customHeight="1">
      <c r="A229" s="419" t="s">
        <v>4092</v>
      </c>
      <c r="B229" s="238" t="s">
        <v>3080</v>
      </c>
      <c r="C229" s="238" t="s">
        <v>3081</v>
      </c>
      <c r="D229" s="119"/>
      <c r="E229" s="286"/>
      <c r="F229" s="286"/>
      <c r="G229" s="286"/>
      <c r="H229" s="286"/>
      <c r="I229" s="286"/>
      <c r="J229" s="286"/>
      <c r="K229" s="286"/>
      <c r="L229" s="286"/>
      <c r="M229" s="286"/>
      <c r="N229" s="286"/>
      <c r="O229" s="286"/>
      <c r="P229" s="286"/>
      <c r="Q229" s="204" t="e">
        <f t="shared" si="21"/>
        <v>#DIV/0!</v>
      </c>
      <c r="R229" s="204" t="e">
        <f t="shared" si="25"/>
        <v>#DIV/0!</v>
      </c>
      <c r="S229" s="204" t="e">
        <f t="shared" si="26"/>
        <v>#DIV/0!</v>
      </c>
      <c r="T229" s="285"/>
    </row>
    <row r="230" spans="1:20" s="277" customFormat="1" ht="32.1" customHeight="1">
      <c r="A230" s="419" t="s">
        <v>4092</v>
      </c>
      <c r="B230" s="238" t="s">
        <v>3082</v>
      </c>
      <c r="C230" s="238" t="s">
        <v>3083</v>
      </c>
      <c r="D230" s="119"/>
      <c r="E230" s="286"/>
      <c r="F230" s="286"/>
      <c r="G230" s="286"/>
      <c r="H230" s="286"/>
      <c r="I230" s="286"/>
      <c r="J230" s="286"/>
      <c r="K230" s="286"/>
      <c r="L230" s="286"/>
      <c r="M230" s="286"/>
      <c r="N230" s="286"/>
      <c r="O230" s="286"/>
      <c r="P230" s="286"/>
      <c r="Q230" s="204" t="e">
        <f t="shared" si="21"/>
        <v>#DIV/0!</v>
      </c>
      <c r="R230" s="204" t="e">
        <f t="shared" si="25"/>
        <v>#DIV/0!</v>
      </c>
      <c r="S230" s="204" t="e">
        <f t="shared" si="26"/>
        <v>#DIV/0!</v>
      </c>
      <c r="T230" s="285"/>
    </row>
    <row r="231" spans="1:20" s="277" customFormat="1" ht="32.1" customHeight="1">
      <c r="A231" s="419" t="s">
        <v>4092</v>
      </c>
      <c r="B231" s="238" t="s">
        <v>3084</v>
      </c>
      <c r="C231" s="238" t="s">
        <v>3085</v>
      </c>
      <c r="D231" s="119">
        <v>97</v>
      </c>
      <c r="E231" s="286"/>
      <c r="F231" s="286"/>
      <c r="G231" s="286"/>
      <c r="H231" s="286"/>
      <c r="I231" s="286">
        <v>96.7</v>
      </c>
      <c r="J231" s="286"/>
      <c r="K231" s="286"/>
      <c r="L231" s="286"/>
      <c r="M231" s="286"/>
      <c r="N231" s="286"/>
      <c r="O231" s="286"/>
      <c r="P231" s="286"/>
      <c r="Q231" s="204">
        <f t="shared" si="21"/>
        <v>96.7</v>
      </c>
      <c r="R231" s="204" t="str">
        <f t="shared" si="25"/>
        <v>NO</v>
      </c>
      <c r="S231" s="204" t="str">
        <f t="shared" si="26"/>
        <v>Inviable Sanitariamente</v>
      </c>
      <c r="T231" s="285"/>
    </row>
    <row r="232" spans="1:20" s="277" customFormat="1" ht="32.1" customHeight="1">
      <c r="A232" s="419" t="s">
        <v>4092</v>
      </c>
      <c r="B232" s="238" t="s">
        <v>3086</v>
      </c>
      <c r="C232" s="238" t="s">
        <v>3087</v>
      </c>
      <c r="D232" s="119">
        <v>25</v>
      </c>
      <c r="E232" s="286"/>
      <c r="F232" s="286"/>
      <c r="G232" s="286"/>
      <c r="H232" s="286"/>
      <c r="I232" s="286">
        <v>96.7</v>
      </c>
      <c r="J232" s="286"/>
      <c r="K232" s="286"/>
      <c r="L232" s="286"/>
      <c r="M232" s="286"/>
      <c r="N232" s="286"/>
      <c r="O232" s="286"/>
      <c r="P232" s="286"/>
      <c r="Q232" s="204">
        <f t="shared" si="21"/>
        <v>96.7</v>
      </c>
      <c r="R232" s="204" t="str">
        <f t="shared" si="25"/>
        <v>NO</v>
      </c>
      <c r="S232" s="204" t="str">
        <f t="shared" si="26"/>
        <v>Inviable Sanitariamente</v>
      </c>
      <c r="T232" s="285"/>
    </row>
    <row r="233" spans="1:20" s="277" customFormat="1" ht="32.1" customHeight="1">
      <c r="A233" s="419" t="s">
        <v>4092</v>
      </c>
      <c r="B233" s="238" t="s">
        <v>3088</v>
      </c>
      <c r="C233" s="238" t="s">
        <v>3089</v>
      </c>
      <c r="D233" s="119">
        <v>120</v>
      </c>
      <c r="E233" s="286"/>
      <c r="F233" s="286"/>
      <c r="G233" s="286"/>
      <c r="H233" s="286"/>
      <c r="I233" s="286">
        <v>96.7</v>
      </c>
      <c r="J233" s="286"/>
      <c r="K233" s="286"/>
      <c r="L233" s="286"/>
      <c r="M233" s="286"/>
      <c r="N233" s="286"/>
      <c r="O233" s="286"/>
      <c r="P233" s="286"/>
      <c r="Q233" s="204">
        <f t="shared" si="21"/>
        <v>96.7</v>
      </c>
      <c r="R233" s="204" t="str">
        <f t="shared" si="25"/>
        <v>NO</v>
      </c>
      <c r="S233" s="204" t="str">
        <f t="shared" si="26"/>
        <v>Inviable Sanitariamente</v>
      </c>
      <c r="T233" s="285"/>
    </row>
    <row r="234" spans="1:20" s="277" customFormat="1" ht="32.1" customHeight="1">
      <c r="A234" s="419" t="s">
        <v>4092</v>
      </c>
      <c r="B234" s="238" t="s">
        <v>3090</v>
      </c>
      <c r="C234" s="238" t="s">
        <v>3091</v>
      </c>
      <c r="D234" s="119">
        <v>197</v>
      </c>
      <c r="E234" s="286"/>
      <c r="F234" s="286"/>
      <c r="G234" s="286"/>
      <c r="H234" s="286">
        <v>97.6</v>
      </c>
      <c r="I234" s="286"/>
      <c r="J234" s="286"/>
      <c r="K234" s="286"/>
      <c r="L234" s="286"/>
      <c r="M234" s="286"/>
      <c r="N234" s="286"/>
      <c r="O234" s="286"/>
      <c r="P234" s="286"/>
      <c r="Q234" s="204">
        <f t="shared" si="21"/>
        <v>97.6</v>
      </c>
      <c r="R234" s="204" t="str">
        <f t="shared" si="25"/>
        <v>NO</v>
      </c>
      <c r="S234" s="204" t="str">
        <f t="shared" si="26"/>
        <v>Inviable Sanitariamente</v>
      </c>
      <c r="T234" s="285"/>
    </row>
    <row r="235" spans="1:20" s="277" customFormat="1" ht="32.1" customHeight="1">
      <c r="A235" s="419" t="s">
        <v>4092</v>
      </c>
      <c r="B235" s="238" t="s">
        <v>3092</v>
      </c>
      <c r="C235" s="238" t="s">
        <v>3093</v>
      </c>
      <c r="D235" s="119"/>
      <c r="E235" s="286"/>
      <c r="F235" s="286"/>
      <c r="G235" s="286"/>
      <c r="H235" s="286"/>
      <c r="I235" s="286"/>
      <c r="J235" s="286"/>
      <c r="K235" s="286"/>
      <c r="L235" s="286"/>
      <c r="M235" s="286"/>
      <c r="N235" s="286"/>
      <c r="O235" s="286"/>
      <c r="P235" s="286"/>
      <c r="Q235" s="204" t="e">
        <f t="shared" si="21"/>
        <v>#DIV/0!</v>
      </c>
      <c r="R235" s="204" t="e">
        <f t="shared" si="25"/>
        <v>#DIV/0!</v>
      </c>
      <c r="S235" s="204" t="e">
        <f t="shared" si="26"/>
        <v>#DIV/0!</v>
      </c>
      <c r="T235" s="285"/>
    </row>
    <row r="236" spans="1:20" s="277" customFormat="1" ht="32.1" customHeight="1">
      <c r="A236" s="419" t="s">
        <v>4092</v>
      </c>
      <c r="B236" s="238" t="s">
        <v>3094</v>
      </c>
      <c r="C236" s="238" t="s">
        <v>3095</v>
      </c>
      <c r="D236" s="119"/>
      <c r="E236" s="286"/>
      <c r="F236" s="286"/>
      <c r="G236" s="286"/>
      <c r="H236" s="286"/>
      <c r="I236" s="286"/>
      <c r="J236" s="286"/>
      <c r="K236" s="286"/>
      <c r="L236" s="286"/>
      <c r="M236" s="286"/>
      <c r="N236" s="286"/>
      <c r="O236" s="286"/>
      <c r="P236" s="286"/>
      <c r="Q236" s="204" t="e">
        <f t="shared" si="21"/>
        <v>#DIV/0!</v>
      </c>
      <c r="R236" s="204" t="e">
        <f t="shared" si="25"/>
        <v>#DIV/0!</v>
      </c>
      <c r="S236" s="204" t="e">
        <f t="shared" si="26"/>
        <v>#DIV/0!</v>
      </c>
      <c r="T236" s="285"/>
    </row>
    <row r="237" spans="1:20" s="277" customFormat="1" ht="32.1" customHeight="1">
      <c r="A237" s="419" t="s">
        <v>4092</v>
      </c>
      <c r="B237" s="238" t="s">
        <v>3096</v>
      </c>
      <c r="C237" s="238" t="s">
        <v>3097</v>
      </c>
      <c r="D237" s="119">
        <v>52</v>
      </c>
      <c r="E237" s="286"/>
      <c r="F237" s="286"/>
      <c r="G237" s="286">
        <v>96.7</v>
      </c>
      <c r="H237" s="286"/>
      <c r="I237" s="286"/>
      <c r="J237" s="286"/>
      <c r="K237" s="286"/>
      <c r="L237" s="286"/>
      <c r="M237" s="286"/>
      <c r="N237" s="286"/>
      <c r="O237" s="286"/>
      <c r="P237" s="286"/>
      <c r="Q237" s="204">
        <f t="shared" si="21"/>
        <v>96.7</v>
      </c>
      <c r="R237" s="204" t="str">
        <f t="shared" si="25"/>
        <v>NO</v>
      </c>
      <c r="S237" s="204" t="str">
        <f t="shared" si="26"/>
        <v>Inviable Sanitariamente</v>
      </c>
      <c r="T237" s="285"/>
    </row>
    <row r="238" spans="1:20" s="277" customFormat="1" ht="32.1" customHeight="1">
      <c r="A238" s="419" t="s">
        <v>4092</v>
      </c>
      <c r="B238" s="238" t="s">
        <v>3098</v>
      </c>
      <c r="C238" s="238" t="s">
        <v>3099</v>
      </c>
      <c r="D238" s="119">
        <v>118</v>
      </c>
      <c r="E238" s="286"/>
      <c r="F238" s="286"/>
      <c r="G238" s="286"/>
      <c r="H238" s="286">
        <v>96.7</v>
      </c>
      <c r="I238" s="286"/>
      <c r="J238" s="286"/>
      <c r="K238" s="286"/>
      <c r="L238" s="286"/>
      <c r="M238" s="286"/>
      <c r="N238" s="286"/>
      <c r="O238" s="286"/>
      <c r="P238" s="286"/>
      <c r="Q238" s="204">
        <f t="shared" si="21"/>
        <v>96.7</v>
      </c>
      <c r="R238" s="204" t="str">
        <f t="shared" si="25"/>
        <v>NO</v>
      </c>
      <c r="S238" s="204" t="str">
        <f t="shared" si="26"/>
        <v>Inviable Sanitariamente</v>
      </c>
      <c r="T238" s="285"/>
    </row>
    <row r="239" spans="1:20" s="277" customFormat="1" ht="32.1" customHeight="1">
      <c r="A239" s="419" t="s">
        <v>150</v>
      </c>
      <c r="B239" s="238" t="s">
        <v>3100</v>
      </c>
      <c r="C239" s="238" t="s">
        <v>3101</v>
      </c>
      <c r="D239" s="119"/>
      <c r="E239" s="286"/>
      <c r="F239" s="286"/>
      <c r="G239" s="286"/>
      <c r="H239" s="286"/>
      <c r="I239" s="286"/>
      <c r="J239" s="286"/>
      <c r="K239" s="286"/>
      <c r="L239" s="286"/>
      <c r="M239" s="286"/>
      <c r="N239" s="286"/>
      <c r="O239" s="286"/>
      <c r="P239" s="286"/>
      <c r="Q239" s="204" t="e">
        <f t="shared" si="21"/>
        <v>#DIV/0!</v>
      </c>
      <c r="R239" s="204" t="e">
        <f t="shared" si="25"/>
        <v>#DIV/0!</v>
      </c>
      <c r="S239" s="204" t="e">
        <f t="shared" si="26"/>
        <v>#DIV/0!</v>
      </c>
      <c r="T239" s="285"/>
    </row>
    <row r="240" spans="1:20" s="277" customFormat="1" ht="32.1" customHeight="1">
      <c r="A240" s="419" t="s">
        <v>150</v>
      </c>
      <c r="B240" s="238" t="s">
        <v>3102</v>
      </c>
      <c r="C240" s="238" t="s">
        <v>3103</v>
      </c>
      <c r="D240" s="119">
        <v>28</v>
      </c>
      <c r="E240" s="286"/>
      <c r="F240" s="286"/>
      <c r="G240" s="286"/>
      <c r="H240" s="286"/>
      <c r="I240" s="286"/>
      <c r="J240" s="286"/>
      <c r="K240" s="286">
        <v>53.1</v>
      </c>
      <c r="L240" s="286"/>
      <c r="M240" s="286"/>
      <c r="N240" s="286"/>
      <c r="O240" s="286"/>
      <c r="P240" s="286"/>
      <c r="Q240" s="204">
        <f t="shared" si="21"/>
        <v>53.1</v>
      </c>
      <c r="R240" s="204" t="str">
        <f t="shared" si="25"/>
        <v>NO</v>
      </c>
      <c r="S240" s="204" t="str">
        <f t="shared" si="26"/>
        <v>Alto</v>
      </c>
      <c r="T240" s="285"/>
    </row>
    <row r="241" spans="1:20" s="277" customFormat="1" ht="32.1" customHeight="1">
      <c r="A241" s="419" t="s">
        <v>150</v>
      </c>
      <c r="B241" s="238" t="s">
        <v>3104</v>
      </c>
      <c r="C241" s="238" t="s">
        <v>3105</v>
      </c>
      <c r="D241" s="119">
        <v>7</v>
      </c>
      <c r="E241" s="286"/>
      <c r="F241" s="286"/>
      <c r="G241" s="286"/>
      <c r="H241" s="286"/>
      <c r="I241" s="286"/>
      <c r="J241" s="286">
        <v>53.1</v>
      </c>
      <c r="K241" s="286"/>
      <c r="L241" s="286"/>
      <c r="M241" s="286"/>
      <c r="N241" s="286"/>
      <c r="O241" s="286"/>
      <c r="P241" s="286"/>
      <c r="Q241" s="204">
        <f t="shared" si="21"/>
        <v>53.1</v>
      </c>
      <c r="R241" s="204" t="str">
        <f t="shared" si="25"/>
        <v>NO</v>
      </c>
      <c r="S241" s="204" t="str">
        <f t="shared" si="26"/>
        <v>Alto</v>
      </c>
      <c r="T241" s="285"/>
    </row>
    <row r="242" spans="1:20" s="277" customFormat="1" ht="32.1" customHeight="1">
      <c r="A242" s="419" t="s">
        <v>150</v>
      </c>
      <c r="B242" s="238" t="s">
        <v>3106</v>
      </c>
      <c r="C242" s="238" t="s">
        <v>3107</v>
      </c>
      <c r="D242" s="119">
        <v>6</v>
      </c>
      <c r="E242" s="286"/>
      <c r="F242" s="286"/>
      <c r="G242" s="286"/>
      <c r="H242" s="286"/>
      <c r="I242" s="286"/>
      <c r="J242" s="286">
        <v>53.1</v>
      </c>
      <c r="K242" s="286"/>
      <c r="L242" s="286"/>
      <c r="M242" s="286"/>
      <c r="N242" s="286"/>
      <c r="O242" s="286"/>
      <c r="P242" s="286"/>
      <c r="Q242" s="204">
        <f t="shared" ref="Q242:Q284" si="27">AVERAGE(E242:P242)</f>
        <v>53.1</v>
      </c>
      <c r="R242" s="204" t="str">
        <f t="shared" si="25"/>
        <v>NO</v>
      </c>
      <c r="S242" s="204" t="str">
        <f t="shared" si="26"/>
        <v>Alto</v>
      </c>
      <c r="T242" s="285"/>
    </row>
    <row r="243" spans="1:20" s="277" customFormat="1" ht="32.1" customHeight="1">
      <c r="A243" s="419" t="s">
        <v>150</v>
      </c>
      <c r="B243" s="238" t="s">
        <v>2947</v>
      </c>
      <c r="C243" s="238" t="s">
        <v>3108</v>
      </c>
      <c r="D243" s="119">
        <v>24</v>
      </c>
      <c r="E243" s="286"/>
      <c r="F243" s="286"/>
      <c r="G243" s="286"/>
      <c r="H243" s="286"/>
      <c r="I243" s="286"/>
      <c r="J243" s="286">
        <v>53.1</v>
      </c>
      <c r="K243" s="286"/>
      <c r="L243" s="286"/>
      <c r="M243" s="286"/>
      <c r="N243" s="286"/>
      <c r="O243" s="286"/>
      <c r="P243" s="286"/>
      <c r="Q243" s="204">
        <f t="shared" si="27"/>
        <v>53.1</v>
      </c>
      <c r="R243" s="204" t="str">
        <f t="shared" si="25"/>
        <v>NO</v>
      </c>
      <c r="S243" s="204" t="str">
        <f t="shared" si="26"/>
        <v>Alto</v>
      </c>
      <c r="T243" s="285"/>
    </row>
    <row r="244" spans="1:20" s="277" customFormat="1" ht="32.1" customHeight="1">
      <c r="A244" s="419" t="s">
        <v>150</v>
      </c>
      <c r="B244" s="238" t="s">
        <v>3109</v>
      </c>
      <c r="C244" s="238" t="s">
        <v>3110</v>
      </c>
      <c r="D244" s="119">
        <v>49</v>
      </c>
      <c r="E244" s="286"/>
      <c r="F244" s="286">
        <v>53.1</v>
      </c>
      <c r="G244" s="286"/>
      <c r="H244" s="286"/>
      <c r="I244" s="286"/>
      <c r="J244" s="286"/>
      <c r="K244" s="286"/>
      <c r="L244" s="286"/>
      <c r="M244" s="286"/>
      <c r="N244" s="286"/>
      <c r="O244" s="286"/>
      <c r="P244" s="286"/>
      <c r="Q244" s="204">
        <f t="shared" si="27"/>
        <v>53.1</v>
      </c>
      <c r="R244" s="204" t="str">
        <f t="shared" si="25"/>
        <v>NO</v>
      </c>
      <c r="S244" s="204" t="str">
        <f t="shared" si="26"/>
        <v>Alto</v>
      </c>
      <c r="T244" s="285"/>
    </row>
    <row r="245" spans="1:20" s="277" customFormat="1" ht="32.1" customHeight="1">
      <c r="A245" s="419" t="s">
        <v>150</v>
      </c>
      <c r="B245" s="238" t="s">
        <v>3111</v>
      </c>
      <c r="C245" s="238" t="s">
        <v>3112</v>
      </c>
      <c r="D245" s="119"/>
      <c r="E245" s="286"/>
      <c r="F245" s="286"/>
      <c r="G245" s="286"/>
      <c r="H245" s="286"/>
      <c r="I245" s="286"/>
      <c r="J245" s="286"/>
      <c r="K245" s="286"/>
      <c r="L245" s="286"/>
      <c r="M245" s="286"/>
      <c r="N245" s="286"/>
      <c r="O245" s="286"/>
      <c r="P245" s="286"/>
      <c r="Q245" s="204" t="e">
        <f t="shared" si="27"/>
        <v>#DIV/0!</v>
      </c>
      <c r="R245" s="204" t="e">
        <f t="shared" si="25"/>
        <v>#DIV/0!</v>
      </c>
      <c r="S245" s="204" t="e">
        <f t="shared" si="26"/>
        <v>#DIV/0!</v>
      </c>
      <c r="T245" s="285"/>
    </row>
    <row r="246" spans="1:20" s="277" customFormat="1" ht="32.1" customHeight="1">
      <c r="A246" s="419" t="s">
        <v>150</v>
      </c>
      <c r="B246" s="238" t="s">
        <v>3113</v>
      </c>
      <c r="C246" s="238" t="s">
        <v>3114</v>
      </c>
      <c r="D246" s="114">
        <v>40</v>
      </c>
      <c r="E246" s="286"/>
      <c r="F246" s="286">
        <v>53.1</v>
      </c>
      <c r="G246" s="286"/>
      <c r="H246" s="286"/>
      <c r="I246" s="286"/>
      <c r="J246" s="286"/>
      <c r="K246" s="286"/>
      <c r="L246" s="286"/>
      <c r="M246" s="286"/>
      <c r="N246" s="286"/>
      <c r="O246" s="286"/>
      <c r="P246" s="286"/>
      <c r="Q246" s="204">
        <f t="shared" si="27"/>
        <v>53.1</v>
      </c>
      <c r="R246" s="204" t="str">
        <f t="shared" si="25"/>
        <v>NO</v>
      </c>
      <c r="S246" s="204" t="str">
        <f t="shared" si="26"/>
        <v>Alto</v>
      </c>
      <c r="T246" s="285"/>
    </row>
    <row r="247" spans="1:20" s="277" customFormat="1" ht="32.1" customHeight="1">
      <c r="A247" s="419" t="s">
        <v>150</v>
      </c>
      <c r="B247" s="238" t="s">
        <v>3115</v>
      </c>
      <c r="C247" s="238" t="s">
        <v>3116</v>
      </c>
      <c r="D247" s="119"/>
      <c r="E247" s="286"/>
      <c r="F247" s="286"/>
      <c r="G247" s="286"/>
      <c r="H247" s="286"/>
      <c r="I247" s="286"/>
      <c r="J247" s="286"/>
      <c r="K247" s="286"/>
      <c r="L247" s="286"/>
      <c r="M247" s="286"/>
      <c r="N247" s="286"/>
      <c r="O247" s="286"/>
      <c r="P247" s="286"/>
      <c r="Q247" s="204" t="e">
        <f t="shared" si="27"/>
        <v>#DIV/0!</v>
      </c>
      <c r="R247" s="204" t="e">
        <f t="shared" si="25"/>
        <v>#DIV/0!</v>
      </c>
      <c r="S247" s="204" t="e">
        <f t="shared" si="26"/>
        <v>#DIV/0!</v>
      </c>
      <c r="T247" s="285"/>
    </row>
    <row r="248" spans="1:20" s="277" customFormat="1" ht="32.1" customHeight="1">
      <c r="A248" s="419" t="s">
        <v>150</v>
      </c>
      <c r="B248" s="238" t="s">
        <v>3117</v>
      </c>
      <c r="C248" s="238" t="s">
        <v>3118</v>
      </c>
      <c r="D248" s="119">
        <v>85</v>
      </c>
      <c r="E248" s="286"/>
      <c r="F248" s="286"/>
      <c r="G248" s="286"/>
      <c r="H248" s="286">
        <v>53.1</v>
      </c>
      <c r="I248" s="286"/>
      <c r="J248" s="286"/>
      <c r="K248" s="286"/>
      <c r="L248" s="286"/>
      <c r="M248" s="286"/>
      <c r="N248" s="286"/>
      <c r="O248" s="286"/>
      <c r="P248" s="286"/>
      <c r="Q248" s="204">
        <f t="shared" si="27"/>
        <v>53.1</v>
      </c>
      <c r="R248" s="204" t="str">
        <f t="shared" si="25"/>
        <v>NO</v>
      </c>
      <c r="S248" s="204" t="str">
        <f t="shared" si="26"/>
        <v>Alto</v>
      </c>
      <c r="T248" s="285"/>
    </row>
    <row r="249" spans="1:20" s="277" customFormat="1" ht="32.1" customHeight="1">
      <c r="A249" s="419" t="s">
        <v>150</v>
      </c>
      <c r="B249" s="238" t="s">
        <v>3119</v>
      </c>
      <c r="C249" s="238" t="s">
        <v>3120</v>
      </c>
      <c r="D249" s="114"/>
      <c r="E249" s="286"/>
      <c r="F249" s="286"/>
      <c r="G249" s="286"/>
      <c r="H249" s="286"/>
      <c r="I249" s="286"/>
      <c r="J249" s="286"/>
      <c r="K249" s="286"/>
      <c r="L249" s="286"/>
      <c r="M249" s="286"/>
      <c r="N249" s="286"/>
      <c r="O249" s="286"/>
      <c r="P249" s="286"/>
      <c r="Q249" s="204" t="e">
        <f t="shared" si="27"/>
        <v>#DIV/0!</v>
      </c>
      <c r="R249" s="204" t="e">
        <f t="shared" si="25"/>
        <v>#DIV/0!</v>
      </c>
      <c r="S249" s="204" t="e">
        <f t="shared" si="26"/>
        <v>#DIV/0!</v>
      </c>
      <c r="T249" s="285"/>
    </row>
    <row r="250" spans="1:20" s="277" customFormat="1" ht="32.1" customHeight="1">
      <c r="A250" s="419" t="s">
        <v>150</v>
      </c>
      <c r="B250" s="238" t="s">
        <v>904</v>
      </c>
      <c r="C250" s="238" t="s">
        <v>3121</v>
      </c>
      <c r="D250" s="119">
        <v>30</v>
      </c>
      <c r="E250" s="286"/>
      <c r="F250" s="286"/>
      <c r="G250" s="286"/>
      <c r="H250" s="286"/>
      <c r="I250" s="286"/>
      <c r="J250" s="286">
        <v>53.1</v>
      </c>
      <c r="K250" s="286"/>
      <c r="L250" s="286"/>
      <c r="M250" s="286"/>
      <c r="N250" s="286"/>
      <c r="O250" s="286"/>
      <c r="P250" s="286"/>
      <c r="Q250" s="204">
        <f t="shared" si="27"/>
        <v>53.1</v>
      </c>
      <c r="R250" s="204" t="str">
        <f t="shared" si="25"/>
        <v>NO</v>
      </c>
      <c r="S250" s="204" t="str">
        <f t="shared" si="26"/>
        <v>Alto</v>
      </c>
      <c r="T250" s="285"/>
    </row>
    <row r="251" spans="1:20" s="277" customFormat="1" ht="32.1" customHeight="1">
      <c r="A251" s="419" t="s">
        <v>150</v>
      </c>
      <c r="B251" s="238" t="s">
        <v>3100</v>
      </c>
      <c r="C251" s="238" t="s">
        <v>3122</v>
      </c>
      <c r="D251" s="119"/>
      <c r="E251" s="286"/>
      <c r="F251" s="286"/>
      <c r="G251" s="286"/>
      <c r="H251" s="286"/>
      <c r="I251" s="286"/>
      <c r="J251" s="286"/>
      <c r="K251" s="286"/>
      <c r="L251" s="286"/>
      <c r="M251" s="286"/>
      <c r="N251" s="286"/>
      <c r="O251" s="286"/>
      <c r="P251" s="286"/>
      <c r="Q251" s="204" t="e">
        <f t="shared" si="27"/>
        <v>#DIV/0!</v>
      </c>
      <c r="R251" s="204" t="e">
        <f t="shared" si="25"/>
        <v>#DIV/0!</v>
      </c>
      <c r="S251" s="204" t="e">
        <f t="shared" si="26"/>
        <v>#DIV/0!</v>
      </c>
      <c r="T251" s="285"/>
    </row>
    <row r="252" spans="1:20" s="277" customFormat="1" ht="32.1" customHeight="1">
      <c r="A252" s="419" t="s">
        <v>150</v>
      </c>
      <c r="B252" s="238" t="s">
        <v>3102</v>
      </c>
      <c r="C252" s="238" t="s">
        <v>3123</v>
      </c>
      <c r="D252" s="114">
        <v>10</v>
      </c>
      <c r="E252" s="286"/>
      <c r="F252" s="286"/>
      <c r="G252" s="286"/>
      <c r="H252" s="286"/>
      <c r="I252" s="286"/>
      <c r="J252" s="286"/>
      <c r="K252" s="286">
        <v>53.1</v>
      </c>
      <c r="L252" s="286"/>
      <c r="M252" s="286"/>
      <c r="N252" s="286"/>
      <c r="O252" s="286"/>
      <c r="P252" s="286"/>
      <c r="Q252" s="204">
        <f t="shared" si="27"/>
        <v>53.1</v>
      </c>
      <c r="R252" s="204" t="str">
        <f t="shared" si="25"/>
        <v>NO</v>
      </c>
      <c r="S252" s="204" t="str">
        <f t="shared" si="26"/>
        <v>Alto</v>
      </c>
      <c r="T252" s="285"/>
    </row>
    <row r="253" spans="1:20" s="277" customFormat="1" ht="32.1" customHeight="1">
      <c r="A253" s="419" t="s">
        <v>150</v>
      </c>
      <c r="B253" s="238" t="s">
        <v>3124</v>
      </c>
      <c r="C253" s="238" t="s">
        <v>3125</v>
      </c>
      <c r="D253" s="119"/>
      <c r="E253" s="286"/>
      <c r="F253" s="286"/>
      <c r="G253" s="286"/>
      <c r="H253" s="286"/>
      <c r="I253" s="286"/>
      <c r="J253" s="286"/>
      <c r="K253" s="286"/>
      <c r="L253" s="286"/>
      <c r="M253" s="286"/>
      <c r="N253" s="286"/>
      <c r="O253" s="286"/>
      <c r="P253" s="286"/>
      <c r="Q253" s="204" t="e">
        <f t="shared" si="27"/>
        <v>#DIV/0!</v>
      </c>
      <c r="R253" s="204" t="e">
        <f t="shared" si="25"/>
        <v>#DIV/0!</v>
      </c>
      <c r="S253" s="204" t="e">
        <f t="shared" si="26"/>
        <v>#DIV/0!</v>
      </c>
      <c r="T253" s="285"/>
    </row>
    <row r="254" spans="1:20" s="277" customFormat="1" ht="32.1" customHeight="1">
      <c r="A254" s="419" t="s">
        <v>150</v>
      </c>
      <c r="B254" s="238" t="s">
        <v>3126</v>
      </c>
      <c r="C254" s="238" t="s">
        <v>3127</v>
      </c>
      <c r="D254" s="119">
        <v>42</v>
      </c>
      <c r="E254" s="286"/>
      <c r="F254" s="286"/>
      <c r="G254" s="286">
        <v>53.5</v>
      </c>
      <c r="H254" s="286"/>
      <c r="I254" s="286"/>
      <c r="J254" s="286"/>
      <c r="K254" s="286"/>
      <c r="L254" s="286"/>
      <c r="M254" s="286"/>
      <c r="N254" s="286"/>
      <c r="O254" s="286"/>
      <c r="P254" s="286"/>
      <c r="Q254" s="204">
        <f t="shared" si="27"/>
        <v>53.5</v>
      </c>
      <c r="R254" s="204" t="str">
        <f t="shared" si="25"/>
        <v>NO</v>
      </c>
      <c r="S254" s="204" t="str">
        <f t="shared" si="26"/>
        <v>Alto</v>
      </c>
      <c r="T254" s="285"/>
    </row>
    <row r="255" spans="1:20" s="277" customFormat="1" ht="32.1" customHeight="1">
      <c r="A255" s="419" t="s">
        <v>150</v>
      </c>
      <c r="B255" s="238" t="s">
        <v>3128</v>
      </c>
      <c r="C255" s="238" t="s">
        <v>3129</v>
      </c>
      <c r="D255" s="119"/>
      <c r="E255" s="286"/>
      <c r="F255" s="286"/>
      <c r="G255" s="286"/>
      <c r="H255" s="286"/>
      <c r="I255" s="286"/>
      <c r="J255" s="286"/>
      <c r="K255" s="286"/>
      <c r="L255" s="286"/>
      <c r="M255" s="286"/>
      <c r="N255" s="286"/>
      <c r="O255" s="286"/>
      <c r="P255" s="286"/>
      <c r="Q255" s="204" t="e">
        <f t="shared" si="27"/>
        <v>#DIV/0!</v>
      </c>
      <c r="R255" s="204" t="e">
        <f t="shared" si="25"/>
        <v>#DIV/0!</v>
      </c>
      <c r="S255" s="204" t="e">
        <f t="shared" si="26"/>
        <v>#DIV/0!</v>
      </c>
      <c r="T255" s="285"/>
    </row>
    <row r="256" spans="1:20" s="277" customFormat="1" ht="32.1" customHeight="1">
      <c r="A256" s="419" t="s">
        <v>150</v>
      </c>
      <c r="B256" s="238" t="s">
        <v>3130</v>
      </c>
      <c r="C256" s="238" t="s">
        <v>3131</v>
      </c>
      <c r="D256" s="119">
        <v>38</v>
      </c>
      <c r="E256" s="286"/>
      <c r="F256" s="286"/>
      <c r="G256" s="286"/>
      <c r="H256" s="286"/>
      <c r="I256" s="286"/>
      <c r="J256" s="286"/>
      <c r="K256" s="286"/>
      <c r="L256" s="286">
        <v>53.1</v>
      </c>
      <c r="M256" s="286"/>
      <c r="N256" s="286"/>
      <c r="O256" s="286"/>
      <c r="P256" s="286"/>
      <c r="Q256" s="204">
        <f t="shared" si="27"/>
        <v>53.1</v>
      </c>
      <c r="R256" s="204" t="str">
        <f t="shared" si="25"/>
        <v>NO</v>
      </c>
      <c r="S256" s="204" t="str">
        <f t="shared" si="26"/>
        <v>Alto</v>
      </c>
      <c r="T256" s="285"/>
    </row>
    <row r="257" spans="1:20" s="277" customFormat="1" ht="32.1" customHeight="1">
      <c r="A257" s="419" t="s">
        <v>150</v>
      </c>
      <c r="B257" s="238" t="s">
        <v>3132</v>
      </c>
      <c r="C257" s="238" t="s">
        <v>3133</v>
      </c>
      <c r="D257" s="119"/>
      <c r="E257" s="286"/>
      <c r="F257" s="286"/>
      <c r="G257" s="286"/>
      <c r="H257" s="286"/>
      <c r="I257" s="286"/>
      <c r="J257" s="286"/>
      <c r="K257" s="286"/>
      <c r="L257" s="286"/>
      <c r="M257" s="286"/>
      <c r="N257" s="286"/>
      <c r="O257" s="286"/>
      <c r="P257" s="286"/>
      <c r="Q257" s="204" t="e">
        <f t="shared" si="27"/>
        <v>#DIV/0!</v>
      </c>
      <c r="R257" s="204" t="e">
        <f t="shared" si="25"/>
        <v>#DIV/0!</v>
      </c>
      <c r="S257" s="204" t="e">
        <f t="shared" si="26"/>
        <v>#DIV/0!</v>
      </c>
      <c r="T257" s="285"/>
    </row>
    <row r="258" spans="1:20" s="277" customFormat="1" ht="32.1" customHeight="1">
      <c r="A258" s="419" t="s">
        <v>150</v>
      </c>
      <c r="B258" s="238" t="s">
        <v>3134</v>
      </c>
      <c r="C258" s="238" t="s">
        <v>3135</v>
      </c>
      <c r="D258" s="119"/>
      <c r="E258" s="286"/>
      <c r="F258" s="286"/>
      <c r="G258" s="286"/>
      <c r="H258" s="286"/>
      <c r="I258" s="286"/>
      <c r="J258" s="286"/>
      <c r="K258" s="286"/>
      <c r="L258" s="286"/>
      <c r="M258" s="286"/>
      <c r="N258" s="286"/>
      <c r="O258" s="286"/>
      <c r="P258" s="286"/>
      <c r="Q258" s="204" t="e">
        <f t="shared" si="27"/>
        <v>#DIV/0!</v>
      </c>
      <c r="R258" s="204" t="e">
        <f t="shared" si="25"/>
        <v>#DIV/0!</v>
      </c>
      <c r="S258" s="204" t="e">
        <f t="shared" si="26"/>
        <v>#DIV/0!</v>
      </c>
      <c r="T258" s="285"/>
    </row>
    <row r="259" spans="1:20" s="277" customFormat="1" ht="32.1" customHeight="1">
      <c r="A259" s="419" t="s">
        <v>150</v>
      </c>
      <c r="B259" s="238" t="s">
        <v>1547</v>
      </c>
      <c r="C259" s="238" t="s">
        <v>3136</v>
      </c>
      <c r="D259" s="119">
        <v>45</v>
      </c>
      <c r="E259" s="286"/>
      <c r="F259" s="286"/>
      <c r="G259" s="286"/>
      <c r="H259" s="286"/>
      <c r="I259" s="286">
        <v>53.1</v>
      </c>
      <c r="J259" s="286"/>
      <c r="K259" s="286"/>
      <c r="L259" s="286"/>
      <c r="M259" s="286"/>
      <c r="N259" s="286"/>
      <c r="O259" s="286"/>
      <c r="P259" s="286"/>
      <c r="Q259" s="204">
        <f t="shared" si="27"/>
        <v>53.1</v>
      </c>
      <c r="R259" s="204" t="str">
        <f t="shared" si="25"/>
        <v>NO</v>
      </c>
      <c r="S259" s="204" t="str">
        <f t="shared" si="26"/>
        <v>Alto</v>
      </c>
      <c r="T259" s="285"/>
    </row>
    <row r="260" spans="1:20" s="277" customFormat="1" ht="32.1" customHeight="1">
      <c r="A260" s="419" t="s">
        <v>150</v>
      </c>
      <c r="B260" s="238" t="s">
        <v>3137</v>
      </c>
      <c r="C260" s="238" t="s">
        <v>3138</v>
      </c>
      <c r="D260" s="119">
        <v>23</v>
      </c>
      <c r="E260" s="286"/>
      <c r="F260" s="286"/>
      <c r="G260" s="286">
        <v>53.1</v>
      </c>
      <c r="H260" s="286"/>
      <c r="I260" s="286"/>
      <c r="J260" s="286"/>
      <c r="K260" s="286"/>
      <c r="L260" s="286"/>
      <c r="M260" s="286"/>
      <c r="N260" s="286"/>
      <c r="O260" s="286"/>
      <c r="P260" s="286"/>
      <c r="Q260" s="204">
        <f t="shared" si="27"/>
        <v>53.1</v>
      </c>
      <c r="R260" s="204" t="str">
        <f t="shared" si="25"/>
        <v>NO</v>
      </c>
      <c r="S260" s="204" t="str">
        <f t="shared" si="26"/>
        <v>Alto</v>
      </c>
      <c r="T260" s="285"/>
    </row>
    <row r="261" spans="1:20" s="277" customFormat="1" ht="32.1" customHeight="1">
      <c r="A261" s="419" t="s">
        <v>150</v>
      </c>
      <c r="B261" s="238" t="s">
        <v>78</v>
      </c>
      <c r="C261" s="238" t="s">
        <v>3139</v>
      </c>
      <c r="D261" s="119"/>
      <c r="E261" s="286"/>
      <c r="F261" s="286"/>
      <c r="G261" s="286"/>
      <c r="H261" s="286"/>
      <c r="I261" s="286"/>
      <c r="J261" s="286"/>
      <c r="K261" s="286"/>
      <c r="L261" s="286"/>
      <c r="M261" s="286"/>
      <c r="N261" s="286"/>
      <c r="O261" s="286"/>
      <c r="P261" s="286"/>
      <c r="Q261" s="204" t="e">
        <f t="shared" si="27"/>
        <v>#DIV/0!</v>
      </c>
      <c r="R261" s="204" t="e">
        <f t="shared" si="25"/>
        <v>#DIV/0!</v>
      </c>
      <c r="S261" s="204" t="e">
        <f t="shared" si="26"/>
        <v>#DIV/0!</v>
      </c>
      <c r="T261" s="285"/>
    </row>
    <row r="262" spans="1:20" s="277" customFormat="1" ht="32.1" customHeight="1">
      <c r="A262" s="419" t="s">
        <v>150</v>
      </c>
      <c r="B262" s="238" t="s">
        <v>3140</v>
      </c>
      <c r="C262" s="238" t="s">
        <v>3141</v>
      </c>
      <c r="D262" s="119">
        <v>21</v>
      </c>
      <c r="E262" s="286"/>
      <c r="F262" s="286"/>
      <c r="G262" s="286"/>
      <c r="H262" s="286"/>
      <c r="I262" s="286">
        <v>53.5</v>
      </c>
      <c r="J262" s="286"/>
      <c r="K262" s="286"/>
      <c r="L262" s="286"/>
      <c r="M262" s="286"/>
      <c r="N262" s="286"/>
      <c r="O262" s="286"/>
      <c r="P262" s="286"/>
      <c r="Q262" s="204">
        <f t="shared" si="27"/>
        <v>53.5</v>
      </c>
      <c r="R262" s="204" t="str">
        <f t="shared" si="25"/>
        <v>NO</v>
      </c>
      <c r="S262" s="204" t="str">
        <f t="shared" si="26"/>
        <v>Alto</v>
      </c>
      <c r="T262" s="285"/>
    </row>
    <row r="263" spans="1:20" s="277" customFormat="1" ht="32.1" customHeight="1">
      <c r="A263" s="419" t="s">
        <v>150</v>
      </c>
      <c r="B263" s="238" t="s">
        <v>1162</v>
      </c>
      <c r="C263" s="238" t="s">
        <v>3142</v>
      </c>
      <c r="D263" s="119"/>
      <c r="E263" s="286"/>
      <c r="F263" s="286"/>
      <c r="G263" s="286"/>
      <c r="H263" s="286"/>
      <c r="I263" s="286"/>
      <c r="J263" s="286"/>
      <c r="K263" s="286"/>
      <c r="L263" s="286"/>
      <c r="M263" s="286"/>
      <c r="N263" s="286"/>
      <c r="O263" s="286"/>
      <c r="P263" s="286"/>
      <c r="Q263" s="204" t="e">
        <f t="shared" si="27"/>
        <v>#DIV/0!</v>
      </c>
      <c r="R263" s="204" t="e">
        <f t="shared" si="25"/>
        <v>#DIV/0!</v>
      </c>
      <c r="S263" s="204" t="e">
        <f t="shared" si="26"/>
        <v>#DIV/0!</v>
      </c>
      <c r="T263" s="285"/>
    </row>
    <row r="264" spans="1:20" s="277" customFormat="1" ht="32.1" customHeight="1">
      <c r="A264" s="419" t="s">
        <v>150</v>
      </c>
      <c r="B264" s="238" t="s">
        <v>2773</v>
      </c>
      <c r="C264" s="238" t="s">
        <v>3143</v>
      </c>
      <c r="D264" s="119">
        <v>66</v>
      </c>
      <c r="E264" s="286"/>
      <c r="F264" s="286"/>
      <c r="G264" s="286"/>
      <c r="H264" s="286"/>
      <c r="I264" s="286">
        <v>53.1</v>
      </c>
      <c r="J264" s="286"/>
      <c r="K264" s="286"/>
      <c r="L264" s="286"/>
      <c r="M264" s="286"/>
      <c r="N264" s="286"/>
      <c r="O264" s="286"/>
      <c r="P264" s="286"/>
      <c r="Q264" s="204">
        <f t="shared" si="27"/>
        <v>53.1</v>
      </c>
      <c r="R264" s="204" t="str">
        <f t="shared" si="25"/>
        <v>NO</v>
      </c>
      <c r="S264" s="204" t="str">
        <f t="shared" si="26"/>
        <v>Alto</v>
      </c>
      <c r="T264" s="285"/>
    </row>
    <row r="265" spans="1:20" s="277" customFormat="1" ht="32.1" customHeight="1">
      <c r="A265" s="419" t="s">
        <v>150</v>
      </c>
      <c r="B265" s="238" t="s">
        <v>3144</v>
      </c>
      <c r="C265" s="238" t="s">
        <v>3145</v>
      </c>
      <c r="D265" s="119"/>
      <c r="E265" s="286"/>
      <c r="F265" s="286"/>
      <c r="G265" s="286"/>
      <c r="H265" s="286"/>
      <c r="I265" s="286"/>
      <c r="J265" s="286"/>
      <c r="K265" s="286"/>
      <c r="L265" s="286"/>
      <c r="M265" s="286"/>
      <c r="N265" s="286"/>
      <c r="O265" s="286"/>
      <c r="P265" s="286"/>
      <c r="Q265" s="204" t="e">
        <f t="shared" si="27"/>
        <v>#DIV/0!</v>
      </c>
      <c r="R265" s="204" t="e">
        <f t="shared" si="25"/>
        <v>#DIV/0!</v>
      </c>
      <c r="S265" s="204" t="e">
        <f t="shared" si="26"/>
        <v>#DIV/0!</v>
      </c>
      <c r="T265" s="285"/>
    </row>
    <row r="266" spans="1:20" s="277" customFormat="1" ht="32.1" customHeight="1">
      <c r="A266" s="419" t="s">
        <v>150</v>
      </c>
      <c r="B266" s="238" t="s">
        <v>3146</v>
      </c>
      <c r="C266" s="238" t="s">
        <v>3147</v>
      </c>
      <c r="D266" s="119">
        <v>10</v>
      </c>
      <c r="E266" s="286"/>
      <c r="F266" s="286"/>
      <c r="G266" s="286"/>
      <c r="H266" s="286"/>
      <c r="I266" s="286"/>
      <c r="J266" s="286"/>
      <c r="K266" s="286"/>
      <c r="L266" s="286">
        <v>53.1</v>
      </c>
      <c r="M266" s="286"/>
      <c r="N266" s="286"/>
      <c r="O266" s="286"/>
      <c r="P266" s="286"/>
      <c r="Q266" s="204">
        <f t="shared" si="27"/>
        <v>53.1</v>
      </c>
      <c r="R266" s="204" t="str">
        <f t="shared" si="25"/>
        <v>NO</v>
      </c>
      <c r="S266" s="204" t="str">
        <f t="shared" si="26"/>
        <v>Alto</v>
      </c>
      <c r="T266" s="285"/>
    </row>
    <row r="267" spans="1:20" s="277" customFormat="1" ht="32.1" customHeight="1">
      <c r="A267" s="419" t="s">
        <v>150</v>
      </c>
      <c r="B267" s="238" t="s">
        <v>3148</v>
      </c>
      <c r="C267" s="238" t="s">
        <v>3149</v>
      </c>
      <c r="D267" s="119">
        <v>28</v>
      </c>
      <c r="E267" s="286"/>
      <c r="F267" s="286"/>
      <c r="G267" s="286"/>
      <c r="H267" s="286"/>
      <c r="I267" s="286"/>
      <c r="J267" s="286"/>
      <c r="K267" s="286"/>
      <c r="L267" s="286">
        <v>53.1</v>
      </c>
      <c r="M267" s="286"/>
      <c r="N267" s="286"/>
      <c r="O267" s="286"/>
      <c r="P267" s="286"/>
      <c r="Q267" s="204">
        <f t="shared" si="27"/>
        <v>53.1</v>
      </c>
      <c r="R267" s="204" t="str">
        <f t="shared" si="25"/>
        <v>NO</v>
      </c>
      <c r="S267" s="204" t="str">
        <f t="shared" si="26"/>
        <v>Alto</v>
      </c>
      <c r="T267" s="285"/>
    </row>
    <row r="268" spans="1:20" s="277" customFormat="1" ht="32.1" customHeight="1">
      <c r="A268" s="419" t="s">
        <v>150</v>
      </c>
      <c r="B268" s="238" t="s">
        <v>3150</v>
      </c>
      <c r="C268" s="238" t="s">
        <v>3151</v>
      </c>
      <c r="D268" s="119"/>
      <c r="E268" s="286"/>
      <c r="F268" s="286"/>
      <c r="G268" s="286"/>
      <c r="H268" s="286"/>
      <c r="I268" s="286"/>
      <c r="J268" s="286"/>
      <c r="K268" s="286"/>
      <c r="L268" s="286"/>
      <c r="M268" s="286"/>
      <c r="N268" s="286"/>
      <c r="O268" s="286"/>
      <c r="P268" s="286"/>
      <c r="Q268" s="204" t="e">
        <f t="shared" si="27"/>
        <v>#DIV/0!</v>
      </c>
      <c r="R268" s="204" t="e">
        <f t="shared" si="25"/>
        <v>#DIV/0!</v>
      </c>
      <c r="S268" s="204" t="e">
        <f t="shared" si="26"/>
        <v>#DIV/0!</v>
      </c>
      <c r="T268" s="285"/>
    </row>
    <row r="269" spans="1:20" s="277" customFormat="1" ht="32.1" customHeight="1">
      <c r="A269" s="419" t="s">
        <v>150</v>
      </c>
      <c r="B269" s="238" t="s">
        <v>3152</v>
      </c>
      <c r="C269" s="238" t="s">
        <v>3153</v>
      </c>
      <c r="D269" s="119">
        <v>100</v>
      </c>
      <c r="E269" s="286"/>
      <c r="F269" s="286">
        <v>53.1</v>
      </c>
      <c r="G269" s="286"/>
      <c r="H269" s="286"/>
      <c r="I269" s="286"/>
      <c r="J269" s="286"/>
      <c r="K269" s="286"/>
      <c r="L269" s="286"/>
      <c r="M269" s="286"/>
      <c r="N269" s="286"/>
      <c r="O269" s="286"/>
      <c r="P269" s="286"/>
      <c r="Q269" s="204">
        <f t="shared" si="27"/>
        <v>53.1</v>
      </c>
      <c r="R269" s="204" t="str">
        <f t="shared" si="25"/>
        <v>NO</v>
      </c>
      <c r="S269" s="204" t="str">
        <f t="shared" si="26"/>
        <v>Alto</v>
      </c>
      <c r="T269" s="285"/>
    </row>
    <row r="270" spans="1:20" s="277" customFormat="1" ht="32.1" customHeight="1">
      <c r="A270" s="419" t="s">
        <v>150</v>
      </c>
      <c r="B270" s="238" t="s">
        <v>3154</v>
      </c>
      <c r="C270" s="238" t="s">
        <v>3151</v>
      </c>
      <c r="D270" s="119"/>
      <c r="E270" s="286"/>
      <c r="F270" s="286"/>
      <c r="G270" s="286"/>
      <c r="H270" s="286"/>
      <c r="I270" s="286"/>
      <c r="J270" s="286"/>
      <c r="K270" s="286"/>
      <c r="L270" s="286"/>
      <c r="M270" s="286"/>
      <c r="N270" s="286"/>
      <c r="O270" s="286"/>
      <c r="P270" s="286"/>
      <c r="Q270" s="204" t="e">
        <f t="shared" si="27"/>
        <v>#DIV/0!</v>
      </c>
      <c r="R270" s="204" t="e">
        <f t="shared" si="25"/>
        <v>#DIV/0!</v>
      </c>
      <c r="S270" s="204" t="e">
        <f t="shared" si="26"/>
        <v>#DIV/0!</v>
      </c>
      <c r="T270" s="285"/>
    </row>
    <row r="271" spans="1:20" s="277" customFormat="1" ht="32.1" customHeight="1">
      <c r="A271" s="419" t="s">
        <v>150</v>
      </c>
      <c r="B271" s="238" t="s">
        <v>3155</v>
      </c>
      <c r="C271" s="238" t="s">
        <v>3156</v>
      </c>
      <c r="D271" s="119"/>
      <c r="E271" s="286"/>
      <c r="F271" s="286"/>
      <c r="G271" s="286"/>
      <c r="H271" s="286"/>
      <c r="I271" s="286"/>
      <c r="J271" s="286"/>
      <c r="K271" s="286"/>
      <c r="L271" s="286"/>
      <c r="M271" s="286"/>
      <c r="N271" s="286"/>
      <c r="O271" s="286"/>
      <c r="P271" s="286"/>
      <c r="Q271" s="204" t="e">
        <f t="shared" si="27"/>
        <v>#DIV/0!</v>
      </c>
      <c r="R271" s="204" t="e">
        <f t="shared" si="25"/>
        <v>#DIV/0!</v>
      </c>
      <c r="S271" s="204" t="e">
        <f t="shared" si="26"/>
        <v>#DIV/0!</v>
      </c>
      <c r="T271" s="285"/>
    </row>
    <row r="272" spans="1:20" s="277" customFormat="1" ht="32.1" customHeight="1">
      <c r="A272" s="419" t="s">
        <v>150</v>
      </c>
      <c r="B272" s="238" t="s">
        <v>3157</v>
      </c>
      <c r="C272" s="238" t="s">
        <v>3158</v>
      </c>
      <c r="D272" s="119"/>
      <c r="E272" s="286"/>
      <c r="F272" s="286"/>
      <c r="G272" s="286"/>
      <c r="H272" s="286"/>
      <c r="I272" s="286"/>
      <c r="J272" s="286"/>
      <c r="K272" s="286"/>
      <c r="L272" s="286"/>
      <c r="M272" s="286"/>
      <c r="N272" s="286"/>
      <c r="O272" s="286"/>
      <c r="P272" s="286"/>
      <c r="Q272" s="204" t="e">
        <f t="shared" si="27"/>
        <v>#DIV/0!</v>
      </c>
      <c r="R272" s="204" t="e">
        <f t="shared" si="25"/>
        <v>#DIV/0!</v>
      </c>
      <c r="S272" s="204" t="e">
        <f t="shared" si="26"/>
        <v>#DIV/0!</v>
      </c>
      <c r="T272" s="285"/>
    </row>
    <row r="273" spans="1:20" s="277" customFormat="1" ht="32.1" customHeight="1">
      <c r="A273" s="419" t="s">
        <v>150</v>
      </c>
      <c r="B273" s="238" t="s">
        <v>3159</v>
      </c>
      <c r="C273" s="238" t="s">
        <v>3160</v>
      </c>
      <c r="D273" s="119">
        <v>20</v>
      </c>
      <c r="E273" s="286"/>
      <c r="F273" s="286"/>
      <c r="G273" s="286"/>
      <c r="H273" s="286"/>
      <c r="I273" s="286"/>
      <c r="J273" s="286"/>
      <c r="K273" s="286"/>
      <c r="L273" s="286"/>
      <c r="M273" s="286">
        <v>53.1</v>
      </c>
      <c r="N273" s="286"/>
      <c r="O273" s="286"/>
      <c r="P273" s="286"/>
      <c r="Q273" s="204">
        <f t="shared" si="27"/>
        <v>53.1</v>
      </c>
      <c r="R273" s="204" t="str">
        <f t="shared" si="25"/>
        <v>NO</v>
      </c>
      <c r="S273" s="204" t="str">
        <f t="shared" si="26"/>
        <v>Alto</v>
      </c>
      <c r="T273" s="285"/>
    </row>
    <row r="274" spans="1:20" s="277" customFormat="1" ht="32.1" customHeight="1">
      <c r="A274" s="419" t="s">
        <v>150</v>
      </c>
      <c r="B274" s="238" t="s">
        <v>3161</v>
      </c>
      <c r="C274" s="238" t="s">
        <v>3162</v>
      </c>
      <c r="D274" s="119"/>
      <c r="E274" s="286"/>
      <c r="F274" s="286"/>
      <c r="G274" s="286"/>
      <c r="H274" s="286"/>
      <c r="I274" s="286"/>
      <c r="J274" s="286"/>
      <c r="K274" s="286"/>
      <c r="L274" s="286"/>
      <c r="M274" s="286"/>
      <c r="N274" s="286"/>
      <c r="O274" s="286"/>
      <c r="P274" s="286"/>
      <c r="Q274" s="204" t="e">
        <f t="shared" si="27"/>
        <v>#DIV/0!</v>
      </c>
      <c r="R274" s="204" t="e">
        <f t="shared" si="25"/>
        <v>#DIV/0!</v>
      </c>
      <c r="S274" s="204" t="e">
        <f t="shared" si="26"/>
        <v>#DIV/0!</v>
      </c>
      <c r="T274" s="285"/>
    </row>
    <row r="275" spans="1:20" s="277" customFormat="1" ht="32.1" customHeight="1">
      <c r="A275" s="419" t="s">
        <v>150</v>
      </c>
      <c r="B275" s="238" t="s">
        <v>3163</v>
      </c>
      <c r="C275" s="238" t="s">
        <v>3164</v>
      </c>
      <c r="D275" s="119">
        <v>30</v>
      </c>
      <c r="E275" s="286"/>
      <c r="F275" s="286"/>
      <c r="G275" s="286"/>
      <c r="H275" s="286"/>
      <c r="I275" s="286"/>
      <c r="J275" s="286">
        <v>53.1</v>
      </c>
      <c r="K275" s="286"/>
      <c r="L275" s="286"/>
      <c r="M275" s="286"/>
      <c r="N275" s="286"/>
      <c r="O275" s="286"/>
      <c r="P275" s="286"/>
      <c r="Q275" s="204">
        <f t="shared" si="27"/>
        <v>53.1</v>
      </c>
      <c r="R275" s="204" t="str">
        <f t="shared" si="25"/>
        <v>NO</v>
      </c>
      <c r="S275" s="204" t="str">
        <f t="shared" si="26"/>
        <v>Alto</v>
      </c>
      <c r="T275" s="285"/>
    </row>
    <row r="276" spans="1:20" s="277" customFormat="1" ht="32.1" customHeight="1">
      <c r="A276" s="419" t="s">
        <v>150</v>
      </c>
      <c r="B276" s="238" t="s">
        <v>1232</v>
      </c>
      <c r="C276" s="238" t="s">
        <v>3165</v>
      </c>
      <c r="D276" s="119"/>
      <c r="E276" s="286"/>
      <c r="F276" s="286"/>
      <c r="G276" s="286"/>
      <c r="H276" s="286"/>
      <c r="I276" s="286"/>
      <c r="J276" s="286"/>
      <c r="K276" s="286"/>
      <c r="L276" s="286"/>
      <c r="M276" s="286"/>
      <c r="N276" s="286"/>
      <c r="O276" s="286"/>
      <c r="P276" s="286"/>
      <c r="Q276" s="204" t="e">
        <f t="shared" si="27"/>
        <v>#DIV/0!</v>
      </c>
      <c r="R276" s="204" t="e">
        <f t="shared" si="25"/>
        <v>#DIV/0!</v>
      </c>
      <c r="S276" s="204" t="e">
        <f t="shared" si="26"/>
        <v>#DIV/0!</v>
      </c>
      <c r="T276" s="285"/>
    </row>
    <row r="277" spans="1:20" s="277" customFormat="1" ht="32.1" customHeight="1">
      <c r="A277" s="419" t="s">
        <v>150</v>
      </c>
      <c r="B277" s="238" t="s">
        <v>3166</v>
      </c>
      <c r="C277" s="238" t="s">
        <v>3167</v>
      </c>
      <c r="D277" s="119"/>
      <c r="E277" s="286"/>
      <c r="F277" s="286"/>
      <c r="G277" s="286">
        <v>97.3</v>
      </c>
      <c r="H277" s="286"/>
      <c r="I277" s="286"/>
      <c r="J277" s="286"/>
      <c r="K277" s="286"/>
      <c r="L277" s="286"/>
      <c r="M277" s="286"/>
      <c r="N277" s="286"/>
      <c r="O277" s="286"/>
      <c r="P277" s="286"/>
      <c r="Q277" s="204">
        <f t="shared" si="27"/>
        <v>97.3</v>
      </c>
      <c r="R277" s="204" t="str">
        <f t="shared" si="25"/>
        <v>NO</v>
      </c>
      <c r="S277" s="204" t="str">
        <f t="shared" si="26"/>
        <v>Inviable Sanitariamente</v>
      </c>
      <c r="T277" s="285"/>
    </row>
    <row r="278" spans="1:20" s="277" customFormat="1" ht="32.1" customHeight="1">
      <c r="A278" s="419" t="s">
        <v>150</v>
      </c>
      <c r="B278" s="238" t="s">
        <v>63</v>
      </c>
      <c r="C278" s="238" t="s">
        <v>3168</v>
      </c>
      <c r="D278" s="119">
        <v>16</v>
      </c>
      <c r="E278" s="286"/>
      <c r="F278" s="286">
        <v>53.1</v>
      </c>
      <c r="G278" s="286"/>
      <c r="H278" s="286"/>
      <c r="I278" s="286"/>
      <c r="J278" s="286"/>
      <c r="K278" s="286"/>
      <c r="L278" s="286"/>
      <c r="M278" s="286"/>
      <c r="N278" s="286"/>
      <c r="O278" s="286"/>
      <c r="P278" s="286"/>
      <c r="Q278" s="204">
        <f t="shared" si="27"/>
        <v>53.1</v>
      </c>
      <c r="R278" s="204" t="str">
        <f t="shared" si="25"/>
        <v>NO</v>
      </c>
      <c r="S278" s="204" t="str">
        <f t="shared" si="26"/>
        <v>Alto</v>
      </c>
      <c r="T278" s="285"/>
    </row>
    <row r="279" spans="1:20" s="277" customFormat="1" ht="32.1" customHeight="1">
      <c r="A279" s="419" t="s">
        <v>150</v>
      </c>
      <c r="B279" s="238" t="s">
        <v>3169</v>
      </c>
      <c r="C279" s="238" t="s">
        <v>3170</v>
      </c>
      <c r="D279" s="119">
        <v>87</v>
      </c>
      <c r="E279" s="286"/>
      <c r="F279" s="286"/>
      <c r="G279" s="286"/>
      <c r="H279" s="286"/>
      <c r="I279" s="286"/>
      <c r="J279" s="286">
        <v>53.1</v>
      </c>
      <c r="K279" s="286"/>
      <c r="L279" s="286"/>
      <c r="M279" s="286"/>
      <c r="N279" s="286"/>
      <c r="O279" s="286"/>
      <c r="P279" s="286"/>
      <c r="Q279" s="204">
        <f t="shared" si="27"/>
        <v>53.1</v>
      </c>
      <c r="R279" s="204" t="str">
        <f t="shared" si="25"/>
        <v>NO</v>
      </c>
      <c r="S279" s="204" t="str">
        <f t="shared" si="26"/>
        <v>Alto</v>
      </c>
      <c r="T279" s="285"/>
    </row>
    <row r="280" spans="1:20" s="277" customFormat="1" ht="32.1" customHeight="1">
      <c r="A280" s="419" t="s">
        <v>150</v>
      </c>
      <c r="B280" s="238" t="s">
        <v>3171</v>
      </c>
      <c r="C280" s="238" t="s">
        <v>3172</v>
      </c>
      <c r="D280" s="119">
        <v>30</v>
      </c>
      <c r="E280" s="286"/>
      <c r="F280" s="286"/>
      <c r="G280" s="286"/>
      <c r="H280" s="286"/>
      <c r="I280" s="286"/>
      <c r="J280" s="286"/>
      <c r="K280" s="286">
        <v>53.1</v>
      </c>
      <c r="L280" s="286"/>
      <c r="M280" s="286"/>
      <c r="N280" s="286"/>
      <c r="O280" s="286"/>
      <c r="P280" s="286"/>
      <c r="Q280" s="204">
        <f t="shared" si="27"/>
        <v>53.1</v>
      </c>
      <c r="R280" s="204" t="str">
        <f t="shared" si="25"/>
        <v>NO</v>
      </c>
      <c r="S280" s="204" t="str">
        <f t="shared" si="26"/>
        <v>Alto</v>
      </c>
      <c r="T280" s="285"/>
    </row>
    <row r="281" spans="1:20" s="277" customFormat="1" ht="32.1" customHeight="1">
      <c r="A281" s="419" t="s">
        <v>150</v>
      </c>
      <c r="B281" s="238" t="s">
        <v>3173</v>
      </c>
      <c r="C281" s="238" t="s">
        <v>3174</v>
      </c>
      <c r="D281" s="119"/>
      <c r="E281" s="286"/>
      <c r="F281" s="286"/>
      <c r="G281" s="286"/>
      <c r="H281" s="286"/>
      <c r="I281" s="286"/>
      <c r="J281" s="286"/>
      <c r="K281" s="286"/>
      <c r="L281" s="286"/>
      <c r="M281" s="286"/>
      <c r="N281" s="286"/>
      <c r="O281" s="286"/>
      <c r="P281" s="286"/>
      <c r="Q281" s="204" t="e">
        <f t="shared" si="27"/>
        <v>#DIV/0!</v>
      </c>
      <c r="R281" s="204" t="e">
        <f t="shared" si="25"/>
        <v>#DIV/0!</v>
      </c>
      <c r="S281" s="204" t="e">
        <f t="shared" si="26"/>
        <v>#DIV/0!</v>
      </c>
      <c r="T281" s="285"/>
    </row>
    <row r="282" spans="1:20" s="277" customFormat="1" ht="32.1" customHeight="1">
      <c r="A282" s="419" t="s">
        <v>150</v>
      </c>
      <c r="B282" s="238" t="s">
        <v>3175</v>
      </c>
      <c r="C282" s="238" t="s">
        <v>3176</v>
      </c>
      <c r="D282" s="119">
        <v>300</v>
      </c>
      <c r="E282" s="286">
        <v>0</v>
      </c>
      <c r="F282" s="286">
        <v>0</v>
      </c>
      <c r="G282" s="286">
        <v>0</v>
      </c>
      <c r="H282" s="286">
        <v>0</v>
      </c>
      <c r="I282" s="286">
        <v>0</v>
      </c>
      <c r="J282" s="286">
        <v>0</v>
      </c>
      <c r="K282" s="286">
        <v>0</v>
      </c>
      <c r="L282" s="286">
        <v>0</v>
      </c>
      <c r="M282" s="286">
        <v>0</v>
      </c>
      <c r="N282" s="286">
        <v>0</v>
      </c>
      <c r="O282" s="286">
        <v>0</v>
      </c>
      <c r="P282" s="286">
        <v>0</v>
      </c>
      <c r="Q282" s="204">
        <f t="shared" ref="Q282:Q283" si="28">AVERAGE(E282:P282)</f>
        <v>0</v>
      </c>
      <c r="R282" s="204" t="str">
        <f t="shared" ref="R282:R283" si="29">IF(Q282&lt;5,"SI","NO")</f>
        <v>SI</v>
      </c>
      <c r="S282" s="204" t="str">
        <f t="shared" ref="S282:S283" si="30">IF(Q282&lt;=5,"Sin Riesgo",IF(Q282 &lt;=14,"Bajo",IF(Q282&lt;=35,"Medio",IF(Q282&lt;=80,"Alto","Inviable Sanitariamente"))))</f>
        <v>Sin Riesgo</v>
      </c>
      <c r="T282" s="285"/>
    </row>
    <row r="283" spans="1:20" s="277" customFormat="1" ht="32.1" customHeight="1">
      <c r="A283" s="419" t="s">
        <v>150</v>
      </c>
      <c r="B283" s="238" t="s">
        <v>1547</v>
      </c>
      <c r="C283" s="238" t="s">
        <v>3246</v>
      </c>
      <c r="D283" s="119"/>
      <c r="E283" s="286"/>
      <c r="F283" s="286"/>
      <c r="G283" s="286"/>
      <c r="H283" s="286"/>
      <c r="I283" s="286">
        <v>53.1</v>
      </c>
      <c r="J283" s="286"/>
      <c r="K283" s="286"/>
      <c r="L283" s="286"/>
      <c r="M283" s="286"/>
      <c r="N283" s="286"/>
      <c r="O283" s="286"/>
      <c r="P283" s="286"/>
      <c r="Q283" s="204">
        <f t="shared" si="28"/>
        <v>53.1</v>
      </c>
      <c r="R283" s="204" t="str">
        <f t="shared" si="29"/>
        <v>NO</v>
      </c>
      <c r="S283" s="204" t="str">
        <f t="shared" si="30"/>
        <v>Alto</v>
      </c>
      <c r="T283" s="285"/>
    </row>
    <row r="284" spans="1:20" s="277" customFormat="1" ht="32.1" customHeight="1">
      <c r="A284" s="419" t="s">
        <v>150</v>
      </c>
      <c r="B284" s="238" t="s">
        <v>4466</v>
      </c>
      <c r="C284" s="238" t="s">
        <v>4467</v>
      </c>
      <c r="D284" s="119"/>
      <c r="E284" s="286"/>
      <c r="F284" s="286"/>
      <c r="G284" s="286"/>
      <c r="H284" s="286"/>
      <c r="I284" s="286"/>
      <c r="J284" s="286"/>
      <c r="K284" s="286"/>
      <c r="L284" s="286">
        <v>53.1</v>
      </c>
      <c r="M284" s="286"/>
      <c r="N284" s="286"/>
      <c r="O284" s="286"/>
      <c r="P284" s="286"/>
      <c r="Q284" s="204">
        <f t="shared" si="27"/>
        <v>53.1</v>
      </c>
      <c r="R284" s="204" t="str">
        <f t="shared" ref="R284:R350" si="31">IF(Q284&lt;5,"SI","NO")</f>
        <v>NO</v>
      </c>
      <c r="S284" s="204" t="str">
        <f t="shared" si="26"/>
        <v>Alto</v>
      </c>
      <c r="T284" s="285"/>
    </row>
    <row r="285" spans="1:20" s="277" customFormat="1" ht="32.1" customHeight="1">
      <c r="A285" s="419" t="s">
        <v>152</v>
      </c>
      <c r="B285" s="238" t="s">
        <v>3177</v>
      </c>
      <c r="C285" s="238" t="s">
        <v>3178</v>
      </c>
      <c r="D285" s="119">
        <v>28</v>
      </c>
      <c r="E285" s="286"/>
      <c r="F285" s="286">
        <v>97.3</v>
      </c>
      <c r="G285" s="286"/>
      <c r="H285" s="286"/>
      <c r="I285" s="286"/>
      <c r="J285" s="286"/>
      <c r="K285" s="286"/>
      <c r="L285" s="286"/>
      <c r="M285" s="286"/>
      <c r="N285" s="286"/>
      <c r="O285" s="286"/>
      <c r="P285" s="286"/>
      <c r="Q285" s="204">
        <v>97.3</v>
      </c>
      <c r="R285" s="204" t="str">
        <f t="shared" si="31"/>
        <v>NO</v>
      </c>
      <c r="S285" s="204" t="str">
        <f t="shared" ref="S285:S351" si="32">IF(Q285&lt;=5,"Sin Riesgo",IF(Q285 &lt;=14,"Bajo",IF(Q285&lt;=35,"Medio",IF(Q285&lt;=80,"Alto","Inviable Sanitariamente"))))</f>
        <v>Inviable Sanitariamente</v>
      </c>
      <c r="T285" s="285"/>
    </row>
    <row r="286" spans="1:20" s="277" customFormat="1" ht="32.1" customHeight="1">
      <c r="A286" s="419" t="s">
        <v>152</v>
      </c>
      <c r="B286" s="238" t="s">
        <v>3179</v>
      </c>
      <c r="C286" s="238" t="s">
        <v>3180</v>
      </c>
      <c r="D286" s="119">
        <v>12</v>
      </c>
      <c r="E286" s="286"/>
      <c r="F286" s="286"/>
      <c r="G286" s="286">
        <v>97.3</v>
      </c>
      <c r="H286" s="286"/>
      <c r="I286" s="286"/>
      <c r="J286" s="286"/>
      <c r="K286" s="286"/>
      <c r="L286" s="286"/>
      <c r="M286" s="286"/>
      <c r="N286" s="286"/>
      <c r="O286" s="286">
        <v>97.3</v>
      </c>
      <c r="P286" s="286"/>
      <c r="Q286" s="204">
        <v>97.3</v>
      </c>
      <c r="R286" s="204" t="str">
        <f t="shared" si="31"/>
        <v>NO</v>
      </c>
      <c r="S286" s="204" t="str">
        <f t="shared" si="32"/>
        <v>Inviable Sanitariamente</v>
      </c>
      <c r="T286" s="285"/>
    </row>
    <row r="287" spans="1:20" s="277" customFormat="1" ht="32.1" customHeight="1">
      <c r="A287" s="419" t="s">
        <v>152</v>
      </c>
      <c r="B287" s="238" t="s">
        <v>3181</v>
      </c>
      <c r="C287" s="238" t="s">
        <v>3182</v>
      </c>
      <c r="D287" s="119">
        <v>22</v>
      </c>
      <c r="E287" s="286"/>
      <c r="F287" s="286"/>
      <c r="G287" s="286">
        <v>97.3</v>
      </c>
      <c r="H287" s="286"/>
      <c r="I287" s="286"/>
      <c r="J287" s="286"/>
      <c r="K287" s="286"/>
      <c r="L287" s="286"/>
      <c r="M287" s="286"/>
      <c r="N287" s="286"/>
      <c r="O287" s="286">
        <v>97.3</v>
      </c>
      <c r="P287" s="286"/>
      <c r="Q287" s="204">
        <v>97.3</v>
      </c>
      <c r="R287" s="204" t="str">
        <f t="shared" si="31"/>
        <v>NO</v>
      </c>
      <c r="S287" s="204" t="str">
        <f t="shared" si="32"/>
        <v>Inviable Sanitariamente</v>
      </c>
      <c r="T287" s="285"/>
    </row>
    <row r="288" spans="1:20" s="277" customFormat="1" ht="32.1" customHeight="1">
      <c r="A288" s="419" t="s">
        <v>152</v>
      </c>
      <c r="B288" s="238" t="s">
        <v>3183</v>
      </c>
      <c r="C288" s="238" t="s">
        <v>3184</v>
      </c>
      <c r="D288" s="119">
        <v>23</v>
      </c>
      <c r="E288" s="286"/>
      <c r="F288" s="286"/>
      <c r="G288" s="286">
        <v>97.3</v>
      </c>
      <c r="H288" s="286"/>
      <c r="I288" s="286"/>
      <c r="J288" s="286"/>
      <c r="K288" s="286"/>
      <c r="L288" s="286"/>
      <c r="M288" s="286"/>
      <c r="N288" s="286"/>
      <c r="O288" s="286">
        <v>97.3</v>
      </c>
      <c r="P288" s="286"/>
      <c r="Q288" s="204">
        <v>97.3</v>
      </c>
      <c r="R288" s="204" t="str">
        <f t="shared" si="31"/>
        <v>NO</v>
      </c>
      <c r="S288" s="204" t="str">
        <f t="shared" si="32"/>
        <v>Inviable Sanitariamente</v>
      </c>
      <c r="T288" s="285"/>
    </row>
    <row r="289" spans="1:20" s="277" customFormat="1" ht="32.1" customHeight="1">
      <c r="A289" s="419" t="s">
        <v>152</v>
      </c>
      <c r="B289" s="238" t="s">
        <v>3185</v>
      </c>
      <c r="C289" s="238" t="s">
        <v>3186</v>
      </c>
      <c r="D289" s="119">
        <v>25</v>
      </c>
      <c r="E289" s="286"/>
      <c r="F289" s="286"/>
      <c r="G289" s="286"/>
      <c r="H289" s="286"/>
      <c r="I289" s="286"/>
      <c r="J289" s="286"/>
      <c r="K289" s="286"/>
      <c r="L289" s="286"/>
      <c r="M289" s="286"/>
      <c r="N289" s="286"/>
      <c r="O289" s="286">
        <v>97.3</v>
      </c>
      <c r="P289" s="286"/>
      <c r="Q289" s="204">
        <v>97.3</v>
      </c>
      <c r="R289" s="204" t="str">
        <f t="shared" si="31"/>
        <v>NO</v>
      </c>
      <c r="S289" s="204" t="str">
        <f t="shared" si="32"/>
        <v>Inviable Sanitariamente</v>
      </c>
      <c r="T289" s="285"/>
    </row>
    <row r="290" spans="1:20" s="277" customFormat="1" ht="32.1" customHeight="1">
      <c r="A290" s="419" t="s">
        <v>152</v>
      </c>
      <c r="B290" s="238" t="s">
        <v>3187</v>
      </c>
      <c r="C290" s="238" t="s">
        <v>3188</v>
      </c>
      <c r="D290" s="119">
        <v>35</v>
      </c>
      <c r="E290" s="286"/>
      <c r="F290" s="286"/>
      <c r="G290" s="286"/>
      <c r="H290" s="286"/>
      <c r="I290" s="286"/>
      <c r="J290" s="286"/>
      <c r="K290" s="286"/>
      <c r="L290" s="286"/>
      <c r="M290" s="286"/>
      <c r="N290" s="286"/>
      <c r="O290" s="286">
        <v>97.3</v>
      </c>
      <c r="P290" s="286"/>
      <c r="Q290" s="204">
        <v>97.3</v>
      </c>
      <c r="R290" s="204" t="str">
        <f t="shared" si="31"/>
        <v>NO</v>
      </c>
      <c r="S290" s="204" t="str">
        <f t="shared" si="32"/>
        <v>Inviable Sanitariamente</v>
      </c>
      <c r="T290" s="285"/>
    </row>
    <row r="291" spans="1:20" s="277" customFormat="1" ht="32.1" customHeight="1">
      <c r="A291" s="419" t="s">
        <v>152</v>
      </c>
      <c r="B291" s="238" t="s">
        <v>3189</v>
      </c>
      <c r="C291" s="238" t="s">
        <v>3190</v>
      </c>
      <c r="D291" s="119">
        <v>25</v>
      </c>
      <c r="E291" s="286"/>
      <c r="F291" s="286"/>
      <c r="G291" s="286"/>
      <c r="H291" s="286"/>
      <c r="I291" s="286"/>
      <c r="J291" s="286"/>
      <c r="K291" s="286"/>
      <c r="L291" s="286"/>
      <c r="M291" s="286"/>
      <c r="N291" s="286"/>
      <c r="O291" s="286">
        <v>97.3</v>
      </c>
      <c r="P291" s="286"/>
      <c r="Q291" s="204">
        <f>AVERAGE(E291:P291)</f>
        <v>97.3</v>
      </c>
      <c r="R291" s="204" t="str">
        <f t="shared" si="31"/>
        <v>NO</v>
      </c>
      <c r="S291" s="204" t="str">
        <f t="shared" si="32"/>
        <v>Inviable Sanitariamente</v>
      </c>
      <c r="T291" s="285"/>
    </row>
    <row r="292" spans="1:20" s="277" customFormat="1" ht="32.1" customHeight="1">
      <c r="A292" s="419" t="s">
        <v>152</v>
      </c>
      <c r="B292" s="238" t="s">
        <v>950</v>
      </c>
      <c r="C292" s="238" t="s">
        <v>3191</v>
      </c>
      <c r="D292" s="119">
        <v>98</v>
      </c>
      <c r="E292" s="286"/>
      <c r="F292" s="286">
        <v>97.3</v>
      </c>
      <c r="G292" s="286"/>
      <c r="H292" s="286"/>
      <c r="I292" s="286"/>
      <c r="J292" s="286"/>
      <c r="K292" s="286"/>
      <c r="L292" s="286"/>
      <c r="M292" s="286"/>
      <c r="N292" s="286"/>
      <c r="O292" s="286">
        <v>97.3</v>
      </c>
      <c r="P292" s="286"/>
      <c r="Q292" s="204">
        <f>AVERAGE(E292:P292)</f>
        <v>97.3</v>
      </c>
      <c r="R292" s="204" t="str">
        <f t="shared" si="31"/>
        <v>NO</v>
      </c>
      <c r="S292" s="204" t="str">
        <f t="shared" si="32"/>
        <v>Inviable Sanitariamente</v>
      </c>
      <c r="T292" s="285"/>
    </row>
    <row r="293" spans="1:20" s="277" customFormat="1" ht="32.1" customHeight="1">
      <c r="A293" s="419" t="s">
        <v>152</v>
      </c>
      <c r="B293" s="238" t="s">
        <v>1278</v>
      </c>
      <c r="C293" s="238" t="s">
        <v>3192</v>
      </c>
      <c r="D293" s="119">
        <v>44</v>
      </c>
      <c r="E293" s="286"/>
      <c r="F293" s="286"/>
      <c r="G293" s="286">
        <v>97.3</v>
      </c>
      <c r="H293" s="286"/>
      <c r="I293" s="286"/>
      <c r="J293" s="286"/>
      <c r="K293" s="286"/>
      <c r="L293" s="286"/>
      <c r="M293" s="286"/>
      <c r="N293" s="286"/>
      <c r="O293" s="286"/>
      <c r="P293" s="286"/>
      <c r="Q293" s="204">
        <v>97.3</v>
      </c>
      <c r="R293" s="204" t="str">
        <f t="shared" si="31"/>
        <v>NO</v>
      </c>
      <c r="S293" s="204" t="str">
        <f t="shared" si="32"/>
        <v>Inviable Sanitariamente</v>
      </c>
      <c r="T293" s="285"/>
    </row>
    <row r="294" spans="1:20" s="277" customFormat="1" ht="32.1" customHeight="1">
      <c r="A294" s="419" t="s">
        <v>152</v>
      </c>
      <c r="B294" s="238" t="s">
        <v>3193</v>
      </c>
      <c r="C294" s="238" t="s">
        <v>3194</v>
      </c>
      <c r="D294" s="114">
        <v>32</v>
      </c>
      <c r="E294" s="286"/>
      <c r="F294" s="286"/>
      <c r="G294" s="286">
        <v>97.3</v>
      </c>
      <c r="H294" s="286"/>
      <c r="I294" s="286"/>
      <c r="J294" s="286"/>
      <c r="K294" s="286"/>
      <c r="L294" s="286"/>
      <c r="M294" s="286"/>
      <c r="N294" s="286"/>
      <c r="O294" s="286"/>
      <c r="P294" s="286"/>
      <c r="Q294" s="204">
        <f>AVERAGE(E294:P294)</f>
        <v>97.3</v>
      </c>
      <c r="R294" s="204" t="str">
        <f t="shared" si="31"/>
        <v>NO</v>
      </c>
      <c r="S294" s="204" t="str">
        <f t="shared" si="32"/>
        <v>Inviable Sanitariamente</v>
      </c>
      <c r="T294" s="285"/>
    </row>
    <row r="295" spans="1:20" s="277" customFormat="1" ht="32.1" customHeight="1">
      <c r="A295" s="419" t="s">
        <v>152</v>
      </c>
      <c r="B295" s="238" t="s">
        <v>3195</v>
      </c>
      <c r="C295" s="238" t="s">
        <v>3196</v>
      </c>
      <c r="D295" s="119">
        <v>25</v>
      </c>
      <c r="E295" s="286"/>
      <c r="F295" s="286" t="s">
        <v>1720</v>
      </c>
      <c r="G295" s="286"/>
      <c r="H295" s="286"/>
      <c r="I295" s="286"/>
      <c r="J295" s="286"/>
      <c r="K295" s="286"/>
      <c r="L295" s="286"/>
      <c r="M295" s="286"/>
      <c r="N295" s="286">
        <v>97.3</v>
      </c>
      <c r="O295" s="286"/>
      <c r="P295" s="286"/>
      <c r="Q295" s="204">
        <v>97.3</v>
      </c>
      <c r="R295" s="204" t="str">
        <f t="shared" si="31"/>
        <v>NO</v>
      </c>
      <c r="S295" s="204" t="str">
        <f t="shared" si="32"/>
        <v>Inviable Sanitariamente</v>
      </c>
      <c r="T295" s="285"/>
    </row>
    <row r="296" spans="1:20" s="277" customFormat="1" ht="32.1" customHeight="1">
      <c r="A296" s="419" t="s">
        <v>152</v>
      </c>
      <c r="B296" s="238" t="s">
        <v>3197</v>
      </c>
      <c r="C296" s="238" t="s">
        <v>3198</v>
      </c>
      <c r="D296" s="119">
        <v>10</v>
      </c>
      <c r="E296" s="286"/>
      <c r="F296" s="286"/>
      <c r="G296" s="286">
        <v>97.3</v>
      </c>
      <c r="H296" s="286"/>
      <c r="I296" s="286"/>
      <c r="J296" s="286"/>
      <c r="K296" s="286"/>
      <c r="L296" s="286"/>
      <c r="M296" s="286"/>
      <c r="N296" s="286"/>
      <c r="O296" s="286"/>
      <c r="P296" s="286"/>
      <c r="Q296" s="204">
        <f>AVERAGE(E296:P296)</f>
        <v>97.3</v>
      </c>
      <c r="R296" s="204" t="str">
        <f t="shared" si="31"/>
        <v>NO</v>
      </c>
      <c r="S296" s="204" t="str">
        <f t="shared" si="32"/>
        <v>Inviable Sanitariamente</v>
      </c>
      <c r="T296" s="285"/>
    </row>
    <row r="297" spans="1:20" s="277" customFormat="1" ht="32.1" customHeight="1">
      <c r="A297" s="419" t="s">
        <v>152</v>
      </c>
      <c r="B297" s="238" t="s">
        <v>2081</v>
      </c>
      <c r="C297" s="238" t="s">
        <v>3199</v>
      </c>
      <c r="D297" s="114">
        <v>49</v>
      </c>
      <c r="E297" s="286"/>
      <c r="F297" s="286"/>
      <c r="G297" s="286"/>
      <c r="H297" s="286"/>
      <c r="I297" s="286"/>
      <c r="J297" s="286"/>
      <c r="K297" s="286"/>
      <c r="L297" s="286"/>
      <c r="M297" s="286"/>
      <c r="N297" s="286">
        <v>97.3</v>
      </c>
      <c r="O297" s="286"/>
      <c r="P297" s="286"/>
      <c r="Q297" s="204">
        <f>AVERAGE(E297:P297)</f>
        <v>97.3</v>
      </c>
      <c r="R297" s="204" t="str">
        <f t="shared" si="31"/>
        <v>NO</v>
      </c>
      <c r="S297" s="204" t="str">
        <f t="shared" si="32"/>
        <v>Inviable Sanitariamente</v>
      </c>
      <c r="T297" s="285"/>
    </row>
    <row r="298" spans="1:20" s="277" customFormat="1" ht="32.1" customHeight="1">
      <c r="A298" s="419" t="s">
        <v>152</v>
      </c>
      <c r="B298" s="238" t="s">
        <v>3200</v>
      </c>
      <c r="C298" s="238" t="s">
        <v>3201</v>
      </c>
      <c r="D298" s="119">
        <v>280</v>
      </c>
      <c r="E298" s="286"/>
      <c r="F298" s="286"/>
      <c r="G298" s="286"/>
      <c r="H298" s="286"/>
      <c r="I298" s="286"/>
      <c r="J298" s="286"/>
      <c r="K298" s="286">
        <v>97.3</v>
      </c>
      <c r="L298" s="286"/>
      <c r="M298" s="286"/>
      <c r="N298" s="286"/>
      <c r="O298" s="286"/>
      <c r="P298" s="286"/>
      <c r="Q298" s="204">
        <v>97.3</v>
      </c>
      <c r="R298" s="204" t="str">
        <f t="shared" si="31"/>
        <v>NO</v>
      </c>
      <c r="S298" s="204" t="str">
        <f t="shared" si="32"/>
        <v>Inviable Sanitariamente</v>
      </c>
      <c r="T298" s="285"/>
    </row>
    <row r="299" spans="1:20" s="277" customFormat="1" ht="32.1" customHeight="1">
      <c r="A299" s="419" t="s">
        <v>152</v>
      </c>
      <c r="B299" s="238" t="s">
        <v>3202</v>
      </c>
      <c r="C299" s="238" t="s">
        <v>3203</v>
      </c>
      <c r="D299" s="119">
        <v>24</v>
      </c>
      <c r="E299" s="286"/>
      <c r="F299" s="286"/>
      <c r="G299" s="286">
        <v>97.3</v>
      </c>
      <c r="H299" s="286"/>
      <c r="I299" s="286"/>
      <c r="J299" s="286"/>
      <c r="K299" s="286"/>
      <c r="L299" s="286"/>
      <c r="M299" s="286"/>
      <c r="N299" s="286">
        <v>97.3</v>
      </c>
      <c r="O299" s="286"/>
      <c r="P299" s="286"/>
      <c r="Q299" s="204">
        <f t="shared" ref="Q299:Q365" si="33">AVERAGE(E299:P299)</f>
        <v>97.3</v>
      </c>
      <c r="R299" s="204" t="str">
        <f t="shared" si="31"/>
        <v>NO</v>
      </c>
      <c r="S299" s="204" t="str">
        <f t="shared" si="32"/>
        <v>Inviable Sanitariamente</v>
      </c>
      <c r="T299" s="285"/>
    </row>
    <row r="300" spans="1:20" s="277" customFormat="1" ht="32.1" customHeight="1">
      <c r="A300" s="419" t="s">
        <v>152</v>
      </c>
      <c r="B300" s="238" t="s">
        <v>3204</v>
      </c>
      <c r="C300" s="238" t="s">
        <v>3205</v>
      </c>
      <c r="D300" s="119">
        <v>10</v>
      </c>
      <c r="E300" s="286"/>
      <c r="F300" s="286"/>
      <c r="G300" s="286"/>
      <c r="H300" s="286"/>
      <c r="I300" s="286"/>
      <c r="J300" s="286"/>
      <c r="K300" s="286"/>
      <c r="L300" s="286"/>
      <c r="M300" s="286"/>
      <c r="N300" s="286">
        <v>97.3</v>
      </c>
      <c r="O300" s="286"/>
      <c r="P300" s="286"/>
      <c r="Q300" s="204">
        <f t="shared" si="33"/>
        <v>97.3</v>
      </c>
      <c r="R300" s="204" t="str">
        <f t="shared" si="31"/>
        <v>NO</v>
      </c>
      <c r="S300" s="204" t="str">
        <f t="shared" si="32"/>
        <v>Inviable Sanitariamente</v>
      </c>
      <c r="T300" s="285"/>
    </row>
    <row r="301" spans="1:20" s="277" customFormat="1" ht="32.1" customHeight="1">
      <c r="A301" s="419" t="s">
        <v>152</v>
      </c>
      <c r="B301" s="238" t="s">
        <v>3206</v>
      </c>
      <c r="C301" s="238" t="s">
        <v>3207</v>
      </c>
      <c r="D301" s="119">
        <v>70</v>
      </c>
      <c r="E301" s="286"/>
      <c r="F301" s="286"/>
      <c r="G301" s="286"/>
      <c r="H301" s="286"/>
      <c r="I301" s="286"/>
      <c r="J301" s="286"/>
      <c r="K301" s="286"/>
      <c r="L301" s="286"/>
      <c r="M301" s="286"/>
      <c r="N301" s="286">
        <v>97.3</v>
      </c>
      <c r="O301" s="286"/>
      <c r="P301" s="286"/>
      <c r="Q301" s="204">
        <f t="shared" si="33"/>
        <v>97.3</v>
      </c>
      <c r="R301" s="204" t="str">
        <f t="shared" si="31"/>
        <v>NO</v>
      </c>
      <c r="S301" s="204" t="str">
        <f t="shared" si="32"/>
        <v>Inviable Sanitariamente</v>
      </c>
      <c r="T301" s="285"/>
    </row>
    <row r="302" spans="1:20" s="277" customFormat="1" ht="32.1" customHeight="1">
      <c r="A302" s="419" t="s">
        <v>152</v>
      </c>
      <c r="B302" s="238" t="s">
        <v>3208</v>
      </c>
      <c r="C302" s="238" t="s">
        <v>3209</v>
      </c>
      <c r="D302" s="119">
        <v>25</v>
      </c>
      <c r="E302" s="286"/>
      <c r="F302" s="286"/>
      <c r="G302" s="286"/>
      <c r="H302" s="286">
        <v>97.3</v>
      </c>
      <c r="I302" s="286"/>
      <c r="J302" s="286"/>
      <c r="K302" s="286"/>
      <c r="L302" s="286"/>
      <c r="M302" s="286"/>
      <c r="N302" s="286"/>
      <c r="O302" s="286"/>
      <c r="P302" s="286"/>
      <c r="Q302" s="204">
        <f t="shared" si="33"/>
        <v>97.3</v>
      </c>
      <c r="R302" s="204" t="str">
        <f t="shared" si="31"/>
        <v>NO</v>
      </c>
      <c r="S302" s="204" t="str">
        <f t="shared" si="32"/>
        <v>Inviable Sanitariamente</v>
      </c>
      <c r="T302" s="285"/>
    </row>
    <row r="303" spans="1:20" s="277" customFormat="1" ht="32.1" customHeight="1">
      <c r="A303" s="419" t="s">
        <v>152</v>
      </c>
      <c r="B303" s="238" t="s">
        <v>3210</v>
      </c>
      <c r="C303" s="238" t="s">
        <v>3211</v>
      </c>
      <c r="D303" s="119">
        <v>224</v>
      </c>
      <c r="E303" s="286"/>
      <c r="F303" s="286"/>
      <c r="G303" s="286">
        <v>97.3</v>
      </c>
      <c r="H303" s="286"/>
      <c r="I303" s="286"/>
      <c r="J303" s="286"/>
      <c r="K303" s="286"/>
      <c r="L303" s="286"/>
      <c r="M303" s="286"/>
      <c r="N303" s="286"/>
      <c r="O303" s="286"/>
      <c r="P303" s="286"/>
      <c r="Q303" s="204">
        <f t="shared" si="33"/>
        <v>97.3</v>
      </c>
      <c r="R303" s="204" t="str">
        <f t="shared" si="31"/>
        <v>NO</v>
      </c>
      <c r="S303" s="204" t="str">
        <f t="shared" si="32"/>
        <v>Inviable Sanitariamente</v>
      </c>
      <c r="T303" s="285"/>
    </row>
    <row r="304" spans="1:20" s="277" customFormat="1" ht="32.1" customHeight="1">
      <c r="A304" s="419" t="s">
        <v>152</v>
      </c>
      <c r="B304" s="238" t="s">
        <v>3212</v>
      </c>
      <c r="C304" s="238" t="s">
        <v>3213</v>
      </c>
      <c r="D304" s="119">
        <v>14</v>
      </c>
      <c r="E304" s="286"/>
      <c r="F304" s="286"/>
      <c r="G304" s="286"/>
      <c r="H304" s="286"/>
      <c r="I304" s="286"/>
      <c r="J304" s="286"/>
      <c r="K304" s="286"/>
      <c r="L304" s="286"/>
      <c r="M304" s="286"/>
      <c r="N304" s="286">
        <v>97.3</v>
      </c>
      <c r="O304" s="286"/>
      <c r="P304" s="286"/>
      <c r="Q304" s="204">
        <f t="shared" ref="Q304:Q305" si="34">AVERAGE(E304:P304)</f>
        <v>97.3</v>
      </c>
      <c r="R304" s="204" t="str">
        <f t="shared" ref="R304:R305" si="35">IF(Q304&lt;5,"SI","NO")</f>
        <v>NO</v>
      </c>
      <c r="S304" s="204" t="str">
        <f t="shared" ref="S304:S305" si="36">IF(Q304&lt;=5,"Sin Riesgo",IF(Q304 &lt;=14,"Bajo",IF(Q304&lt;=35,"Medio",IF(Q304&lt;=80,"Alto","Inviable Sanitariamente"))))</f>
        <v>Inviable Sanitariamente</v>
      </c>
      <c r="T304" s="285"/>
    </row>
    <row r="305" spans="1:20" s="277" customFormat="1" ht="32.1" customHeight="1">
      <c r="A305" s="419" t="s">
        <v>152</v>
      </c>
      <c r="B305" s="238" t="s">
        <v>4468</v>
      </c>
      <c r="C305" s="238" t="s">
        <v>4469</v>
      </c>
      <c r="D305" s="119">
        <v>42</v>
      </c>
      <c r="E305" s="286"/>
      <c r="F305" s="286">
        <v>97.3</v>
      </c>
      <c r="G305" s="286"/>
      <c r="H305" s="286"/>
      <c r="I305" s="286"/>
      <c r="J305" s="286"/>
      <c r="K305" s="286"/>
      <c r="L305" s="286"/>
      <c r="M305" s="286"/>
      <c r="N305" s="286"/>
      <c r="O305" s="286">
        <v>97.3</v>
      </c>
      <c r="P305" s="286"/>
      <c r="Q305" s="204">
        <f t="shared" si="34"/>
        <v>97.3</v>
      </c>
      <c r="R305" s="204" t="str">
        <f t="shared" si="35"/>
        <v>NO</v>
      </c>
      <c r="S305" s="204" t="str">
        <f t="shared" si="36"/>
        <v>Inviable Sanitariamente</v>
      </c>
      <c r="T305" s="285"/>
    </row>
    <row r="306" spans="1:20" s="277" customFormat="1" ht="32.1" customHeight="1">
      <c r="A306" s="419" t="s">
        <v>152</v>
      </c>
      <c r="B306" s="238" t="s">
        <v>4470</v>
      </c>
      <c r="C306" s="238" t="s">
        <v>4471</v>
      </c>
      <c r="D306" s="119">
        <v>42</v>
      </c>
      <c r="E306" s="286"/>
      <c r="F306" s="286"/>
      <c r="G306" s="286"/>
      <c r="H306" s="286"/>
      <c r="I306" s="286"/>
      <c r="J306" s="286"/>
      <c r="K306" s="286"/>
      <c r="L306" s="286"/>
      <c r="M306" s="286"/>
      <c r="N306" s="286">
        <v>97.3</v>
      </c>
      <c r="O306" s="286"/>
      <c r="P306" s="286"/>
      <c r="Q306" s="204">
        <f t="shared" si="33"/>
        <v>97.3</v>
      </c>
      <c r="R306" s="204" t="str">
        <f t="shared" si="31"/>
        <v>NO</v>
      </c>
      <c r="S306" s="204" t="str">
        <f t="shared" si="32"/>
        <v>Inviable Sanitariamente</v>
      </c>
      <c r="T306" s="285"/>
    </row>
    <row r="307" spans="1:20" s="277" customFormat="1" ht="32.1" customHeight="1">
      <c r="A307" s="419" t="s">
        <v>153</v>
      </c>
      <c r="B307" s="238" t="s">
        <v>3214</v>
      </c>
      <c r="C307" s="238" t="s">
        <v>3215</v>
      </c>
      <c r="D307" s="119">
        <v>148</v>
      </c>
      <c r="E307" s="286"/>
      <c r="F307" s="286"/>
      <c r="G307" s="286"/>
      <c r="H307" s="286"/>
      <c r="I307" s="286"/>
      <c r="J307" s="286">
        <v>97.35</v>
      </c>
      <c r="K307" s="286"/>
      <c r="L307" s="286"/>
      <c r="M307" s="286">
        <v>97.4</v>
      </c>
      <c r="N307" s="286"/>
      <c r="O307" s="286"/>
      <c r="P307" s="286"/>
      <c r="Q307" s="204">
        <f t="shared" si="33"/>
        <v>97.375</v>
      </c>
      <c r="R307" s="204" t="str">
        <f t="shared" si="31"/>
        <v>NO</v>
      </c>
      <c r="S307" s="204" t="str">
        <f t="shared" si="32"/>
        <v>Inviable Sanitariamente</v>
      </c>
      <c r="T307" s="285"/>
    </row>
    <row r="308" spans="1:20" s="277" customFormat="1" ht="32.1" customHeight="1">
      <c r="A308" s="419" t="s">
        <v>153</v>
      </c>
      <c r="B308" s="238" t="s">
        <v>3216</v>
      </c>
      <c r="C308" s="238" t="s">
        <v>3217</v>
      </c>
      <c r="D308" s="119">
        <v>301</v>
      </c>
      <c r="E308" s="286"/>
      <c r="F308" s="286"/>
      <c r="G308" s="286"/>
      <c r="H308" s="286">
        <v>0</v>
      </c>
      <c r="I308" s="286">
        <v>0</v>
      </c>
      <c r="J308" s="286"/>
      <c r="K308" s="286"/>
      <c r="L308" s="286"/>
      <c r="M308" s="286"/>
      <c r="N308" s="286">
        <v>0</v>
      </c>
      <c r="O308" s="286"/>
      <c r="P308" s="286"/>
      <c r="Q308" s="204">
        <f t="shared" si="33"/>
        <v>0</v>
      </c>
      <c r="R308" s="204" t="str">
        <f t="shared" si="31"/>
        <v>SI</v>
      </c>
      <c r="S308" s="204" t="str">
        <f t="shared" si="32"/>
        <v>Sin Riesgo</v>
      </c>
      <c r="T308" s="285"/>
    </row>
    <row r="309" spans="1:20" s="277" customFormat="1" ht="32.1" customHeight="1">
      <c r="A309" s="419" t="s">
        <v>153</v>
      </c>
      <c r="B309" s="238" t="s">
        <v>3218</v>
      </c>
      <c r="C309" s="238" t="s">
        <v>3219</v>
      </c>
      <c r="D309" s="119">
        <v>240</v>
      </c>
      <c r="E309" s="286"/>
      <c r="F309" s="286"/>
      <c r="G309" s="286"/>
      <c r="H309" s="286"/>
      <c r="I309" s="286">
        <v>0</v>
      </c>
      <c r="J309" s="286"/>
      <c r="K309" s="286"/>
      <c r="L309" s="286"/>
      <c r="M309" s="286"/>
      <c r="N309" s="286"/>
      <c r="O309" s="286"/>
      <c r="P309" s="286">
        <v>97.4</v>
      </c>
      <c r="Q309" s="204">
        <f t="shared" si="33"/>
        <v>48.7</v>
      </c>
      <c r="R309" s="204" t="str">
        <f t="shared" si="31"/>
        <v>NO</v>
      </c>
      <c r="S309" s="204" t="str">
        <f t="shared" si="32"/>
        <v>Alto</v>
      </c>
      <c r="T309" s="285"/>
    </row>
    <row r="310" spans="1:20" s="277" customFormat="1" ht="32.1" customHeight="1">
      <c r="A310" s="419" t="s">
        <v>153</v>
      </c>
      <c r="B310" s="238" t="s">
        <v>3220</v>
      </c>
      <c r="C310" s="238" t="s">
        <v>3221</v>
      </c>
      <c r="D310" s="119">
        <v>269</v>
      </c>
      <c r="E310" s="286"/>
      <c r="F310" s="286"/>
      <c r="G310" s="286"/>
      <c r="H310" s="286"/>
      <c r="I310" s="286"/>
      <c r="J310" s="286"/>
      <c r="K310" s="286"/>
      <c r="L310" s="286">
        <v>97.4</v>
      </c>
      <c r="M310" s="286"/>
      <c r="N310" s="286"/>
      <c r="O310" s="286"/>
      <c r="P310" s="286"/>
      <c r="Q310" s="204">
        <f t="shared" si="33"/>
        <v>97.4</v>
      </c>
      <c r="R310" s="204" t="str">
        <f t="shared" si="31"/>
        <v>NO</v>
      </c>
      <c r="S310" s="204" t="str">
        <f t="shared" si="32"/>
        <v>Inviable Sanitariamente</v>
      </c>
      <c r="T310" s="285"/>
    </row>
    <row r="311" spans="1:20" s="277" customFormat="1" ht="32.1" customHeight="1">
      <c r="A311" s="419" t="s">
        <v>153</v>
      </c>
      <c r="B311" s="238" t="s">
        <v>2326</v>
      </c>
      <c r="C311" s="238" t="s">
        <v>3222</v>
      </c>
      <c r="D311" s="119">
        <v>65</v>
      </c>
      <c r="E311" s="286"/>
      <c r="F311" s="286"/>
      <c r="G311" s="286"/>
      <c r="H311" s="286"/>
      <c r="I311" s="286"/>
      <c r="J311" s="286"/>
      <c r="K311" s="286"/>
      <c r="L311" s="286"/>
      <c r="M311" s="286"/>
      <c r="N311" s="286"/>
      <c r="O311" s="286">
        <v>97.35</v>
      </c>
      <c r="P311" s="286"/>
      <c r="Q311" s="204">
        <f t="shared" si="33"/>
        <v>97.35</v>
      </c>
      <c r="R311" s="204" t="str">
        <f t="shared" si="31"/>
        <v>NO</v>
      </c>
      <c r="S311" s="204" t="str">
        <f t="shared" si="32"/>
        <v>Inviable Sanitariamente</v>
      </c>
      <c r="T311" s="285"/>
    </row>
    <row r="312" spans="1:20" s="277" customFormat="1" ht="32.1" customHeight="1">
      <c r="A312" s="419" t="s">
        <v>153</v>
      </c>
      <c r="B312" s="238" t="s">
        <v>3078</v>
      </c>
      <c r="C312" s="238" t="s">
        <v>3223</v>
      </c>
      <c r="D312" s="119">
        <v>35</v>
      </c>
      <c r="E312" s="286"/>
      <c r="F312" s="286"/>
      <c r="G312" s="286"/>
      <c r="H312" s="286"/>
      <c r="I312" s="286"/>
      <c r="J312" s="286"/>
      <c r="K312" s="286"/>
      <c r="L312" s="286"/>
      <c r="M312" s="286"/>
      <c r="N312" s="286"/>
      <c r="O312" s="286"/>
      <c r="P312" s="286"/>
      <c r="Q312" s="204" t="e">
        <f t="shared" si="33"/>
        <v>#DIV/0!</v>
      </c>
      <c r="R312" s="204" t="e">
        <f t="shared" si="31"/>
        <v>#DIV/0!</v>
      </c>
      <c r="S312" s="204" t="e">
        <f t="shared" si="32"/>
        <v>#DIV/0!</v>
      </c>
      <c r="T312" s="285"/>
    </row>
    <row r="313" spans="1:20" s="277" customFormat="1" ht="32.1" customHeight="1">
      <c r="A313" s="419" t="s">
        <v>153</v>
      </c>
      <c r="B313" s="238" t="s">
        <v>2894</v>
      </c>
      <c r="C313" s="238" t="s">
        <v>3224</v>
      </c>
      <c r="D313" s="119"/>
      <c r="E313" s="286"/>
      <c r="F313" s="286"/>
      <c r="G313" s="286"/>
      <c r="H313" s="286"/>
      <c r="I313" s="286"/>
      <c r="J313" s="286"/>
      <c r="K313" s="286"/>
      <c r="L313" s="286"/>
      <c r="M313" s="286"/>
      <c r="N313" s="286"/>
      <c r="O313" s="286"/>
      <c r="P313" s="286"/>
      <c r="Q313" s="204" t="e">
        <f t="shared" si="33"/>
        <v>#DIV/0!</v>
      </c>
      <c r="R313" s="204" t="e">
        <f t="shared" si="31"/>
        <v>#DIV/0!</v>
      </c>
      <c r="S313" s="204" t="e">
        <f t="shared" si="32"/>
        <v>#DIV/0!</v>
      </c>
      <c r="T313" s="285"/>
    </row>
    <row r="314" spans="1:20" s="277" customFormat="1" ht="32.1" customHeight="1">
      <c r="A314" s="419" t="s">
        <v>153</v>
      </c>
      <c r="B314" s="238" t="s">
        <v>3225</v>
      </c>
      <c r="C314" s="238" t="s">
        <v>3226</v>
      </c>
      <c r="D314" s="114">
        <v>110</v>
      </c>
      <c r="E314" s="286"/>
      <c r="F314" s="286"/>
      <c r="G314" s="286"/>
      <c r="H314" s="286"/>
      <c r="I314" s="286"/>
      <c r="J314" s="286"/>
      <c r="K314" s="286"/>
      <c r="L314" s="286"/>
      <c r="M314" s="286"/>
      <c r="N314" s="286">
        <v>97.4</v>
      </c>
      <c r="O314" s="286"/>
      <c r="P314" s="286"/>
      <c r="Q314" s="204">
        <f t="shared" ref="Q314" si="37">AVERAGE(E314:P314)</f>
        <v>97.4</v>
      </c>
      <c r="R314" s="204" t="str">
        <f t="shared" ref="R314" si="38">IF(Q314&lt;5,"SI","NO")</f>
        <v>NO</v>
      </c>
      <c r="S314" s="204" t="str">
        <f t="shared" ref="S314" si="39">IF(Q314&lt;=5,"Sin Riesgo",IF(Q314 &lt;=14,"Bajo",IF(Q314&lt;=35,"Medio",IF(Q314&lt;=80,"Alto","Inviable Sanitariamente"))))</f>
        <v>Inviable Sanitariamente</v>
      </c>
      <c r="T314" s="285"/>
    </row>
    <row r="315" spans="1:20" s="277" customFormat="1" ht="32.1" customHeight="1">
      <c r="A315" s="419" t="s">
        <v>153</v>
      </c>
      <c r="B315" s="238" t="s">
        <v>1811</v>
      </c>
      <c r="C315" s="238" t="s">
        <v>4472</v>
      </c>
      <c r="D315" s="114">
        <v>48</v>
      </c>
      <c r="E315" s="286"/>
      <c r="F315" s="286"/>
      <c r="G315" s="286"/>
      <c r="H315" s="286">
        <v>0</v>
      </c>
      <c r="I315" s="286"/>
      <c r="J315" s="286"/>
      <c r="K315" s="286"/>
      <c r="L315" s="286"/>
      <c r="M315" s="286"/>
      <c r="N315" s="286">
        <v>97.4</v>
      </c>
      <c r="O315" s="286"/>
      <c r="P315" s="286"/>
      <c r="Q315" s="204">
        <f t="shared" si="33"/>
        <v>48.7</v>
      </c>
      <c r="R315" s="204" t="str">
        <f t="shared" si="31"/>
        <v>NO</v>
      </c>
      <c r="S315" s="204" t="str">
        <f t="shared" si="32"/>
        <v>Alto</v>
      </c>
      <c r="T315" s="285"/>
    </row>
    <row r="316" spans="1:20" s="277" customFormat="1" ht="32.1" customHeight="1">
      <c r="A316" s="419" t="s">
        <v>153</v>
      </c>
      <c r="B316" s="238" t="s">
        <v>1</v>
      </c>
      <c r="C316" s="238" t="s">
        <v>3227</v>
      </c>
      <c r="D316" s="119"/>
      <c r="E316" s="286"/>
      <c r="F316" s="286"/>
      <c r="G316" s="286"/>
      <c r="H316" s="286"/>
      <c r="I316" s="286"/>
      <c r="J316" s="286"/>
      <c r="K316" s="286"/>
      <c r="L316" s="286"/>
      <c r="M316" s="286"/>
      <c r="N316" s="286"/>
      <c r="O316" s="286"/>
      <c r="P316" s="286"/>
      <c r="Q316" s="204" t="e">
        <f t="shared" si="33"/>
        <v>#DIV/0!</v>
      </c>
      <c r="R316" s="204" t="e">
        <f t="shared" si="31"/>
        <v>#DIV/0!</v>
      </c>
      <c r="S316" s="204" t="e">
        <f t="shared" si="32"/>
        <v>#DIV/0!</v>
      </c>
      <c r="T316" s="285"/>
    </row>
    <row r="317" spans="1:20" s="277" customFormat="1" ht="32.1" customHeight="1">
      <c r="A317" s="419" t="s">
        <v>153</v>
      </c>
      <c r="B317" s="238" t="s">
        <v>3228</v>
      </c>
      <c r="C317" s="238" t="s">
        <v>3229</v>
      </c>
      <c r="D317" s="119">
        <v>180</v>
      </c>
      <c r="E317" s="286"/>
      <c r="F317" s="286"/>
      <c r="G317" s="286"/>
      <c r="H317" s="286"/>
      <c r="I317" s="286"/>
      <c r="J317" s="286">
        <v>97.35</v>
      </c>
      <c r="K317" s="286"/>
      <c r="L317" s="286"/>
      <c r="M317" s="286"/>
      <c r="N317" s="286"/>
      <c r="O317" s="286">
        <v>97.35</v>
      </c>
      <c r="P317" s="286"/>
      <c r="Q317" s="204">
        <f t="shared" si="33"/>
        <v>97.35</v>
      </c>
      <c r="R317" s="204" t="str">
        <f t="shared" si="31"/>
        <v>NO</v>
      </c>
      <c r="S317" s="204" t="str">
        <f t="shared" si="32"/>
        <v>Inviable Sanitariamente</v>
      </c>
      <c r="T317" s="285"/>
    </row>
    <row r="318" spans="1:20" s="277" customFormat="1" ht="32.1" customHeight="1">
      <c r="A318" s="419" t="s">
        <v>153</v>
      </c>
      <c r="B318" s="238" t="s">
        <v>3230</v>
      </c>
      <c r="C318" s="238" t="s">
        <v>3231</v>
      </c>
      <c r="D318" s="114">
        <v>40</v>
      </c>
      <c r="E318" s="286"/>
      <c r="F318" s="286"/>
      <c r="G318" s="286"/>
      <c r="H318" s="286"/>
      <c r="I318" s="286">
        <v>97.4</v>
      </c>
      <c r="J318" s="286"/>
      <c r="K318" s="286"/>
      <c r="L318" s="286"/>
      <c r="M318" s="286">
        <v>97.4</v>
      </c>
      <c r="N318" s="286"/>
      <c r="O318" s="286"/>
      <c r="P318" s="286"/>
      <c r="Q318" s="204">
        <f t="shared" si="33"/>
        <v>97.4</v>
      </c>
      <c r="R318" s="204" t="str">
        <f t="shared" si="31"/>
        <v>NO</v>
      </c>
      <c r="S318" s="204" t="str">
        <f t="shared" si="32"/>
        <v>Inviable Sanitariamente</v>
      </c>
      <c r="T318" s="285"/>
    </row>
    <row r="319" spans="1:20" s="277" customFormat="1" ht="32.1" customHeight="1">
      <c r="A319" s="419" t="s">
        <v>153</v>
      </c>
      <c r="B319" s="238" t="s">
        <v>3232</v>
      </c>
      <c r="C319" s="238" t="s">
        <v>3233</v>
      </c>
      <c r="D319" s="119">
        <v>52</v>
      </c>
      <c r="E319" s="286"/>
      <c r="F319" s="286"/>
      <c r="G319" s="286"/>
      <c r="H319" s="286"/>
      <c r="I319" s="286"/>
      <c r="J319" s="286"/>
      <c r="K319" s="286"/>
      <c r="L319" s="286"/>
      <c r="M319" s="286"/>
      <c r="N319" s="286"/>
      <c r="O319" s="286"/>
      <c r="P319" s="286">
        <v>97.4</v>
      </c>
      <c r="Q319" s="204">
        <f t="shared" si="33"/>
        <v>97.4</v>
      </c>
      <c r="R319" s="204" t="str">
        <f t="shared" si="31"/>
        <v>NO</v>
      </c>
      <c r="S319" s="204" t="str">
        <f t="shared" si="32"/>
        <v>Inviable Sanitariamente</v>
      </c>
      <c r="T319" s="285"/>
    </row>
    <row r="320" spans="1:20" s="277" customFormat="1" ht="32.1" customHeight="1">
      <c r="A320" s="419" t="s">
        <v>154</v>
      </c>
      <c r="B320" s="238" t="s">
        <v>3234</v>
      </c>
      <c r="C320" s="238" t="s">
        <v>3235</v>
      </c>
      <c r="D320" s="119">
        <v>20</v>
      </c>
      <c r="E320" s="286"/>
      <c r="F320" s="286"/>
      <c r="G320" s="286"/>
      <c r="H320" s="286"/>
      <c r="I320" s="286"/>
      <c r="J320" s="286"/>
      <c r="K320" s="286"/>
      <c r="L320" s="286"/>
      <c r="M320" s="286">
        <v>97.3</v>
      </c>
      <c r="N320" s="286"/>
      <c r="O320" s="286"/>
      <c r="P320" s="286"/>
      <c r="Q320" s="204">
        <f t="shared" si="33"/>
        <v>97.3</v>
      </c>
      <c r="R320" s="204" t="str">
        <f t="shared" si="31"/>
        <v>NO</v>
      </c>
      <c r="S320" s="204" t="str">
        <f t="shared" si="32"/>
        <v>Inviable Sanitariamente</v>
      </c>
      <c r="T320" s="285"/>
    </row>
    <row r="321" spans="1:20" s="277" customFormat="1" ht="32.1" customHeight="1">
      <c r="A321" s="419" t="s">
        <v>154</v>
      </c>
      <c r="B321" s="238" t="s">
        <v>1552</v>
      </c>
      <c r="C321" s="238" t="s">
        <v>3236</v>
      </c>
      <c r="D321" s="119">
        <v>25</v>
      </c>
      <c r="E321" s="286"/>
      <c r="F321" s="286"/>
      <c r="G321" s="286"/>
      <c r="H321" s="286"/>
      <c r="I321" s="286"/>
      <c r="J321" s="286"/>
      <c r="K321" s="286"/>
      <c r="L321" s="286"/>
      <c r="M321" s="286"/>
      <c r="N321" s="286">
        <v>97.3</v>
      </c>
      <c r="O321" s="286"/>
      <c r="P321" s="286"/>
      <c r="Q321" s="204">
        <f t="shared" si="33"/>
        <v>97.3</v>
      </c>
      <c r="R321" s="204" t="str">
        <f t="shared" si="31"/>
        <v>NO</v>
      </c>
      <c r="S321" s="204" t="str">
        <f t="shared" si="32"/>
        <v>Inviable Sanitariamente</v>
      </c>
      <c r="T321" s="285"/>
    </row>
    <row r="322" spans="1:20" s="277" customFormat="1" ht="32.1" customHeight="1">
      <c r="A322" s="419" t="s">
        <v>154</v>
      </c>
      <c r="B322" s="238" t="s">
        <v>3237</v>
      </c>
      <c r="C322" s="238" t="s">
        <v>3238</v>
      </c>
      <c r="D322" s="119">
        <v>36</v>
      </c>
      <c r="E322" s="286"/>
      <c r="F322" s="286"/>
      <c r="G322" s="286"/>
      <c r="H322" s="286"/>
      <c r="I322" s="286"/>
      <c r="J322" s="286">
        <v>97.3</v>
      </c>
      <c r="K322" s="286">
        <v>97.3</v>
      </c>
      <c r="L322" s="286"/>
      <c r="M322" s="286"/>
      <c r="N322" s="286"/>
      <c r="O322" s="286"/>
      <c r="P322" s="286"/>
      <c r="Q322" s="204">
        <f t="shared" si="33"/>
        <v>97.3</v>
      </c>
      <c r="R322" s="204" t="str">
        <f t="shared" si="31"/>
        <v>NO</v>
      </c>
      <c r="S322" s="204" t="str">
        <f t="shared" si="32"/>
        <v>Inviable Sanitariamente</v>
      </c>
      <c r="T322" s="285"/>
    </row>
    <row r="323" spans="1:20" s="277" customFormat="1" ht="32.1" customHeight="1">
      <c r="A323" s="419" t="s">
        <v>154</v>
      </c>
      <c r="B323" s="238" t="s">
        <v>3239</v>
      </c>
      <c r="C323" s="238" t="s">
        <v>3240</v>
      </c>
      <c r="D323" s="119">
        <v>110</v>
      </c>
      <c r="E323" s="286">
        <v>97.3</v>
      </c>
      <c r="F323" s="286"/>
      <c r="G323" s="286"/>
      <c r="H323" s="286">
        <v>97.3</v>
      </c>
      <c r="I323" s="286"/>
      <c r="J323" s="286"/>
      <c r="K323" s="286">
        <v>53.1</v>
      </c>
      <c r="L323" s="286"/>
      <c r="M323" s="286"/>
      <c r="N323" s="286">
        <v>97.3</v>
      </c>
      <c r="O323" s="286">
        <v>53.1</v>
      </c>
      <c r="P323" s="286">
        <v>97.3</v>
      </c>
      <c r="Q323" s="204">
        <f t="shared" si="33"/>
        <v>82.566666666666677</v>
      </c>
      <c r="R323" s="204" t="str">
        <f t="shared" si="31"/>
        <v>NO</v>
      </c>
      <c r="S323" s="204" t="str">
        <f t="shared" si="32"/>
        <v>Inviable Sanitariamente</v>
      </c>
      <c r="T323" s="285"/>
    </row>
    <row r="324" spans="1:20" s="277" customFormat="1" ht="32.1" customHeight="1">
      <c r="A324" s="419" t="s">
        <v>154</v>
      </c>
      <c r="B324" s="238" t="s">
        <v>3241</v>
      </c>
      <c r="C324" s="238" t="s">
        <v>3242</v>
      </c>
      <c r="D324" s="119">
        <v>460</v>
      </c>
      <c r="E324" s="286"/>
      <c r="F324" s="286">
        <v>0</v>
      </c>
      <c r="G324" s="286">
        <v>0</v>
      </c>
      <c r="H324" s="286">
        <v>0</v>
      </c>
      <c r="I324" s="286">
        <v>0</v>
      </c>
      <c r="J324" s="286">
        <v>0</v>
      </c>
      <c r="K324" s="286">
        <v>0</v>
      </c>
      <c r="L324" s="286">
        <v>0</v>
      </c>
      <c r="M324" s="286">
        <v>0</v>
      </c>
      <c r="N324" s="286">
        <v>0</v>
      </c>
      <c r="O324" s="286">
        <v>0</v>
      </c>
      <c r="P324" s="286">
        <v>0</v>
      </c>
      <c r="Q324" s="204">
        <f t="shared" si="33"/>
        <v>0</v>
      </c>
      <c r="R324" s="204" t="str">
        <f t="shared" si="31"/>
        <v>SI</v>
      </c>
      <c r="S324" s="204" t="str">
        <f t="shared" si="32"/>
        <v>Sin Riesgo</v>
      </c>
      <c r="T324" s="285"/>
    </row>
    <row r="325" spans="1:20" s="277" customFormat="1" ht="32.1" customHeight="1">
      <c r="A325" s="419" t="s">
        <v>154</v>
      </c>
      <c r="B325" s="238" t="s">
        <v>3243</v>
      </c>
      <c r="C325" s="238" t="s">
        <v>3244</v>
      </c>
      <c r="D325" s="119">
        <v>106</v>
      </c>
      <c r="E325" s="286">
        <v>97.3</v>
      </c>
      <c r="F325" s="286"/>
      <c r="G325" s="286"/>
      <c r="H325" s="286">
        <v>97.3</v>
      </c>
      <c r="I325" s="286"/>
      <c r="J325" s="286">
        <v>97.3</v>
      </c>
      <c r="K325" s="286"/>
      <c r="L325" s="286">
        <v>97.3</v>
      </c>
      <c r="M325" s="286">
        <v>97.3</v>
      </c>
      <c r="N325" s="286"/>
      <c r="O325" s="286">
        <v>97.3</v>
      </c>
      <c r="P325" s="286"/>
      <c r="Q325" s="204">
        <f t="shared" si="33"/>
        <v>97.3</v>
      </c>
      <c r="R325" s="204" t="str">
        <f t="shared" si="31"/>
        <v>NO</v>
      </c>
      <c r="S325" s="204" t="str">
        <f t="shared" si="32"/>
        <v>Inviable Sanitariamente</v>
      </c>
      <c r="T325" s="285"/>
    </row>
    <row r="326" spans="1:20" s="277" customFormat="1" ht="32.1" customHeight="1">
      <c r="A326" s="419" t="s">
        <v>154</v>
      </c>
      <c r="B326" s="238" t="s">
        <v>3245</v>
      </c>
      <c r="C326" s="238" t="s">
        <v>3246</v>
      </c>
      <c r="D326" s="119">
        <v>215</v>
      </c>
      <c r="E326" s="286">
        <v>97.3</v>
      </c>
      <c r="F326" s="286"/>
      <c r="G326" s="286">
        <v>97.3</v>
      </c>
      <c r="H326" s="286">
        <v>97.3</v>
      </c>
      <c r="I326" s="286"/>
      <c r="J326" s="286">
        <v>97.3</v>
      </c>
      <c r="K326" s="286"/>
      <c r="L326" s="286">
        <v>53.1</v>
      </c>
      <c r="M326" s="286">
        <v>97.3</v>
      </c>
      <c r="N326" s="286">
        <v>97.3</v>
      </c>
      <c r="O326" s="286">
        <v>97.3</v>
      </c>
      <c r="P326" s="286">
        <v>97.3</v>
      </c>
      <c r="Q326" s="204">
        <f t="shared" si="33"/>
        <v>92.388888888888872</v>
      </c>
      <c r="R326" s="204" t="str">
        <f t="shared" si="31"/>
        <v>NO</v>
      </c>
      <c r="S326" s="204" t="str">
        <f t="shared" si="32"/>
        <v>Inviable Sanitariamente</v>
      </c>
      <c r="T326" s="285"/>
    </row>
    <row r="327" spans="1:20" s="277" customFormat="1" ht="32.1" customHeight="1">
      <c r="A327" s="419" t="s">
        <v>154</v>
      </c>
      <c r="B327" s="238" t="s">
        <v>3247</v>
      </c>
      <c r="C327" s="238" t="s">
        <v>3248</v>
      </c>
      <c r="D327" s="114">
        <v>83</v>
      </c>
      <c r="E327" s="286"/>
      <c r="F327" s="286"/>
      <c r="G327" s="286">
        <v>97.3</v>
      </c>
      <c r="H327" s="286"/>
      <c r="I327" s="286"/>
      <c r="J327" s="286"/>
      <c r="K327" s="286"/>
      <c r="L327" s="286">
        <v>97.3</v>
      </c>
      <c r="M327" s="286"/>
      <c r="N327" s="286"/>
      <c r="O327" s="286"/>
      <c r="P327" s="286"/>
      <c r="Q327" s="204">
        <f t="shared" si="33"/>
        <v>97.3</v>
      </c>
      <c r="R327" s="204" t="str">
        <f t="shared" si="31"/>
        <v>NO</v>
      </c>
      <c r="S327" s="204" t="str">
        <f t="shared" si="32"/>
        <v>Inviable Sanitariamente</v>
      </c>
      <c r="T327" s="285"/>
    </row>
    <row r="328" spans="1:20" s="277" customFormat="1" ht="32.1" customHeight="1">
      <c r="A328" s="419" t="s">
        <v>154</v>
      </c>
      <c r="B328" s="238" t="s">
        <v>3249</v>
      </c>
      <c r="C328" s="238" t="s">
        <v>3250</v>
      </c>
      <c r="D328" s="119">
        <v>22</v>
      </c>
      <c r="E328" s="286"/>
      <c r="F328" s="286"/>
      <c r="G328" s="286"/>
      <c r="H328" s="286"/>
      <c r="I328" s="152">
        <v>97.3</v>
      </c>
      <c r="J328" s="286"/>
      <c r="K328" s="286"/>
      <c r="L328" s="286"/>
      <c r="M328" s="286">
        <v>97.3</v>
      </c>
      <c r="N328" s="286"/>
      <c r="O328" s="286"/>
      <c r="P328" s="286"/>
      <c r="Q328" s="204">
        <f t="shared" si="33"/>
        <v>97.3</v>
      </c>
      <c r="R328" s="204" t="str">
        <f t="shared" si="31"/>
        <v>NO</v>
      </c>
      <c r="S328" s="204" t="str">
        <f t="shared" si="32"/>
        <v>Inviable Sanitariamente</v>
      </c>
      <c r="T328" s="285"/>
    </row>
    <row r="329" spans="1:20" s="277" customFormat="1" ht="32.1" customHeight="1">
      <c r="A329" s="419" t="s">
        <v>154</v>
      </c>
      <c r="B329" s="238" t="s">
        <v>1267</v>
      </c>
      <c r="C329" s="238" t="s">
        <v>3251</v>
      </c>
      <c r="D329" s="119">
        <v>46</v>
      </c>
      <c r="E329" s="286"/>
      <c r="F329" s="286"/>
      <c r="G329" s="152">
        <v>97.3</v>
      </c>
      <c r="H329" s="286"/>
      <c r="I329" s="286"/>
      <c r="J329" s="286"/>
      <c r="K329" s="286">
        <v>53.1</v>
      </c>
      <c r="L329" s="286"/>
      <c r="M329" s="286"/>
      <c r="N329" s="286"/>
      <c r="O329" s="286">
        <v>53.1</v>
      </c>
      <c r="P329" s="286"/>
      <c r="Q329" s="204">
        <f t="shared" si="33"/>
        <v>67.833333333333329</v>
      </c>
      <c r="R329" s="204" t="str">
        <f t="shared" si="31"/>
        <v>NO</v>
      </c>
      <c r="S329" s="204" t="str">
        <f t="shared" si="32"/>
        <v>Alto</v>
      </c>
      <c r="T329" s="285"/>
    </row>
    <row r="330" spans="1:20" s="277" customFormat="1" ht="32.1" customHeight="1">
      <c r="A330" s="419" t="s">
        <v>154</v>
      </c>
      <c r="B330" s="238" t="s">
        <v>3252</v>
      </c>
      <c r="C330" s="238" t="s">
        <v>3253</v>
      </c>
      <c r="D330" s="114">
        <v>15</v>
      </c>
      <c r="E330" s="286"/>
      <c r="F330" s="286">
        <v>97.3</v>
      </c>
      <c r="G330" s="286"/>
      <c r="H330" s="286"/>
      <c r="I330" s="286"/>
      <c r="J330" s="286"/>
      <c r="K330" s="286"/>
      <c r="L330" s="286">
        <v>53.1</v>
      </c>
      <c r="M330" s="286"/>
      <c r="N330" s="286"/>
      <c r="O330" s="286"/>
      <c r="P330" s="286"/>
      <c r="Q330" s="204">
        <f t="shared" si="33"/>
        <v>75.2</v>
      </c>
      <c r="R330" s="204" t="str">
        <f t="shared" si="31"/>
        <v>NO</v>
      </c>
      <c r="S330" s="204" t="str">
        <f t="shared" si="32"/>
        <v>Alto</v>
      </c>
      <c r="T330" s="285"/>
    </row>
    <row r="331" spans="1:20" s="277" customFormat="1" ht="32.1" customHeight="1">
      <c r="A331" s="419" t="s">
        <v>154</v>
      </c>
      <c r="B331" s="238" t="s">
        <v>3254</v>
      </c>
      <c r="C331" s="238" t="s">
        <v>3255</v>
      </c>
      <c r="D331" s="119">
        <v>200</v>
      </c>
      <c r="E331" s="286"/>
      <c r="F331" s="286">
        <v>97.3</v>
      </c>
      <c r="G331" s="286"/>
      <c r="H331" s="286"/>
      <c r="I331" s="286"/>
      <c r="J331" s="286"/>
      <c r="K331" s="286">
        <v>97.3</v>
      </c>
      <c r="L331" s="286"/>
      <c r="M331" s="286"/>
      <c r="N331" s="286">
        <v>97.3</v>
      </c>
      <c r="O331" s="286"/>
      <c r="P331" s="286"/>
      <c r="Q331" s="204">
        <f t="shared" si="33"/>
        <v>97.3</v>
      </c>
      <c r="R331" s="204" t="str">
        <f t="shared" si="31"/>
        <v>NO</v>
      </c>
      <c r="S331" s="204" t="str">
        <f t="shared" si="32"/>
        <v>Inviable Sanitariamente</v>
      </c>
      <c r="T331" s="285"/>
    </row>
    <row r="332" spans="1:20" s="277" customFormat="1" ht="32.1" customHeight="1">
      <c r="A332" s="419" t="s">
        <v>154</v>
      </c>
      <c r="B332" s="238" t="s">
        <v>8</v>
      </c>
      <c r="C332" s="238" t="s">
        <v>3256</v>
      </c>
      <c r="D332" s="119">
        <v>200</v>
      </c>
      <c r="E332" s="286"/>
      <c r="F332" s="286">
        <v>97.3</v>
      </c>
      <c r="G332" s="286"/>
      <c r="H332" s="286"/>
      <c r="I332" s="286">
        <v>97.3</v>
      </c>
      <c r="J332" s="286"/>
      <c r="K332" s="286"/>
      <c r="L332" s="286"/>
      <c r="M332" s="286"/>
      <c r="N332" s="286">
        <v>97.3</v>
      </c>
      <c r="O332" s="286"/>
      <c r="P332" s="286"/>
      <c r="Q332" s="204">
        <f t="shared" si="33"/>
        <v>97.3</v>
      </c>
      <c r="R332" s="204" t="str">
        <f t="shared" si="31"/>
        <v>NO</v>
      </c>
      <c r="S332" s="204" t="str">
        <f t="shared" si="32"/>
        <v>Inviable Sanitariamente</v>
      </c>
      <c r="T332" s="285"/>
    </row>
    <row r="333" spans="1:20" s="277" customFormat="1" ht="32.1" customHeight="1">
      <c r="A333" s="419" t="s">
        <v>154</v>
      </c>
      <c r="B333" s="238" t="s">
        <v>3257</v>
      </c>
      <c r="C333" s="238" t="s">
        <v>3258</v>
      </c>
      <c r="D333" s="114">
        <v>200</v>
      </c>
      <c r="E333" s="286"/>
      <c r="F333" s="286">
        <v>97.3</v>
      </c>
      <c r="G333" s="286"/>
      <c r="H333" s="286"/>
      <c r="I333" s="286"/>
      <c r="J333" s="286"/>
      <c r="K333" s="286"/>
      <c r="L333" s="286"/>
      <c r="M333" s="286"/>
      <c r="N333" s="286"/>
      <c r="O333" s="286"/>
      <c r="P333" s="286"/>
      <c r="Q333" s="204">
        <f t="shared" si="33"/>
        <v>97.3</v>
      </c>
      <c r="R333" s="204" t="str">
        <f t="shared" si="31"/>
        <v>NO</v>
      </c>
      <c r="S333" s="204" t="str">
        <f t="shared" si="32"/>
        <v>Inviable Sanitariamente</v>
      </c>
      <c r="T333" s="285"/>
    </row>
    <row r="334" spans="1:20" s="277" customFormat="1" ht="32.1" customHeight="1">
      <c r="A334" s="419" t="s">
        <v>154</v>
      </c>
      <c r="B334" s="238" t="s">
        <v>3259</v>
      </c>
      <c r="C334" s="238" t="s">
        <v>3260</v>
      </c>
      <c r="D334" s="119">
        <v>170</v>
      </c>
      <c r="E334" s="286"/>
      <c r="F334" s="286"/>
      <c r="G334" s="286"/>
      <c r="H334" s="286"/>
      <c r="I334" s="286">
        <v>97.3</v>
      </c>
      <c r="J334" s="286"/>
      <c r="K334" s="286"/>
      <c r="L334" s="286"/>
      <c r="M334" s="286"/>
      <c r="N334" s="286"/>
      <c r="O334" s="286">
        <v>97.3</v>
      </c>
      <c r="P334" s="286"/>
      <c r="Q334" s="204">
        <f t="shared" si="33"/>
        <v>97.3</v>
      </c>
      <c r="R334" s="204" t="str">
        <f t="shared" si="31"/>
        <v>NO</v>
      </c>
      <c r="S334" s="204" t="str">
        <f t="shared" si="32"/>
        <v>Inviable Sanitariamente</v>
      </c>
      <c r="T334" s="285"/>
    </row>
    <row r="335" spans="1:20" s="277" customFormat="1" ht="32.1" customHeight="1">
      <c r="A335" s="419" t="s">
        <v>154</v>
      </c>
      <c r="B335" s="238" t="s">
        <v>1351</v>
      </c>
      <c r="C335" s="238" t="s">
        <v>3261</v>
      </c>
      <c r="D335" s="119">
        <v>42</v>
      </c>
      <c r="E335" s="286"/>
      <c r="F335" s="286"/>
      <c r="G335" s="286"/>
      <c r="H335" s="286">
        <v>97.3</v>
      </c>
      <c r="I335" s="286"/>
      <c r="J335" s="286"/>
      <c r="K335" s="286"/>
      <c r="L335" s="286">
        <v>97.3</v>
      </c>
      <c r="M335" s="286"/>
      <c r="N335" s="286"/>
      <c r="O335" s="286"/>
      <c r="P335" s="286"/>
      <c r="Q335" s="204">
        <f t="shared" si="33"/>
        <v>97.3</v>
      </c>
      <c r="R335" s="204" t="str">
        <f t="shared" si="31"/>
        <v>NO</v>
      </c>
      <c r="S335" s="204" t="str">
        <f t="shared" si="32"/>
        <v>Inviable Sanitariamente</v>
      </c>
      <c r="T335" s="285"/>
    </row>
    <row r="336" spans="1:20" s="277" customFormat="1" ht="32.1" customHeight="1">
      <c r="A336" s="419" t="s">
        <v>154</v>
      </c>
      <c r="B336" s="238" t="s">
        <v>1742</v>
      </c>
      <c r="C336" s="238" t="s">
        <v>3262</v>
      </c>
      <c r="D336" s="119">
        <v>65</v>
      </c>
      <c r="E336" s="286"/>
      <c r="F336" s="286">
        <v>97.3</v>
      </c>
      <c r="G336" s="286"/>
      <c r="H336" s="286"/>
      <c r="I336" s="286"/>
      <c r="J336" s="286"/>
      <c r="K336" s="286"/>
      <c r="L336" s="286">
        <v>97.3</v>
      </c>
      <c r="M336" s="286"/>
      <c r="N336" s="286"/>
      <c r="O336" s="286"/>
      <c r="P336" s="286"/>
      <c r="Q336" s="204">
        <f t="shared" si="33"/>
        <v>97.3</v>
      </c>
      <c r="R336" s="204" t="str">
        <f t="shared" si="31"/>
        <v>NO</v>
      </c>
      <c r="S336" s="204" t="str">
        <f t="shared" si="32"/>
        <v>Inviable Sanitariamente</v>
      </c>
      <c r="T336" s="285"/>
    </row>
    <row r="337" spans="1:20" s="277" customFormat="1" ht="32.1" customHeight="1">
      <c r="A337" s="419" t="s">
        <v>154</v>
      </c>
      <c r="B337" s="238" t="s">
        <v>3263</v>
      </c>
      <c r="C337" s="238" t="s">
        <v>3264</v>
      </c>
      <c r="D337" s="119">
        <v>15</v>
      </c>
      <c r="E337" s="286"/>
      <c r="F337" s="286"/>
      <c r="G337" s="286"/>
      <c r="H337" s="286">
        <v>97.3</v>
      </c>
      <c r="I337" s="286"/>
      <c r="J337" s="286"/>
      <c r="K337" s="286"/>
      <c r="L337" s="286">
        <v>97.3</v>
      </c>
      <c r="M337" s="286"/>
      <c r="N337" s="286"/>
      <c r="O337" s="286"/>
      <c r="P337" s="286"/>
      <c r="Q337" s="204">
        <f t="shared" si="33"/>
        <v>97.3</v>
      </c>
      <c r="R337" s="204" t="str">
        <f t="shared" si="31"/>
        <v>NO</v>
      </c>
      <c r="S337" s="204" t="str">
        <f t="shared" si="32"/>
        <v>Inviable Sanitariamente</v>
      </c>
      <c r="T337" s="285"/>
    </row>
    <row r="338" spans="1:20" s="277" customFormat="1" ht="32.1" customHeight="1">
      <c r="A338" s="419" t="s">
        <v>154</v>
      </c>
      <c r="B338" s="238" t="s">
        <v>3265</v>
      </c>
      <c r="C338" s="238" t="s">
        <v>3266</v>
      </c>
      <c r="D338" s="119">
        <v>50</v>
      </c>
      <c r="E338" s="286"/>
      <c r="F338" s="286"/>
      <c r="G338" s="286">
        <v>97.3</v>
      </c>
      <c r="H338" s="286"/>
      <c r="I338" s="286"/>
      <c r="J338" s="286"/>
      <c r="K338" s="286"/>
      <c r="L338" s="286"/>
      <c r="M338" s="286">
        <v>97.3</v>
      </c>
      <c r="N338" s="286"/>
      <c r="O338" s="286"/>
      <c r="P338" s="286"/>
      <c r="Q338" s="204">
        <f t="shared" si="33"/>
        <v>97.3</v>
      </c>
      <c r="R338" s="204" t="str">
        <f t="shared" si="31"/>
        <v>NO</v>
      </c>
      <c r="S338" s="204" t="str">
        <f t="shared" si="32"/>
        <v>Inviable Sanitariamente</v>
      </c>
      <c r="T338" s="285"/>
    </row>
    <row r="339" spans="1:20" s="277" customFormat="1" ht="32.1" customHeight="1">
      <c r="A339" s="419" t="s">
        <v>154</v>
      </c>
      <c r="B339" s="238" t="s">
        <v>1046</v>
      </c>
      <c r="C339" s="238" t="s">
        <v>3267</v>
      </c>
      <c r="D339" s="119">
        <v>37</v>
      </c>
      <c r="E339" s="286"/>
      <c r="F339" s="286"/>
      <c r="G339" s="286">
        <v>97.3</v>
      </c>
      <c r="H339" s="286"/>
      <c r="I339" s="286"/>
      <c r="J339" s="286"/>
      <c r="K339" s="286">
        <v>97.3</v>
      </c>
      <c r="L339" s="286"/>
      <c r="M339" s="286"/>
      <c r="N339" s="286"/>
      <c r="O339" s="286"/>
      <c r="P339" s="286"/>
      <c r="Q339" s="204">
        <f t="shared" si="33"/>
        <v>97.3</v>
      </c>
      <c r="R339" s="204" t="str">
        <f t="shared" si="31"/>
        <v>NO</v>
      </c>
      <c r="S339" s="204" t="str">
        <f t="shared" si="32"/>
        <v>Inviable Sanitariamente</v>
      </c>
      <c r="T339" s="285"/>
    </row>
    <row r="340" spans="1:20" s="277" customFormat="1" ht="32.1" customHeight="1">
      <c r="A340" s="419" t="s">
        <v>154</v>
      </c>
      <c r="B340" s="238" t="s">
        <v>3268</v>
      </c>
      <c r="C340" s="238" t="s">
        <v>3269</v>
      </c>
      <c r="D340" s="119">
        <v>28</v>
      </c>
      <c r="E340" s="286"/>
      <c r="F340" s="286"/>
      <c r="G340" s="286"/>
      <c r="H340" s="286"/>
      <c r="I340" s="286">
        <v>97.3</v>
      </c>
      <c r="J340" s="286"/>
      <c r="K340" s="286"/>
      <c r="L340" s="286">
        <v>97.3</v>
      </c>
      <c r="M340" s="286"/>
      <c r="N340" s="286"/>
      <c r="O340" s="286"/>
      <c r="P340" s="286"/>
      <c r="Q340" s="204">
        <f t="shared" si="33"/>
        <v>97.3</v>
      </c>
      <c r="R340" s="204" t="str">
        <f t="shared" si="31"/>
        <v>NO</v>
      </c>
      <c r="S340" s="204" t="str">
        <f t="shared" si="32"/>
        <v>Inviable Sanitariamente</v>
      </c>
      <c r="T340" s="285"/>
    </row>
    <row r="341" spans="1:20" s="277" customFormat="1" ht="32.1" customHeight="1">
      <c r="A341" s="419" t="s">
        <v>154</v>
      </c>
      <c r="B341" s="238" t="s">
        <v>3270</v>
      </c>
      <c r="C341" s="238" t="s">
        <v>3271</v>
      </c>
      <c r="D341" s="119">
        <v>126</v>
      </c>
      <c r="E341" s="286"/>
      <c r="F341" s="286"/>
      <c r="G341" s="286"/>
      <c r="H341" s="286"/>
      <c r="I341" s="286"/>
      <c r="J341" s="286">
        <v>97.3</v>
      </c>
      <c r="K341" s="286">
        <v>53.1</v>
      </c>
      <c r="L341" s="286"/>
      <c r="M341" s="286"/>
      <c r="N341" s="286"/>
      <c r="O341" s="286">
        <v>53.1</v>
      </c>
      <c r="P341" s="286"/>
      <c r="Q341" s="204">
        <f t="shared" si="33"/>
        <v>67.833333333333329</v>
      </c>
      <c r="R341" s="204" t="str">
        <f t="shared" si="31"/>
        <v>NO</v>
      </c>
      <c r="S341" s="204" t="str">
        <f t="shared" si="32"/>
        <v>Alto</v>
      </c>
      <c r="T341" s="285"/>
    </row>
    <row r="342" spans="1:20" s="277" customFormat="1" ht="32.1" customHeight="1">
      <c r="A342" s="419" t="s">
        <v>154</v>
      </c>
      <c r="B342" s="238" t="s">
        <v>3272</v>
      </c>
      <c r="C342" s="238" t="s">
        <v>3273</v>
      </c>
      <c r="D342" s="119">
        <v>56</v>
      </c>
      <c r="E342" s="286">
        <v>97.3</v>
      </c>
      <c r="F342" s="286"/>
      <c r="G342" s="286"/>
      <c r="H342" s="286"/>
      <c r="I342" s="286"/>
      <c r="J342" s="286"/>
      <c r="K342" s="286">
        <v>97.3</v>
      </c>
      <c r="L342" s="286"/>
      <c r="M342" s="286"/>
      <c r="N342" s="286">
        <v>53.1</v>
      </c>
      <c r="O342" s="286"/>
      <c r="P342" s="286"/>
      <c r="Q342" s="204">
        <f t="shared" si="33"/>
        <v>82.566666666666663</v>
      </c>
      <c r="R342" s="204" t="str">
        <f t="shared" si="31"/>
        <v>NO</v>
      </c>
      <c r="S342" s="204" t="str">
        <f t="shared" si="32"/>
        <v>Inviable Sanitariamente</v>
      </c>
      <c r="T342" s="285"/>
    </row>
    <row r="343" spans="1:20" s="277" customFormat="1" ht="32.1" customHeight="1">
      <c r="A343" s="419" t="s">
        <v>154</v>
      </c>
      <c r="B343" s="238" t="s">
        <v>3274</v>
      </c>
      <c r="C343" s="238" t="s">
        <v>3275</v>
      </c>
      <c r="D343" s="119">
        <v>20</v>
      </c>
      <c r="E343" s="286"/>
      <c r="F343" s="286"/>
      <c r="G343" s="286"/>
      <c r="H343" s="286"/>
      <c r="I343" s="286">
        <v>97.3</v>
      </c>
      <c r="J343" s="286"/>
      <c r="K343" s="286"/>
      <c r="L343" s="286"/>
      <c r="M343" s="286">
        <v>97.3</v>
      </c>
      <c r="N343" s="286"/>
      <c r="O343" s="286"/>
      <c r="P343" s="286"/>
      <c r="Q343" s="204">
        <f t="shared" si="33"/>
        <v>97.3</v>
      </c>
      <c r="R343" s="204" t="str">
        <f t="shared" si="31"/>
        <v>NO</v>
      </c>
      <c r="S343" s="204" t="str">
        <f t="shared" si="32"/>
        <v>Inviable Sanitariamente</v>
      </c>
      <c r="T343" s="285"/>
    </row>
    <row r="344" spans="1:20" s="277" customFormat="1" ht="32.1" customHeight="1">
      <c r="A344" s="419" t="s">
        <v>154</v>
      </c>
      <c r="B344" s="238" t="s">
        <v>3276</v>
      </c>
      <c r="C344" s="238" t="s">
        <v>3277</v>
      </c>
      <c r="D344" s="119">
        <v>83</v>
      </c>
      <c r="E344" s="286"/>
      <c r="F344" s="286"/>
      <c r="G344" s="286"/>
      <c r="H344" s="286"/>
      <c r="I344" s="286"/>
      <c r="J344" s="286"/>
      <c r="K344" s="286"/>
      <c r="L344" s="286">
        <v>97.3</v>
      </c>
      <c r="M344" s="286"/>
      <c r="N344" s="286">
        <v>97.3</v>
      </c>
      <c r="O344" s="286"/>
      <c r="P344" s="286"/>
      <c r="Q344" s="204">
        <f t="shared" si="33"/>
        <v>97.3</v>
      </c>
      <c r="R344" s="204" t="str">
        <f t="shared" si="31"/>
        <v>NO</v>
      </c>
      <c r="S344" s="204" t="str">
        <f t="shared" si="32"/>
        <v>Inviable Sanitariamente</v>
      </c>
      <c r="T344" s="285"/>
    </row>
    <row r="345" spans="1:20" s="277" customFormat="1" ht="32.1" customHeight="1">
      <c r="A345" s="419" t="s">
        <v>154</v>
      </c>
      <c r="B345" s="238" t="s">
        <v>3278</v>
      </c>
      <c r="C345" s="238" t="s">
        <v>3279</v>
      </c>
      <c r="D345" s="119">
        <v>121</v>
      </c>
      <c r="E345" s="286"/>
      <c r="F345" s="286">
        <v>97.3</v>
      </c>
      <c r="G345" s="286"/>
      <c r="H345" s="286">
        <v>97.3</v>
      </c>
      <c r="I345" s="286">
        <v>97.3</v>
      </c>
      <c r="J345" s="286"/>
      <c r="K345" s="286">
        <v>97.3</v>
      </c>
      <c r="L345" s="286"/>
      <c r="M345" s="286"/>
      <c r="N345" s="286">
        <v>97.3</v>
      </c>
      <c r="O345" s="286"/>
      <c r="P345" s="286"/>
      <c r="Q345" s="204">
        <f t="shared" si="33"/>
        <v>97.3</v>
      </c>
      <c r="R345" s="204" t="str">
        <f t="shared" si="31"/>
        <v>NO</v>
      </c>
      <c r="S345" s="204" t="str">
        <f t="shared" si="32"/>
        <v>Inviable Sanitariamente</v>
      </c>
      <c r="T345" s="285"/>
    </row>
    <row r="346" spans="1:20" s="277" customFormat="1" ht="32.1" customHeight="1">
      <c r="A346" s="419" t="s">
        <v>154</v>
      </c>
      <c r="B346" s="238" t="s">
        <v>3280</v>
      </c>
      <c r="C346" s="238" t="s">
        <v>3281</v>
      </c>
      <c r="D346" s="119">
        <v>52</v>
      </c>
      <c r="E346" s="286"/>
      <c r="F346" s="286"/>
      <c r="G346" s="286">
        <v>97.3</v>
      </c>
      <c r="H346" s="286"/>
      <c r="I346" s="286"/>
      <c r="J346" s="286"/>
      <c r="K346" s="286">
        <v>53.1</v>
      </c>
      <c r="L346" s="286"/>
      <c r="M346" s="286"/>
      <c r="N346" s="286">
        <v>97.3</v>
      </c>
      <c r="O346" s="286"/>
      <c r="P346" s="286"/>
      <c r="Q346" s="204">
        <f t="shared" si="33"/>
        <v>82.566666666666663</v>
      </c>
      <c r="R346" s="204" t="str">
        <f t="shared" si="31"/>
        <v>NO</v>
      </c>
      <c r="S346" s="204" t="str">
        <f t="shared" si="32"/>
        <v>Inviable Sanitariamente</v>
      </c>
      <c r="T346" s="285"/>
    </row>
    <row r="347" spans="1:20" s="277" customFormat="1" ht="32.1" customHeight="1">
      <c r="A347" s="419" t="s">
        <v>154</v>
      </c>
      <c r="B347" s="238" t="s">
        <v>2</v>
      </c>
      <c r="C347" s="238" t="s">
        <v>3282</v>
      </c>
      <c r="D347" s="119">
        <v>10</v>
      </c>
      <c r="E347" s="286"/>
      <c r="F347" s="286">
        <v>97.3</v>
      </c>
      <c r="G347" s="286"/>
      <c r="H347" s="286"/>
      <c r="I347" s="286"/>
      <c r="J347" s="286"/>
      <c r="K347" s="286"/>
      <c r="L347" s="286">
        <v>53.1</v>
      </c>
      <c r="M347" s="286"/>
      <c r="N347" s="286"/>
      <c r="O347" s="286"/>
      <c r="P347" s="286"/>
      <c r="Q347" s="204">
        <f t="shared" si="33"/>
        <v>75.2</v>
      </c>
      <c r="R347" s="204" t="str">
        <f t="shared" si="31"/>
        <v>NO</v>
      </c>
      <c r="S347" s="204" t="str">
        <f t="shared" si="32"/>
        <v>Alto</v>
      </c>
      <c r="T347" s="285"/>
    </row>
    <row r="348" spans="1:20" s="277" customFormat="1" ht="32.1" customHeight="1">
      <c r="A348" s="419" t="s">
        <v>154</v>
      </c>
      <c r="B348" s="238" t="s">
        <v>49</v>
      </c>
      <c r="C348" s="238" t="s">
        <v>601</v>
      </c>
      <c r="D348" s="119">
        <v>10</v>
      </c>
      <c r="E348" s="286"/>
      <c r="F348" s="286"/>
      <c r="G348" s="286"/>
      <c r="H348" s="286">
        <v>97.3</v>
      </c>
      <c r="I348" s="286"/>
      <c r="J348" s="286"/>
      <c r="K348" s="286">
        <v>53.1</v>
      </c>
      <c r="L348" s="286"/>
      <c r="M348" s="286"/>
      <c r="N348" s="286"/>
      <c r="O348" s="286">
        <v>53.1</v>
      </c>
      <c r="P348" s="286"/>
      <c r="Q348" s="204">
        <f t="shared" si="33"/>
        <v>67.833333333333329</v>
      </c>
      <c r="R348" s="204" t="str">
        <f t="shared" si="31"/>
        <v>NO</v>
      </c>
      <c r="S348" s="204" t="str">
        <f t="shared" si="32"/>
        <v>Alto</v>
      </c>
      <c r="T348" s="285"/>
    </row>
    <row r="349" spans="1:20" s="277" customFormat="1" ht="32.1" customHeight="1">
      <c r="A349" s="419" t="s">
        <v>154</v>
      </c>
      <c r="B349" s="238" t="s">
        <v>3283</v>
      </c>
      <c r="C349" s="238" t="s">
        <v>3284</v>
      </c>
      <c r="D349" s="119">
        <v>20</v>
      </c>
      <c r="E349" s="286"/>
      <c r="F349" s="286"/>
      <c r="G349" s="286">
        <v>97.3</v>
      </c>
      <c r="H349" s="286"/>
      <c r="I349" s="286"/>
      <c r="J349" s="286"/>
      <c r="K349" s="286"/>
      <c r="L349" s="286">
        <v>53.1</v>
      </c>
      <c r="M349" s="286"/>
      <c r="N349" s="286"/>
      <c r="O349" s="286"/>
      <c r="P349" s="286"/>
      <c r="Q349" s="204">
        <f t="shared" si="33"/>
        <v>75.2</v>
      </c>
      <c r="R349" s="204" t="str">
        <f t="shared" si="31"/>
        <v>NO</v>
      </c>
      <c r="S349" s="204" t="str">
        <f t="shared" si="32"/>
        <v>Alto</v>
      </c>
      <c r="T349" s="285"/>
    </row>
    <row r="350" spans="1:20" s="277" customFormat="1" ht="32.1" customHeight="1">
      <c r="A350" s="419" t="s">
        <v>154</v>
      </c>
      <c r="B350" s="238" t="s">
        <v>1884</v>
      </c>
      <c r="C350" s="238" t="s">
        <v>3285</v>
      </c>
      <c r="D350" s="119">
        <v>22</v>
      </c>
      <c r="E350" s="286"/>
      <c r="F350" s="286">
        <v>97.3</v>
      </c>
      <c r="G350" s="286"/>
      <c r="H350" s="286"/>
      <c r="I350" s="286"/>
      <c r="J350" s="286"/>
      <c r="K350" s="286"/>
      <c r="L350" s="286">
        <v>97.3</v>
      </c>
      <c r="M350" s="286"/>
      <c r="N350" s="286"/>
      <c r="O350" s="286"/>
      <c r="P350" s="286"/>
      <c r="Q350" s="204">
        <f t="shared" si="33"/>
        <v>97.3</v>
      </c>
      <c r="R350" s="204" t="str">
        <f t="shared" si="31"/>
        <v>NO</v>
      </c>
      <c r="S350" s="204" t="str">
        <f t="shared" si="32"/>
        <v>Inviable Sanitariamente</v>
      </c>
      <c r="T350" s="285"/>
    </row>
    <row r="351" spans="1:20" s="277" customFormat="1" ht="32.1" customHeight="1">
      <c r="A351" s="419" t="s">
        <v>154</v>
      </c>
      <c r="B351" s="238" t="s">
        <v>3286</v>
      </c>
      <c r="C351" s="238" t="s">
        <v>3287</v>
      </c>
      <c r="D351" s="119">
        <v>72</v>
      </c>
      <c r="E351" s="286">
        <v>97.3</v>
      </c>
      <c r="F351" s="286"/>
      <c r="G351" s="286"/>
      <c r="H351" s="286"/>
      <c r="I351" s="286"/>
      <c r="J351" s="286"/>
      <c r="K351" s="286">
        <v>97.3</v>
      </c>
      <c r="L351" s="286"/>
      <c r="M351" s="286"/>
      <c r="N351" s="286">
        <v>97.3</v>
      </c>
      <c r="O351" s="286"/>
      <c r="P351" s="286"/>
      <c r="Q351" s="204">
        <f t="shared" si="33"/>
        <v>97.3</v>
      </c>
      <c r="R351" s="204" t="str">
        <f t="shared" ref="R351:R414" si="40">IF(Q351&lt;5,"SI","NO")</f>
        <v>NO</v>
      </c>
      <c r="S351" s="204" t="str">
        <f t="shared" si="32"/>
        <v>Inviable Sanitariamente</v>
      </c>
      <c r="T351" s="285"/>
    </row>
    <row r="352" spans="1:20" s="277" customFormat="1" ht="32.1" customHeight="1">
      <c r="A352" s="419" t="s">
        <v>154</v>
      </c>
      <c r="B352" s="238" t="s">
        <v>3288</v>
      </c>
      <c r="C352" s="238" t="s">
        <v>3289</v>
      </c>
      <c r="D352" s="119"/>
      <c r="E352" s="286"/>
      <c r="F352" s="286"/>
      <c r="G352" s="286"/>
      <c r="H352" s="286"/>
      <c r="I352" s="286"/>
      <c r="J352" s="286"/>
      <c r="K352" s="286"/>
      <c r="L352" s="286"/>
      <c r="M352" s="286"/>
      <c r="N352" s="286"/>
      <c r="O352" s="286"/>
      <c r="P352" s="286"/>
      <c r="Q352" s="204" t="e">
        <f t="shared" si="33"/>
        <v>#DIV/0!</v>
      </c>
      <c r="R352" s="204" t="e">
        <f t="shared" si="40"/>
        <v>#DIV/0!</v>
      </c>
      <c r="S352" s="204" t="e">
        <f t="shared" ref="S352:S415" si="41">IF(Q352&lt;=5,"Sin Riesgo",IF(Q352 &lt;=14,"Bajo",IF(Q352&lt;=35,"Medio",IF(Q352&lt;=80,"Alto","Inviable Sanitariamente"))))</f>
        <v>#DIV/0!</v>
      </c>
      <c r="T352" s="285"/>
    </row>
    <row r="353" spans="1:20" s="277" customFormat="1" ht="32.1" customHeight="1">
      <c r="A353" s="419" t="s">
        <v>155</v>
      </c>
      <c r="B353" s="238" t="s">
        <v>71</v>
      </c>
      <c r="C353" s="238" t="s">
        <v>3291</v>
      </c>
      <c r="D353" s="119"/>
      <c r="E353" s="286"/>
      <c r="F353" s="286"/>
      <c r="G353" s="286"/>
      <c r="H353" s="286"/>
      <c r="I353" s="286"/>
      <c r="J353" s="286"/>
      <c r="K353" s="286"/>
      <c r="L353" s="286"/>
      <c r="M353" s="286"/>
      <c r="N353" s="286"/>
      <c r="O353" s="286"/>
      <c r="P353" s="286"/>
      <c r="Q353" s="204" t="e">
        <f t="shared" si="33"/>
        <v>#DIV/0!</v>
      </c>
      <c r="R353" s="204" t="e">
        <f t="shared" si="40"/>
        <v>#DIV/0!</v>
      </c>
      <c r="S353" s="204" t="e">
        <f t="shared" si="41"/>
        <v>#DIV/0!</v>
      </c>
      <c r="T353" s="285"/>
    </row>
    <row r="354" spans="1:20" s="277" customFormat="1" ht="32.1" customHeight="1">
      <c r="A354" s="419" t="s">
        <v>155</v>
      </c>
      <c r="B354" s="238" t="s">
        <v>2420</v>
      </c>
      <c r="C354" s="238" t="s">
        <v>3292</v>
      </c>
      <c r="D354" s="119">
        <v>375</v>
      </c>
      <c r="E354" s="286"/>
      <c r="F354" s="286"/>
      <c r="G354" s="286"/>
      <c r="H354" s="286"/>
      <c r="I354" s="286"/>
      <c r="J354" s="286">
        <v>97.3</v>
      </c>
      <c r="K354" s="286"/>
      <c r="L354" s="286"/>
      <c r="M354" s="286"/>
      <c r="N354" s="286"/>
      <c r="O354" s="286"/>
      <c r="P354" s="286"/>
      <c r="Q354" s="204">
        <f t="shared" si="33"/>
        <v>97.3</v>
      </c>
      <c r="R354" s="204" t="str">
        <f t="shared" si="40"/>
        <v>NO</v>
      </c>
      <c r="S354" s="204" t="str">
        <f t="shared" si="41"/>
        <v>Inviable Sanitariamente</v>
      </c>
      <c r="T354" s="285"/>
    </row>
    <row r="355" spans="1:20" s="277" customFormat="1" ht="32.1" customHeight="1">
      <c r="A355" s="419" t="s">
        <v>155</v>
      </c>
      <c r="B355" s="238" t="s">
        <v>3293</v>
      </c>
      <c r="C355" s="238" t="s">
        <v>3294</v>
      </c>
      <c r="D355" s="119">
        <v>125</v>
      </c>
      <c r="E355" s="286"/>
      <c r="F355" s="286"/>
      <c r="G355" s="286"/>
      <c r="H355" s="286"/>
      <c r="I355" s="286">
        <v>97.3</v>
      </c>
      <c r="J355" s="286"/>
      <c r="K355" s="286"/>
      <c r="L355" s="286"/>
      <c r="M355" s="286"/>
      <c r="N355" s="286"/>
      <c r="O355" s="286"/>
      <c r="P355" s="286"/>
      <c r="Q355" s="204">
        <f t="shared" si="33"/>
        <v>97.3</v>
      </c>
      <c r="R355" s="204" t="str">
        <f t="shared" si="40"/>
        <v>NO</v>
      </c>
      <c r="S355" s="204" t="str">
        <f t="shared" si="41"/>
        <v>Inviable Sanitariamente</v>
      </c>
      <c r="T355" s="285"/>
    </row>
    <row r="356" spans="1:20" s="277" customFormat="1" ht="32.1" customHeight="1">
      <c r="A356" s="419" t="s">
        <v>155</v>
      </c>
      <c r="B356" s="238" t="s">
        <v>3295</v>
      </c>
      <c r="C356" s="238" t="s">
        <v>3296</v>
      </c>
      <c r="D356" s="119">
        <v>153</v>
      </c>
      <c r="E356" s="286">
        <v>38.700000000000003</v>
      </c>
      <c r="F356" s="286">
        <v>0</v>
      </c>
      <c r="G356" s="286">
        <v>19.399999999999999</v>
      </c>
      <c r="H356" s="286">
        <v>19.399999999999999</v>
      </c>
      <c r="I356" s="286">
        <v>39.1</v>
      </c>
      <c r="J356" s="286">
        <v>46.5</v>
      </c>
      <c r="K356" s="286"/>
      <c r="L356" s="286"/>
      <c r="M356" s="286"/>
      <c r="N356" s="286"/>
      <c r="O356" s="286"/>
      <c r="P356" s="286"/>
      <c r="Q356" s="204">
        <f t="shared" si="33"/>
        <v>27.183333333333334</v>
      </c>
      <c r="R356" s="204" t="str">
        <f t="shared" si="40"/>
        <v>NO</v>
      </c>
      <c r="S356" s="204" t="str">
        <f t="shared" si="41"/>
        <v>Medio</v>
      </c>
      <c r="T356" s="285"/>
    </row>
    <row r="357" spans="1:20" s="277" customFormat="1" ht="32.1" customHeight="1">
      <c r="A357" s="419" t="s">
        <v>155</v>
      </c>
      <c r="B357" s="238" t="s">
        <v>3297</v>
      </c>
      <c r="C357" s="238" t="s">
        <v>3298</v>
      </c>
      <c r="D357" s="119"/>
      <c r="E357" s="286"/>
      <c r="F357" s="286"/>
      <c r="G357" s="286"/>
      <c r="H357" s="286"/>
      <c r="I357" s="286"/>
      <c r="J357" s="286"/>
      <c r="K357" s="286"/>
      <c r="L357" s="286"/>
      <c r="M357" s="286"/>
      <c r="N357" s="286"/>
      <c r="O357" s="286"/>
      <c r="P357" s="286"/>
      <c r="Q357" s="204" t="e">
        <f t="shared" si="33"/>
        <v>#DIV/0!</v>
      </c>
      <c r="R357" s="204" t="e">
        <f t="shared" si="40"/>
        <v>#DIV/0!</v>
      </c>
      <c r="S357" s="204" t="e">
        <f t="shared" si="41"/>
        <v>#DIV/0!</v>
      </c>
      <c r="T357" s="285"/>
    </row>
    <row r="358" spans="1:20" s="277" customFormat="1" ht="32.1" customHeight="1">
      <c r="A358" s="419" t="s">
        <v>155</v>
      </c>
      <c r="B358" s="238" t="s">
        <v>3299</v>
      </c>
      <c r="C358" s="238" t="s">
        <v>3300</v>
      </c>
      <c r="D358" s="119">
        <v>270</v>
      </c>
      <c r="E358" s="286">
        <v>0</v>
      </c>
      <c r="F358" s="286">
        <v>0</v>
      </c>
      <c r="G358" s="286">
        <v>0</v>
      </c>
      <c r="H358" s="286">
        <v>0</v>
      </c>
      <c r="I358" s="286">
        <v>0</v>
      </c>
      <c r="J358" s="286">
        <v>6.5</v>
      </c>
      <c r="K358" s="286"/>
      <c r="L358" s="286"/>
      <c r="M358" s="286"/>
      <c r="N358" s="286"/>
      <c r="O358" s="286"/>
      <c r="P358" s="286"/>
      <c r="Q358" s="204">
        <f t="shared" si="33"/>
        <v>1.0833333333333333</v>
      </c>
      <c r="R358" s="204" t="str">
        <f t="shared" si="40"/>
        <v>SI</v>
      </c>
      <c r="S358" s="204" t="str">
        <f t="shared" si="41"/>
        <v>Sin Riesgo</v>
      </c>
      <c r="T358" s="285"/>
    </row>
    <row r="359" spans="1:20" s="277" customFormat="1" ht="32.1" customHeight="1">
      <c r="A359" s="419" t="s">
        <v>155</v>
      </c>
      <c r="B359" s="238" t="s">
        <v>3301</v>
      </c>
      <c r="C359" s="238" t="s">
        <v>3302</v>
      </c>
      <c r="D359" s="119">
        <v>71</v>
      </c>
      <c r="E359" s="286"/>
      <c r="F359" s="286"/>
      <c r="G359" s="286"/>
      <c r="H359" s="286"/>
      <c r="I359" s="286">
        <v>97.3</v>
      </c>
      <c r="J359" s="286"/>
      <c r="K359" s="286"/>
      <c r="L359" s="286"/>
      <c r="M359" s="286"/>
      <c r="N359" s="286"/>
      <c r="O359" s="286"/>
      <c r="P359" s="286"/>
      <c r="Q359" s="204">
        <f t="shared" si="33"/>
        <v>97.3</v>
      </c>
      <c r="R359" s="204" t="str">
        <f t="shared" si="40"/>
        <v>NO</v>
      </c>
      <c r="S359" s="204" t="str">
        <f t="shared" si="41"/>
        <v>Inviable Sanitariamente</v>
      </c>
      <c r="T359" s="285"/>
    </row>
    <row r="360" spans="1:20" s="277" customFormat="1" ht="32.1" customHeight="1">
      <c r="A360" s="419" t="s">
        <v>155</v>
      </c>
      <c r="B360" s="238" t="s">
        <v>3303</v>
      </c>
      <c r="C360" s="238" t="s">
        <v>3304</v>
      </c>
      <c r="D360" s="119"/>
      <c r="E360" s="286"/>
      <c r="F360" s="286"/>
      <c r="G360" s="286"/>
      <c r="H360" s="286"/>
      <c r="I360" s="286"/>
      <c r="J360" s="286"/>
      <c r="K360" s="286"/>
      <c r="L360" s="286"/>
      <c r="M360" s="286"/>
      <c r="N360" s="286"/>
      <c r="O360" s="286"/>
      <c r="P360" s="286"/>
      <c r="Q360" s="204" t="e">
        <f t="shared" si="33"/>
        <v>#DIV/0!</v>
      </c>
      <c r="R360" s="204" t="e">
        <f t="shared" si="40"/>
        <v>#DIV/0!</v>
      </c>
      <c r="S360" s="204" t="e">
        <f t="shared" si="41"/>
        <v>#DIV/0!</v>
      </c>
      <c r="T360" s="285"/>
    </row>
    <row r="361" spans="1:20" s="277" customFormat="1" ht="50.1" customHeight="1">
      <c r="A361" s="419" t="s">
        <v>156</v>
      </c>
      <c r="B361" s="238" t="s">
        <v>3305</v>
      </c>
      <c r="C361" s="238" t="s">
        <v>4386</v>
      </c>
      <c r="D361" s="119">
        <v>20</v>
      </c>
      <c r="E361" s="286"/>
      <c r="F361" s="286"/>
      <c r="G361" s="286"/>
      <c r="H361" s="286"/>
      <c r="I361" s="286"/>
      <c r="J361" s="286"/>
      <c r="K361" s="286"/>
      <c r="L361" s="286"/>
      <c r="M361" s="286"/>
      <c r="N361" s="286"/>
      <c r="O361" s="286"/>
      <c r="P361" s="286"/>
      <c r="Q361" s="204" t="e">
        <f t="shared" si="33"/>
        <v>#DIV/0!</v>
      </c>
      <c r="R361" s="204" t="e">
        <f t="shared" si="40"/>
        <v>#DIV/0!</v>
      </c>
      <c r="S361" s="204" t="e">
        <f t="shared" si="41"/>
        <v>#DIV/0!</v>
      </c>
      <c r="T361" s="285"/>
    </row>
    <row r="362" spans="1:20" s="277" customFormat="1" ht="50.1" customHeight="1">
      <c r="A362" s="419" t="s">
        <v>156</v>
      </c>
      <c r="B362" s="238" t="s">
        <v>3306</v>
      </c>
      <c r="C362" s="238" t="s">
        <v>4387</v>
      </c>
      <c r="D362" s="119">
        <v>18</v>
      </c>
      <c r="E362" s="286"/>
      <c r="F362" s="286"/>
      <c r="G362" s="286"/>
      <c r="H362" s="286"/>
      <c r="I362" s="286"/>
      <c r="J362" s="286"/>
      <c r="K362" s="286"/>
      <c r="L362" s="286"/>
      <c r="M362" s="286"/>
      <c r="N362" s="286"/>
      <c r="O362" s="286"/>
      <c r="P362" s="286"/>
      <c r="Q362" s="204" t="e">
        <f t="shared" si="33"/>
        <v>#DIV/0!</v>
      </c>
      <c r="R362" s="204" t="e">
        <f t="shared" si="40"/>
        <v>#DIV/0!</v>
      </c>
      <c r="S362" s="204" t="e">
        <f t="shared" si="41"/>
        <v>#DIV/0!</v>
      </c>
      <c r="T362" s="285"/>
    </row>
    <row r="363" spans="1:20" s="277" customFormat="1" ht="50.1" customHeight="1">
      <c r="A363" s="419" t="s">
        <v>156</v>
      </c>
      <c r="B363" s="238" t="s">
        <v>3307</v>
      </c>
      <c r="C363" s="238" t="s">
        <v>4388</v>
      </c>
      <c r="D363" s="119">
        <v>20</v>
      </c>
      <c r="E363" s="286"/>
      <c r="F363" s="286"/>
      <c r="G363" s="286"/>
      <c r="H363" s="286"/>
      <c r="I363" s="286"/>
      <c r="J363" s="286"/>
      <c r="K363" s="286"/>
      <c r="L363" s="286"/>
      <c r="M363" s="286"/>
      <c r="N363" s="286"/>
      <c r="O363" s="286"/>
      <c r="P363" s="286"/>
      <c r="Q363" s="204" t="e">
        <f t="shared" si="33"/>
        <v>#DIV/0!</v>
      </c>
      <c r="R363" s="204" t="e">
        <f t="shared" si="40"/>
        <v>#DIV/0!</v>
      </c>
      <c r="S363" s="204" t="e">
        <f t="shared" si="41"/>
        <v>#DIV/0!</v>
      </c>
      <c r="T363" s="285"/>
    </row>
    <row r="364" spans="1:20" s="277" customFormat="1" ht="50.1" customHeight="1">
      <c r="A364" s="419" t="s">
        <v>156</v>
      </c>
      <c r="B364" s="238" t="s">
        <v>3308</v>
      </c>
      <c r="C364" s="238" t="s">
        <v>4389</v>
      </c>
      <c r="D364" s="119">
        <v>27</v>
      </c>
      <c r="E364" s="286"/>
      <c r="F364" s="286"/>
      <c r="G364" s="286"/>
      <c r="H364" s="286"/>
      <c r="I364" s="286"/>
      <c r="J364" s="286"/>
      <c r="K364" s="286"/>
      <c r="L364" s="286"/>
      <c r="M364" s="286"/>
      <c r="N364" s="286"/>
      <c r="O364" s="286"/>
      <c r="P364" s="286"/>
      <c r="Q364" s="204" t="e">
        <f t="shared" si="33"/>
        <v>#DIV/0!</v>
      </c>
      <c r="R364" s="204" t="e">
        <f t="shared" si="40"/>
        <v>#DIV/0!</v>
      </c>
      <c r="S364" s="204" t="e">
        <f t="shared" si="41"/>
        <v>#DIV/0!</v>
      </c>
      <c r="T364" s="285"/>
    </row>
    <row r="365" spans="1:20" s="277" customFormat="1" ht="50.1" customHeight="1">
      <c r="A365" s="419" t="s">
        <v>156</v>
      </c>
      <c r="B365" s="238" t="s">
        <v>3309</v>
      </c>
      <c r="C365" s="238" t="s">
        <v>4390</v>
      </c>
      <c r="D365" s="119">
        <v>32</v>
      </c>
      <c r="E365" s="286"/>
      <c r="F365" s="286"/>
      <c r="G365" s="286"/>
      <c r="H365" s="286"/>
      <c r="I365" s="286"/>
      <c r="J365" s="286"/>
      <c r="K365" s="286"/>
      <c r="L365" s="286"/>
      <c r="M365" s="286"/>
      <c r="N365" s="286"/>
      <c r="O365" s="286"/>
      <c r="P365" s="286"/>
      <c r="Q365" s="204" t="e">
        <f t="shared" si="33"/>
        <v>#DIV/0!</v>
      </c>
      <c r="R365" s="204" t="e">
        <f t="shared" si="40"/>
        <v>#DIV/0!</v>
      </c>
      <c r="S365" s="204" t="e">
        <f t="shared" si="41"/>
        <v>#DIV/0!</v>
      </c>
      <c r="T365" s="285"/>
    </row>
    <row r="366" spans="1:20" s="277" customFormat="1" ht="50.1" customHeight="1">
      <c r="A366" s="419" t="s">
        <v>156</v>
      </c>
      <c r="B366" s="238" t="s">
        <v>3310</v>
      </c>
      <c r="C366" s="238" t="s">
        <v>4391</v>
      </c>
      <c r="D366" s="119">
        <v>28</v>
      </c>
      <c r="E366" s="286"/>
      <c r="F366" s="286"/>
      <c r="G366" s="286"/>
      <c r="H366" s="286"/>
      <c r="I366" s="286"/>
      <c r="J366" s="286"/>
      <c r="K366" s="286"/>
      <c r="L366" s="286"/>
      <c r="M366" s="286"/>
      <c r="N366" s="286"/>
      <c r="O366" s="286"/>
      <c r="P366" s="286"/>
      <c r="Q366" s="204" t="e">
        <f t="shared" ref="Q366:Q429" si="42">AVERAGE(E366:P366)</f>
        <v>#DIV/0!</v>
      </c>
      <c r="R366" s="204" t="e">
        <f t="shared" si="40"/>
        <v>#DIV/0!</v>
      </c>
      <c r="S366" s="204" t="e">
        <f t="shared" si="41"/>
        <v>#DIV/0!</v>
      </c>
      <c r="T366" s="285"/>
    </row>
    <row r="367" spans="1:20" s="277" customFormat="1" ht="50.1" customHeight="1">
      <c r="A367" s="419" t="s">
        <v>156</v>
      </c>
      <c r="B367" s="238" t="s">
        <v>3311</v>
      </c>
      <c r="C367" s="238" t="s">
        <v>4392</v>
      </c>
      <c r="D367" s="119">
        <v>150</v>
      </c>
      <c r="E367" s="286"/>
      <c r="F367" s="286"/>
      <c r="G367" s="286"/>
      <c r="H367" s="286"/>
      <c r="I367" s="286"/>
      <c r="J367" s="286"/>
      <c r="K367" s="286"/>
      <c r="L367" s="286"/>
      <c r="M367" s="286"/>
      <c r="N367" s="286"/>
      <c r="O367" s="286"/>
      <c r="P367" s="286"/>
      <c r="Q367" s="204" t="e">
        <f t="shared" si="42"/>
        <v>#DIV/0!</v>
      </c>
      <c r="R367" s="204" t="e">
        <f t="shared" si="40"/>
        <v>#DIV/0!</v>
      </c>
      <c r="S367" s="204" t="e">
        <f t="shared" si="41"/>
        <v>#DIV/0!</v>
      </c>
      <c r="T367" s="285"/>
    </row>
    <row r="368" spans="1:20" s="277" customFormat="1" ht="50.1" customHeight="1">
      <c r="A368" s="419" t="s">
        <v>156</v>
      </c>
      <c r="B368" s="238" t="s">
        <v>94</v>
      </c>
      <c r="C368" s="238" t="s">
        <v>4394</v>
      </c>
      <c r="D368" s="114">
        <v>19</v>
      </c>
      <c r="E368" s="286"/>
      <c r="F368" s="286"/>
      <c r="G368" s="286"/>
      <c r="H368" s="286"/>
      <c r="I368" s="286"/>
      <c r="J368" s="286"/>
      <c r="K368" s="286"/>
      <c r="L368" s="286"/>
      <c r="M368" s="286"/>
      <c r="N368" s="286"/>
      <c r="O368" s="286"/>
      <c r="P368" s="286"/>
      <c r="Q368" s="204" t="e">
        <f t="shared" si="42"/>
        <v>#DIV/0!</v>
      </c>
      <c r="R368" s="204" t="e">
        <f t="shared" si="40"/>
        <v>#DIV/0!</v>
      </c>
      <c r="S368" s="204" t="e">
        <f t="shared" si="41"/>
        <v>#DIV/0!</v>
      </c>
      <c r="T368" s="285"/>
    </row>
    <row r="369" spans="1:20" s="277" customFormat="1" ht="50.1" customHeight="1">
      <c r="A369" s="419" t="s">
        <v>156</v>
      </c>
      <c r="B369" s="238" t="s">
        <v>3312</v>
      </c>
      <c r="C369" s="238" t="s">
        <v>4393</v>
      </c>
      <c r="D369" s="119">
        <v>45</v>
      </c>
      <c r="E369" s="286"/>
      <c r="F369" s="286"/>
      <c r="G369" s="286"/>
      <c r="H369" s="286"/>
      <c r="I369" s="286"/>
      <c r="J369" s="286"/>
      <c r="K369" s="286"/>
      <c r="L369" s="286"/>
      <c r="M369" s="286"/>
      <c r="N369" s="286"/>
      <c r="O369" s="286"/>
      <c r="P369" s="286"/>
      <c r="Q369" s="204" t="e">
        <f t="shared" si="42"/>
        <v>#DIV/0!</v>
      </c>
      <c r="R369" s="204" t="e">
        <f t="shared" si="40"/>
        <v>#DIV/0!</v>
      </c>
      <c r="S369" s="204" t="e">
        <f t="shared" si="41"/>
        <v>#DIV/0!</v>
      </c>
      <c r="T369" s="285"/>
    </row>
    <row r="370" spans="1:20" s="277" customFormat="1" ht="50.1" customHeight="1">
      <c r="A370" s="419" t="s">
        <v>156</v>
      </c>
      <c r="B370" s="238" t="s">
        <v>3313</v>
      </c>
      <c r="C370" s="238" t="s">
        <v>4395</v>
      </c>
      <c r="D370" s="119">
        <v>15</v>
      </c>
      <c r="E370" s="286"/>
      <c r="F370" s="286"/>
      <c r="G370" s="286"/>
      <c r="H370" s="286"/>
      <c r="I370" s="286"/>
      <c r="J370" s="286"/>
      <c r="K370" s="286"/>
      <c r="L370" s="286"/>
      <c r="M370" s="286"/>
      <c r="N370" s="286"/>
      <c r="O370" s="286"/>
      <c r="P370" s="286"/>
      <c r="Q370" s="204" t="e">
        <f t="shared" si="42"/>
        <v>#DIV/0!</v>
      </c>
      <c r="R370" s="204" t="e">
        <f t="shared" si="40"/>
        <v>#DIV/0!</v>
      </c>
      <c r="S370" s="204" t="e">
        <f t="shared" si="41"/>
        <v>#DIV/0!</v>
      </c>
      <c r="T370" s="285"/>
    </row>
    <row r="371" spans="1:20" s="277" customFormat="1" ht="50.1" customHeight="1">
      <c r="A371" s="419" t="s">
        <v>156</v>
      </c>
      <c r="B371" s="238" t="s">
        <v>3314</v>
      </c>
      <c r="C371" s="238" t="s">
        <v>4396</v>
      </c>
      <c r="D371" s="114">
        <v>17</v>
      </c>
      <c r="E371" s="286"/>
      <c r="F371" s="286"/>
      <c r="G371" s="286"/>
      <c r="H371" s="286"/>
      <c r="I371" s="286"/>
      <c r="J371" s="286"/>
      <c r="K371" s="286"/>
      <c r="L371" s="286"/>
      <c r="M371" s="286"/>
      <c r="N371" s="286"/>
      <c r="O371" s="286"/>
      <c r="P371" s="286"/>
      <c r="Q371" s="204" t="e">
        <f t="shared" si="42"/>
        <v>#DIV/0!</v>
      </c>
      <c r="R371" s="204" t="e">
        <f t="shared" si="40"/>
        <v>#DIV/0!</v>
      </c>
      <c r="S371" s="204" t="e">
        <f t="shared" si="41"/>
        <v>#DIV/0!</v>
      </c>
      <c r="T371" s="285"/>
    </row>
    <row r="372" spans="1:20" s="277" customFormat="1" ht="50.1" customHeight="1">
      <c r="A372" s="419" t="s">
        <v>156</v>
      </c>
      <c r="B372" s="238" t="s">
        <v>3315</v>
      </c>
      <c r="C372" s="238" t="s">
        <v>4397</v>
      </c>
      <c r="D372" s="119">
        <v>16</v>
      </c>
      <c r="E372" s="286"/>
      <c r="F372" s="286"/>
      <c r="G372" s="286"/>
      <c r="H372" s="286"/>
      <c r="I372" s="286"/>
      <c r="J372" s="286"/>
      <c r="K372" s="286"/>
      <c r="L372" s="286"/>
      <c r="M372" s="286"/>
      <c r="N372" s="286"/>
      <c r="O372" s="286"/>
      <c r="P372" s="286"/>
      <c r="Q372" s="204" t="e">
        <f t="shared" si="42"/>
        <v>#DIV/0!</v>
      </c>
      <c r="R372" s="204" t="e">
        <f t="shared" si="40"/>
        <v>#DIV/0!</v>
      </c>
      <c r="S372" s="204" t="e">
        <f t="shared" si="41"/>
        <v>#DIV/0!</v>
      </c>
      <c r="T372" s="285"/>
    </row>
    <row r="373" spans="1:20" s="277" customFormat="1" ht="50.1" customHeight="1">
      <c r="A373" s="419" t="s">
        <v>156</v>
      </c>
      <c r="B373" s="238" t="s">
        <v>1250</v>
      </c>
      <c r="C373" s="238" t="s">
        <v>4399</v>
      </c>
      <c r="D373" s="119">
        <v>21</v>
      </c>
      <c r="E373" s="286"/>
      <c r="F373" s="286"/>
      <c r="G373" s="286"/>
      <c r="H373" s="286"/>
      <c r="I373" s="286"/>
      <c r="J373" s="286"/>
      <c r="K373" s="286"/>
      <c r="L373" s="286"/>
      <c r="M373" s="286"/>
      <c r="N373" s="286"/>
      <c r="O373" s="286"/>
      <c r="P373" s="286"/>
      <c r="Q373" s="204" t="e">
        <f t="shared" si="42"/>
        <v>#DIV/0!</v>
      </c>
      <c r="R373" s="204" t="e">
        <f t="shared" si="40"/>
        <v>#DIV/0!</v>
      </c>
      <c r="S373" s="204" t="e">
        <f t="shared" si="41"/>
        <v>#DIV/0!</v>
      </c>
      <c r="T373" s="285"/>
    </row>
    <row r="374" spans="1:20" s="277" customFormat="1" ht="50.1" customHeight="1">
      <c r="A374" s="419" t="s">
        <v>156</v>
      </c>
      <c r="B374" s="238" t="s">
        <v>3316</v>
      </c>
      <c r="C374" s="238" t="s">
        <v>4398</v>
      </c>
      <c r="D374" s="114">
        <v>15</v>
      </c>
      <c r="E374" s="286"/>
      <c r="F374" s="286"/>
      <c r="G374" s="286"/>
      <c r="H374" s="286"/>
      <c r="I374" s="286"/>
      <c r="J374" s="286"/>
      <c r="K374" s="286"/>
      <c r="L374" s="286"/>
      <c r="M374" s="286"/>
      <c r="N374" s="286"/>
      <c r="O374" s="286"/>
      <c r="P374" s="286"/>
      <c r="Q374" s="204" t="e">
        <f t="shared" si="42"/>
        <v>#DIV/0!</v>
      </c>
      <c r="R374" s="204" t="e">
        <f t="shared" si="40"/>
        <v>#DIV/0!</v>
      </c>
      <c r="S374" s="204" t="e">
        <f t="shared" si="41"/>
        <v>#DIV/0!</v>
      </c>
      <c r="T374" s="285"/>
    </row>
    <row r="375" spans="1:20" s="277" customFormat="1" ht="50.1" customHeight="1">
      <c r="A375" s="419" t="s">
        <v>156</v>
      </c>
      <c r="B375" s="238" t="s">
        <v>3317</v>
      </c>
      <c r="C375" s="238" t="s">
        <v>4400</v>
      </c>
      <c r="D375" s="119">
        <v>17</v>
      </c>
      <c r="E375" s="286"/>
      <c r="F375" s="286"/>
      <c r="G375" s="286"/>
      <c r="H375" s="286"/>
      <c r="I375" s="286"/>
      <c r="J375" s="286"/>
      <c r="K375" s="286"/>
      <c r="L375" s="286"/>
      <c r="M375" s="286"/>
      <c r="N375" s="286"/>
      <c r="O375" s="286"/>
      <c r="P375" s="286"/>
      <c r="Q375" s="204" t="e">
        <f t="shared" si="42"/>
        <v>#DIV/0!</v>
      </c>
      <c r="R375" s="204" t="e">
        <f t="shared" si="40"/>
        <v>#DIV/0!</v>
      </c>
      <c r="S375" s="204" t="e">
        <f t="shared" si="41"/>
        <v>#DIV/0!</v>
      </c>
      <c r="T375" s="285"/>
    </row>
    <row r="376" spans="1:20" s="277" customFormat="1" ht="50.1" customHeight="1">
      <c r="A376" s="419" t="s">
        <v>156</v>
      </c>
      <c r="B376" s="238" t="s">
        <v>3318</v>
      </c>
      <c r="C376" s="238" t="s">
        <v>4401</v>
      </c>
      <c r="D376" s="119">
        <v>22</v>
      </c>
      <c r="E376" s="286"/>
      <c r="F376" s="286"/>
      <c r="G376" s="286"/>
      <c r="H376" s="286"/>
      <c r="I376" s="286"/>
      <c r="J376" s="286"/>
      <c r="K376" s="286"/>
      <c r="L376" s="286"/>
      <c r="M376" s="286"/>
      <c r="N376" s="286"/>
      <c r="O376" s="286"/>
      <c r="P376" s="286"/>
      <c r="Q376" s="204" t="e">
        <f t="shared" si="42"/>
        <v>#DIV/0!</v>
      </c>
      <c r="R376" s="204" t="e">
        <f t="shared" si="40"/>
        <v>#DIV/0!</v>
      </c>
      <c r="S376" s="204" t="e">
        <f t="shared" si="41"/>
        <v>#DIV/0!</v>
      </c>
      <c r="T376" s="285"/>
    </row>
    <row r="377" spans="1:20" s="277" customFormat="1" ht="50.1" customHeight="1">
      <c r="A377" s="419" t="s">
        <v>156</v>
      </c>
      <c r="B377" s="238" t="s">
        <v>3319</v>
      </c>
      <c r="C377" s="238" t="s">
        <v>4402</v>
      </c>
      <c r="D377" s="119">
        <v>48</v>
      </c>
      <c r="E377" s="286"/>
      <c r="F377" s="286"/>
      <c r="G377" s="286"/>
      <c r="H377" s="286"/>
      <c r="I377" s="286"/>
      <c r="J377" s="286"/>
      <c r="K377" s="286"/>
      <c r="L377" s="286"/>
      <c r="M377" s="286"/>
      <c r="N377" s="286"/>
      <c r="O377" s="286"/>
      <c r="P377" s="286"/>
      <c r="Q377" s="204" t="e">
        <f t="shared" si="42"/>
        <v>#DIV/0!</v>
      </c>
      <c r="R377" s="204" t="e">
        <f t="shared" si="40"/>
        <v>#DIV/0!</v>
      </c>
      <c r="S377" s="204" t="e">
        <f t="shared" si="41"/>
        <v>#DIV/0!</v>
      </c>
      <c r="T377" s="285"/>
    </row>
    <row r="378" spans="1:20" s="277" customFormat="1" ht="50.1" customHeight="1">
      <c r="A378" s="419" t="s">
        <v>156</v>
      </c>
      <c r="B378" s="238" t="s">
        <v>1495</v>
      </c>
      <c r="C378" s="238" t="s">
        <v>4403</v>
      </c>
      <c r="D378" s="119">
        <v>18</v>
      </c>
      <c r="E378" s="286"/>
      <c r="F378" s="286"/>
      <c r="G378" s="286"/>
      <c r="H378" s="286"/>
      <c r="I378" s="286"/>
      <c r="J378" s="286"/>
      <c r="K378" s="286"/>
      <c r="L378" s="286"/>
      <c r="M378" s="286"/>
      <c r="N378" s="286"/>
      <c r="O378" s="286"/>
      <c r="P378" s="286"/>
      <c r="Q378" s="204" t="e">
        <f t="shared" si="42"/>
        <v>#DIV/0!</v>
      </c>
      <c r="R378" s="204" t="e">
        <f t="shared" si="40"/>
        <v>#DIV/0!</v>
      </c>
      <c r="S378" s="204" t="e">
        <f t="shared" si="41"/>
        <v>#DIV/0!</v>
      </c>
      <c r="T378" s="285"/>
    </row>
    <row r="379" spans="1:20" s="277" customFormat="1" ht="50.1" customHeight="1">
      <c r="A379" s="419" t="s">
        <v>156</v>
      </c>
      <c r="B379" s="238" t="s">
        <v>3183</v>
      </c>
      <c r="C379" s="238" t="s">
        <v>4404</v>
      </c>
      <c r="D379" s="119">
        <v>17</v>
      </c>
      <c r="E379" s="286"/>
      <c r="F379" s="286"/>
      <c r="G379" s="286"/>
      <c r="H379" s="286"/>
      <c r="I379" s="286"/>
      <c r="J379" s="286"/>
      <c r="K379" s="286"/>
      <c r="L379" s="286"/>
      <c r="M379" s="286"/>
      <c r="N379" s="286"/>
      <c r="O379" s="286"/>
      <c r="P379" s="286"/>
      <c r="Q379" s="204" t="e">
        <f t="shared" si="42"/>
        <v>#DIV/0!</v>
      </c>
      <c r="R379" s="204" t="e">
        <f t="shared" si="40"/>
        <v>#DIV/0!</v>
      </c>
      <c r="S379" s="204" t="e">
        <f t="shared" si="41"/>
        <v>#DIV/0!</v>
      </c>
      <c r="T379" s="285"/>
    </row>
    <row r="380" spans="1:20" s="277" customFormat="1" ht="50.1" customHeight="1">
      <c r="A380" s="419" t="s">
        <v>156</v>
      </c>
      <c r="B380" s="238" t="s">
        <v>3320</v>
      </c>
      <c r="C380" s="238" t="s">
        <v>4405</v>
      </c>
      <c r="D380" s="119">
        <v>22</v>
      </c>
      <c r="E380" s="286"/>
      <c r="F380" s="286"/>
      <c r="G380" s="286"/>
      <c r="H380" s="286"/>
      <c r="I380" s="286"/>
      <c r="J380" s="286"/>
      <c r="K380" s="286"/>
      <c r="L380" s="286"/>
      <c r="M380" s="286"/>
      <c r="N380" s="286"/>
      <c r="O380" s="286"/>
      <c r="P380" s="286"/>
      <c r="Q380" s="204" t="e">
        <f t="shared" si="42"/>
        <v>#DIV/0!</v>
      </c>
      <c r="R380" s="204" t="e">
        <f t="shared" si="40"/>
        <v>#DIV/0!</v>
      </c>
      <c r="S380" s="204" t="e">
        <f t="shared" si="41"/>
        <v>#DIV/0!</v>
      </c>
      <c r="T380" s="285"/>
    </row>
    <row r="381" spans="1:20" s="277" customFormat="1" ht="50.1" customHeight="1">
      <c r="A381" s="419" t="s">
        <v>156</v>
      </c>
      <c r="B381" s="238" t="s">
        <v>3321</v>
      </c>
      <c r="C381" s="238" t="s">
        <v>4406</v>
      </c>
      <c r="D381" s="119">
        <v>12</v>
      </c>
      <c r="E381" s="286"/>
      <c r="F381" s="286"/>
      <c r="G381" s="286"/>
      <c r="H381" s="286"/>
      <c r="I381" s="286"/>
      <c r="J381" s="286"/>
      <c r="K381" s="286"/>
      <c r="L381" s="286"/>
      <c r="M381" s="286"/>
      <c r="N381" s="286"/>
      <c r="O381" s="286"/>
      <c r="P381" s="286"/>
      <c r="Q381" s="204" t="e">
        <f t="shared" si="42"/>
        <v>#DIV/0!</v>
      </c>
      <c r="R381" s="204" t="e">
        <f t="shared" si="40"/>
        <v>#DIV/0!</v>
      </c>
      <c r="S381" s="204" t="e">
        <f t="shared" si="41"/>
        <v>#DIV/0!</v>
      </c>
      <c r="T381" s="285"/>
    </row>
    <row r="382" spans="1:20" s="277" customFormat="1" ht="50.1" customHeight="1">
      <c r="A382" s="419" t="s">
        <v>156</v>
      </c>
      <c r="B382" s="238" t="s">
        <v>3322</v>
      </c>
      <c r="C382" s="238" t="s">
        <v>4407</v>
      </c>
      <c r="D382" s="119">
        <v>20</v>
      </c>
      <c r="E382" s="286"/>
      <c r="F382" s="286"/>
      <c r="G382" s="286"/>
      <c r="H382" s="286"/>
      <c r="I382" s="286"/>
      <c r="J382" s="286"/>
      <c r="K382" s="286"/>
      <c r="L382" s="286"/>
      <c r="M382" s="286"/>
      <c r="N382" s="286"/>
      <c r="O382" s="286"/>
      <c r="P382" s="286"/>
      <c r="Q382" s="204" t="e">
        <f t="shared" si="42"/>
        <v>#DIV/0!</v>
      </c>
      <c r="R382" s="204" t="e">
        <f t="shared" si="40"/>
        <v>#DIV/0!</v>
      </c>
      <c r="S382" s="204" t="e">
        <f t="shared" si="41"/>
        <v>#DIV/0!</v>
      </c>
      <c r="T382" s="285"/>
    </row>
    <row r="383" spans="1:20" s="277" customFormat="1" ht="50.1" customHeight="1">
      <c r="A383" s="419" t="s">
        <v>156</v>
      </c>
      <c r="B383" s="238" t="s">
        <v>3323</v>
      </c>
      <c r="C383" s="238" t="s">
        <v>4408</v>
      </c>
      <c r="D383" s="119">
        <v>20</v>
      </c>
      <c r="E383" s="286"/>
      <c r="F383" s="286"/>
      <c r="G383" s="286"/>
      <c r="H383" s="286"/>
      <c r="I383" s="286"/>
      <c r="J383" s="286"/>
      <c r="K383" s="286"/>
      <c r="L383" s="286"/>
      <c r="M383" s="286"/>
      <c r="N383" s="286"/>
      <c r="O383" s="286"/>
      <c r="P383" s="286"/>
      <c r="Q383" s="204" t="e">
        <f t="shared" si="42"/>
        <v>#DIV/0!</v>
      </c>
      <c r="R383" s="204" t="e">
        <f t="shared" si="40"/>
        <v>#DIV/0!</v>
      </c>
      <c r="S383" s="204" t="e">
        <f t="shared" si="41"/>
        <v>#DIV/0!</v>
      </c>
      <c r="T383" s="285"/>
    </row>
    <row r="384" spans="1:20" s="277" customFormat="1" ht="50.1" customHeight="1">
      <c r="A384" s="419" t="s">
        <v>156</v>
      </c>
      <c r="B384" s="238" t="s">
        <v>3324</v>
      </c>
      <c r="C384" s="238" t="s">
        <v>4409</v>
      </c>
      <c r="D384" s="119">
        <v>19</v>
      </c>
      <c r="E384" s="286"/>
      <c r="F384" s="286"/>
      <c r="G384" s="286"/>
      <c r="H384" s="286"/>
      <c r="I384" s="286"/>
      <c r="J384" s="286"/>
      <c r="K384" s="286"/>
      <c r="L384" s="286"/>
      <c r="M384" s="286"/>
      <c r="N384" s="286"/>
      <c r="O384" s="286"/>
      <c r="P384" s="286"/>
      <c r="Q384" s="204" t="e">
        <f t="shared" si="42"/>
        <v>#DIV/0!</v>
      </c>
      <c r="R384" s="204" t="e">
        <f t="shared" si="40"/>
        <v>#DIV/0!</v>
      </c>
      <c r="S384" s="204" t="e">
        <f t="shared" si="41"/>
        <v>#DIV/0!</v>
      </c>
      <c r="T384" s="285"/>
    </row>
    <row r="385" spans="1:20" s="277" customFormat="1" ht="50.1" customHeight="1">
      <c r="A385" s="419" t="s">
        <v>156</v>
      </c>
      <c r="B385" s="238" t="s">
        <v>698</v>
      </c>
      <c r="C385" s="238" t="s">
        <v>4410</v>
      </c>
      <c r="D385" s="119">
        <v>38</v>
      </c>
      <c r="E385" s="286"/>
      <c r="F385" s="286"/>
      <c r="G385" s="286"/>
      <c r="H385" s="286"/>
      <c r="I385" s="286"/>
      <c r="J385" s="286"/>
      <c r="K385" s="286"/>
      <c r="L385" s="286"/>
      <c r="M385" s="286"/>
      <c r="N385" s="286"/>
      <c r="O385" s="286"/>
      <c r="P385" s="286"/>
      <c r="Q385" s="204" t="e">
        <f t="shared" si="42"/>
        <v>#DIV/0!</v>
      </c>
      <c r="R385" s="204" t="e">
        <f t="shared" si="40"/>
        <v>#DIV/0!</v>
      </c>
      <c r="S385" s="204" t="e">
        <f t="shared" si="41"/>
        <v>#DIV/0!</v>
      </c>
      <c r="T385" s="285"/>
    </row>
    <row r="386" spans="1:20" s="277" customFormat="1" ht="50.1" customHeight="1">
      <c r="A386" s="419" t="s">
        <v>156</v>
      </c>
      <c r="B386" s="238" t="s">
        <v>3325</v>
      </c>
      <c r="C386" s="238" t="s">
        <v>4411</v>
      </c>
      <c r="D386" s="119">
        <v>45</v>
      </c>
      <c r="E386" s="286"/>
      <c r="F386" s="286"/>
      <c r="G386" s="286"/>
      <c r="H386" s="286"/>
      <c r="I386" s="286"/>
      <c r="J386" s="286"/>
      <c r="K386" s="286"/>
      <c r="L386" s="286"/>
      <c r="M386" s="286"/>
      <c r="N386" s="286"/>
      <c r="O386" s="286"/>
      <c r="P386" s="286"/>
      <c r="Q386" s="204" t="e">
        <f t="shared" si="42"/>
        <v>#DIV/0!</v>
      </c>
      <c r="R386" s="204" t="e">
        <f t="shared" si="40"/>
        <v>#DIV/0!</v>
      </c>
      <c r="S386" s="204" t="e">
        <f t="shared" si="41"/>
        <v>#DIV/0!</v>
      </c>
      <c r="T386" s="285"/>
    </row>
    <row r="387" spans="1:20" s="277" customFormat="1" ht="50.1" customHeight="1">
      <c r="A387" s="419" t="s">
        <v>156</v>
      </c>
      <c r="B387" s="238" t="s">
        <v>3326</v>
      </c>
      <c r="C387" s="238" t="s">
        <v>4412</v>
      </c>
      <c r="D387" s="119">
        <v>25</v>
      </c>
      <c r="E387" s="286"/>
      <c r="F387" s="286"/>
      <c r="G387" s="286"/>
      <c r="H387" s="286"/>
      <c r="I387" s="286"/>
      <c r="J387" s="286"/>
      <c r="K387" s="286"/>
      <c r="L387" s="286"/>
      <c r="M387" s="286"/>
      <c r="N387" s="286"/>
      <c r="O387" s="286"/>
      <c r="P387" s="286"/>
      <c r="Q387" s="204" t="e">
        <f t="shared" si="42"/>
        <v>#DIV/0!</v>
      </c>
      <c r="R387" s="204" t="e">
        <f t="shared" si="40"/>
        <v>#DIV/0!</v>
      </c>
      <c r="S387" s="204" t="e">
        <f t="shared" si="41"/>
        <v>#DIV/0!</v>
      </c>
      <c r="T387" s="285"/>
    </row>
    <row r="388" spans="1:20" s="277" customFormat="1" ht="50.1" customHeight="1">
      <c r="A388" s="419" t="s">
        <v>156</v>
      </c>
      <c r="B388" s="238" t="s">
        <v>3327</v>
      </c>
      <c r="C388" s="238" t="s">
        <v>4413</v>
      </c>
      <c r="D388" s="119">
        <v>26</v>
      </c>
      <c r="E388" s="286"/>
      <c r="F388" s="286"/>
      <c r="G388" s="286"/>
      <c r="H388" s="286"/>
      <c r="I388" s="286"/>
      <c r="J388" s="286"/>
      <c r="K388" s="286"/>
      <c r="L388" s="286"/>
      <c r="M388" s="286"/>
      <c r="N388" s="286"/>
      <c r="O388" s="286"/>
      <c r="P388" s="286"/>
      <c r="Q388" s="204" t="e">
        <f t="shared" si="42"/>
        <v>#DIV/0!</v>
      </c>
      <c r="R388" s="204" t="e">
        <f t="shared" si="40"/>
        <v>#DIV/0!</v>
      </c>
      <c r="S388" s="204" t="e">
        <f t="shared" si="41"/>
        <v>#DIV/0!</v>
      </c>
      <c r="T388" s="285"/>
    </row>
    <row r="389" spans="1:20" s="277" customFormat="1" ht="50.1" customHeight="1">
      <c r="A389" s="419" t="s">
        <v>156</v>
      </c>
      <c r="B389" s="238" t="s">
        <v>3328</v>
      </c>
      <c r="C389" s="238" t="s">
        <v>4417</v>
      </c>
      <c r="D389" s="119">
        <v>23</v>
      </c>
      <c r="E389" s="286"/>
      <c r="F389" s="286"/>
      <c r="G389" s="286"/>
      <c r="H389" s="286"/>
      <c r="I389" s="286"/>
      <c r="J389" s="286"/>
      <c r="K389" s="286"/>
      <c r="L389" s="286"/>
      <c r="M389" s="286"/>
      <c r="N389" s="286"/>
      <c r="O389" s="286"/>
      <c r="P389" s="286"/>
      <c r="Q389" s="204" t="e">
        <f t="shared" si="42"/>
        <v>#DIV/0!</v>
      </c>
      <c r="R389" s="204" t="e">
        <f t="shared" si="40"/>
        <v>#DIV/0!</v>
      </c>
      <c r="S389" s="204" t="e">
        <f t="shared" si="41"/>
        <v>#DIV/0!</v>
      </c>
      <c r="T389" s="285"/>
    </row>
    <row r="390" spans="1:20" s="277" customFormat="1" ht="50.1" customHeight="1">
      <c r="A390" s="419" t="s">
        <v>156</v>
      </c>
      <c r="B390" s="238" t="s">
        <v>3329</v>
      </c>
      <c r="C390" s="238" t="s">
        <v>4414</v>
      </c>
      <c r="D390" s="119">
        <v>19</v>
      </c>
      <c r="E390" s="286"/>
      <c r="F390" s="286"/>
      <c r="G390" s="286"/>
      <c r="H390" s="286"/>
      <c r="I390" s="286"/>
      <c r="J390" s="286"/>
      <c r="K390" s="286"/>
      <c r="L390" s="286"/>
      <c r="M390" s="286"/>
      <c r="N390" s="286"/>
      <c r="O390" s="286"/>
      <c r="P390" s="286"/>
      <c r="Q390" s="204" t="e">
        <f t="shared" si="42"/>
        <v>#DIV/0!</v>
      </c>
      <c r="R390" s="204" t="e">
        <f t="shared" si="40"/>
        <v>#DIV/0!</v>
      </c>
      <c r="S390" s="204" t="e">
        <f t="shared" si="41"/>
        <v>#DIV/0!</v>
      </c>
      <c r="T390" s="285"/>
    </row>
    <row r="391" spans="1:20" s="277" customFormat="1" ht="50.1" customHeight="1">
      <c r="A391" s="419" t="s">
        <v>156</v>
      </c>
      <c r="B391" s="238" t="s">
        <v>1155</v>
      </c>
      <c r="C391" s="238" t="s">
        <v>4415</v>
      </c>
      <c r="D391" s="119">
        <v>18</v>
      </c>
      <c r="E391" s="286"/>
      <c r="F391" s="286"/>
      <c r="G391" s="286"/>
      <c r="H391" s="286"/>
      <c r="I391" s="286"/>
      <c r="J391" s="286"/>
      <c r="K391" s="286"/>
      <c r="L391" s="286"/>
      <c r="M391" s="286"/>
      <c r="N391" s="286"/>
      <c r="O391" s="286"/>
      <c r="P391" s="286"/>
      <c r="Q391" s="204" t="e">
        <f t="shared" si="42"/>
        <v>#DIV/0!</v>
      </c>
      <c r="R391" s="204" t="e">
        <f t="shared" si="40"/>
        <v>#DIV/0!</v>
      </c>
      <c r="S391" s="204" t="e">
        <f t="shared" si="41"/>
        <v>#DIV/0!</v>
      </c>
      <c r="T391" s="285"/>
    </row>
    <row r="392" spans="1:20" s="277" customFormat="1" ht="50.1" customHeight="1">
      <c r="A392" s="419" t="s">
        <v>156</v>
      </c>
      <c r="B392" s="238" t="s">
        <v>3330</v>
      </c>
      <c r="C392" s="238" t="s">
        <v>4416</v>
      </c>
      <c r="D392" s="119">
        <v>35</v>
      </c>
      <c r="E392" s="286"/>
      <c r="F392" s="286"/>
      <c r="G392" s="286"/>
      <c r="H392" s="286"/>
      <c r="I392" s="286"/>
      <c r="J392" s="286"/>
      <c r="K392" s="286"/>
      <c r="L392" s="286"/>
      <c r="M392" s="286"/>
      <c r="N392" s="286"/>
      <c r="O392" s="286"/>
      <c r="P392" s="286"/>
      <c r="Q392" s="204" t="e">
        <f t="shared" si="42"/>
        <v>#DIV/0!</v>
      </c>
      <c r="R392" s="204" t="e">
        <f t="shared" si="40"/>
        <v>#DIV/0!</v>
      </c>
      <c r="S392" s="204" t="e">
        <f t="shared" si="41"/>
        <v>#DIV/0!</v>
      </c>
      <c r="T392" s="285"/>
    </row>
    <row r="393" spans="1:20" s="277" customFormat="1" ht="32.1" customHeight="1">
      <c r="A393" s="419" t="s">
        <v>157</v>
      </c>
      <c r="B393" s="238" t="s">
        <v>3331</v>
      </c>
      <c r="C393" s="238" t="s">
        <v>3332</v>
      </c>
      <c r="D393" s="119">
        <v>250</v>
      </c>
      <c r="E393" s="286"/>
      <c r="F393" s="286"/>
      <c r="G393" s="286"/>
      <c r="H393" s="286"/>
      <c r="I393" s="286">
        <v>97.3</v>
      </c>
      <c r="J393" s="286">
        <v>97.3</v>
      </c>
      <c r="K393" s="286"/>
      <c r="L393" s="286"/>
      <c r="M393" s="286"/>
      <c r="N393" s="286"/>
      <c r="O393" s="286"/>
      <c r="P393" s="286"/>
      <c r="Q393" s="204">
        <f t="shared" si="42"/>
        <v>97.3</v>
      </c>
      <c r="R393" s="204" t="str">
        <f t="shared" si="40"/>
        <v>NO</v>
      </c>
      <c r="S393" s="204" t="str">
        <f t="shared" si="41"/>
        <v>Inviable Sanitariamente</v>
      </c>
      <c r="T393" s="285"/>
    </row>
    <row r="394" spans="1:20" s="277" customFormat="1" ht="32.1" customHeight="1">
      <c r="A394" s="419" t="s">
        <v>157</v>
      </c>
      <c r="B394" s="238" t="s">
        <v>3333</v>
      </c>
      <c r="C394" s="238" t="s">
        <v>3334</v>
      </c>
      <c r="D394" s="119">
        <v>78</v>
      </c>
      <c r="E394" s="286"/>
      <c r="F394" s="286">
        <v>97.3</v>
      </c>
      <c r="G394" s="286"/>
      <c r="H394" s="286"/>
      <c r="I394" s="286"/>
      <c r="J394" s="286"/>
      <c r="K394" s="286"/>
      <c r="L394" s="286"/>
      <c r="M394" s="286"/>
      <c r="N394" s="286"/>
      <c r="O394" s="286"/>
      <c r="P394" s="286"/>
      <c r="Q394" s="204">
        <f t="shared" si="42"/>
        <v>97.3</v>
      </c>
      <c r="R394" s="204" t="str">
        <f t="shared" si="40"/>
        <v>NO</v>
      </c>
      <c r="S394" s="204" t="str">
        <f t="shared" si="41"/>
        <v>Inviable Sanitariamente</v>
      </c>
      <c r="T394" s="285"/>
    </row>
    <row r="395" spans="1:20" s="277" customFormat="1" ht="32.1" customHeight="1">
      <c r="A395" s="419" t="s">
        <v>157</v>
      </c>
      <c r="B395" s="238" t="s">
        <v>3335</v>
      </c>
      <c r="C395" s="238" t="s">
        <v>3336</v>
      </c>
      <c r="D395" s="119">
        <v>56</v>
      </c>
      <c r="E395" s="286"/>
      <c r="F395" s="286"/>
      <c r="G395" s="286"/>
      <c r="H395" s="286">
        <v>97.3</v>
      </c>
      <c r="I395" s="286"/>
      <c r="J395" s="286"/>
      <c r="K395" s="286"/>
      <c r="L395" s="286"/>
      <c r="M395" s="286"/>
      <c r="N395" s="286"/>
      <c r="O395" s="286"/>
      <c r="P395" s="286"/>
      <c r="Q395" s="204">
        <f t="shared" si="42"/>
        <v>97.3</v>
      </c>
      <c r="R395" s="204" t="str">
        <f t="shared" si="40"/>
        <v>NO</v>
      </c>
      <c r="S395" s="204" t="str">
        <f t="shared" si="41"/>
        <v>Inviable Sanitariamente</v>
      </c>
      <c r="T395" s="285"/>
    </row>
    <row r="396" spans="1:20" s="277" customFormat="1" ht="32.1" customHeight="1">
      <c r="A396" s="419" t="s">
        <v>157</v>
      </c>
      <c r="B396" s="238" t="s">
        <v>1046</v>
      </c>
      <c r="C396" s="238" t="s">
        <v>3337</v>
      </c>
      <c r="D396" s="119">
        <v>90</v>
      </c>
      <c r="E396" s="286"/>
      <c r="F396" s="286"/>
      <c r="G396" s="286">
        <v>97.3</v>
      </c>
      <c r="H396" s="286"/>
      <c r="I396" s="286"/>
      <c r="J396" s="286"/>
      <c r="K396" s="286"/>
      <c r="L396" s="286"/>
      <c r="M396" s="286"/>
      <c r="N396" s="286"/>
      <c r="O396" s="286"/>
      <c r="P396" s="286"/>
      <c r="Q396" s="204">
        <f t="shared" si="42"/>
        <v>97.3</v>
      </c>
      <c r="R396" s="204" t="str">
        <f t="shared" si="40"/>
        <v>NO</v>
      </c>
      <c r="S396" s="204" t="str">
        <f t="shared" si="41"/>
        <v>Inviable Sanitariamente</v>
      </c>
      <c r="T396" s="285"/>
    </row>
    <row r="397" spans="1:20" s="277" customFormat="1" ht="32.1" customHeight="1">
      <c r="A397" s="419" t="s">
        <v>157</v>
      </c>
      <c r="B397" s="238" t="s">
        <v>2918</v>
      </c>
      <c r="C397" s="238" t="s">
        <v>3338</v>
      </c>
      <c r="D397" s="119">
        <v>80</v>
      </c>
      <c r="E397" s="286"/>
      <c r="F397" s="286"/>
      <c r="G397" s="286"/>
      <c r="H397" s="286"/>
      <c r="I397" s="286">
        <v>97.3</v>
      </c>
      <c r="J397" s="286"/>
      <c r="K397" s="286"/>
      <c r="L397" s="286"/>
      <c r="M397" s="286"/>
      <c r="N397" s="286"/>
      <c r="O397" s="286"/>
      <c r="P397" s="286"/>
      <c r="Q397" s="204">
        <f t="shared" si="42"/>
        <v>97.3</v>
      </c>
      <c r="R397" s="204" t="str">
        <f t="shared" si="40"/>
        <v>NO</v>
      </c>
      <c r="S397" s="204" t="str">
        <f t="shared" si="41"/>
        <v>Inviable Sanitariamente</v>
      </c>
      <c r="T397" s="285"/>
    </row>
    <row r="398" spans="1:20" s="277" customFormat="1" ht="32.1" customHeight="1">
      <c r="A398" s="419" t="s">
        <v>157</v>
      </c>
      <c r="B398" s="238" t="s">
        <v>3339</v>
      </c>
      <c r="C398" s="238" t="s">
        <v>3340</v>
      </c>
      <c r="D398" s="119">
        <v>30</v>
      </c>
      <c r="E398" s="286"/>
      <c r="F398" s="286"/>
      <c r="G398" s="286"/>
      <c r="H398" s="286"/>
      <c r="I398" s="286">
        <v>97.3</v>
      </c>
      <c r="J398" s="286"/>
      <c r="K398" s="286"/>
      <c r="L398" s="286"/>
      <c r="M398" s="286"/>
      <c r="N398" s="286"/>
      <c r="O398" s="286"/>
      <c r="P398" s="286"/>
      <c r="Q398" s="204">
        <f t="shared" si="42"/>
        <v>97.3</v>
      </c>
      <c r="R398" s="204" t="str">
        <f t="shared" si="40"/>
        <v>NO</v>
      </c>
      <c r="S398" s="204" t="str">
        <f t="shared" si="41"/>
        <v>Inviable Sanitariamente</v>
      </c>
      <c r="T398" s="285"/>
    </row>
    <row r="399" spans="1:20" s="277" customFormat="1" ht="32.1" customHeight="1">
      <c r="A399" s="419" t="s">
        <v>157</v>
      </c>
      <c r="B399" s="238" t="s">
        <v>1278</v>
      </c>
      <c r="C399" s="238" t="s">
        <v>3341</v>
      </c>
      <c r="D399" s="119">
        <v>80</v>
      </c>
      <c r="E399" s="286"/>
      <c r="F399" s="286"/>
      <c r="G399" s="286">
        <v>97.3</v>
      </c>
      <c r="H399" s="286"/>
      <c r="I399" s="286"/>
      <c r="J399" s="286"/>
      <c r="K399" s="286"/>
      <c r="L399" s="286"/>
      <c r="M399" s="286"/>
      <c r="N399" s="286"/>
      <c r="O399" s="286"/>
      <c r="P399" s="286"/>
      <c r="Q399" s="204">
        <f t="shared" si="42"/>
        <v>97.3</v>
      </c>
      <c r="R399" s="204" t="str">
        <f t="shared" si="40"/>
        <v>NO</v>
      </c>
      <c r="S399" s="204" t="str">
        <f t="shared" si="41"/>
        <v>Inviable Sanitariamente</v>
      </c>
      <c r="T399" s="285"/>
    </row>
    <row r="400" spans="1:20" s="277" customFormat="1" ht="32.1" customHeight="1">
      <c r="A400" s="419" t="s">
        <v>157</v>
      </c>
      <c r="B400" s="238" t="s">
        <v>2548</v>
      </c>
      <c r="C400" s="238" t="s">
        <v>3342</v>
      </c>
      <c r="D400" s="114">
        <v>63</v>
      </c>
      <c r="E400" s="286"/>
      <c r="F400" s="286"/>
      <c r="G400" s="286">
        <v>97.3</v>
      </c>
      <c r="H400" s="286"/>
      <c r="I400" s="286"/>
      <c r="J400" s="286"/>
      <c r="K400" s="286"/>
      <c r="L400" s="286"/>
      <c r="M400" s="286"/>
      <c r="N400" s="286"/>
      <c r="O400" s="286"/>
      <c r="P400" s="286"/>
      <c r="Q400" s="204">
        <f t="shared" si="42"/>
        <v>97.3</v>
      </c>
      <c r="R400" s="204" t="str">
        <f t="shared" si="40"/>
        <v>NO</v>
      </c>
      <c r="S400" s="204" t="str">
        <f t="shared" si="41"/>
        <v>Inviable Sanitariamente</v>
      </c>
      <c r="T400" s="285"/>
    </row>
    <row r="401" spans="1:20" s="277" customFormat="1" ht="32.1" customHeight="1">
      <c r="A401" s="419" t="s">
        <v>157</v>
      </c>
      <c r="B401" s="238" t="s">
        <v>3343</v>
      </c>
      <c r="C401" s="238" t="s">
        <v>3344</v>
      </c>
      <c r="D401" s="119">
        <v>45</v>
      </c>
      <c r="E401" s="286"/>
      <c r="F401" s="286"/>
      <c r="G401" s="286"/>
      <c r="H401" s="286">
        <v>97.3</v>
      </c>
      <c r="I401" s="286"/>
      <c r="J401" s="286"/>
      <c r="K401" s="286"/>
      <c r="L401" s="286"/>
      <c r="M401" s="286"/>
      <c r="N401" s="286"/>
      <c r="O401" s="286"/>
      <c r="P401" s="286"/>
      <c r="Q401" s="204">
        <f t="shared" si="42"/>
        <v>97.3</v>
      </c>
      <c r="R401" s="204" t="str">
        <f t="shared" si="40"/>
        <v>NO</v>
      </c>
      <c r="S401" s="204" t="str">
        <f t="shared" si="41"/>
        <v>Inviable Sanitariamente</v>
      </c>
      <c r="T401" s="285"/>
    </row>
    <row r="402" spans="1:20" s="277" customFormat="1" ht="32.1" customHeight="1">
      <c r="A402" s="419" t="s">
        <v>157</v>
      </c>
      <c r="B402" s="238" t="s">
        <v>3345</v>
      </c>
      <c r="C402" s="238" t="s">
        <v>3346</v>
      </c>
      <c r="D402" s="119"/>
      <c r="E402" s="286"/>
      <c r="F402" s="286"/>
      <c r="G402" s="286"/>
      <c r="H402" s="286"/>
      <c r="I402" s="286"/>
      <c r="J402" s="286"/>
      <c r="K402" s="286"/>
      <c r="L402" s="286"/>
      <c r="M402" s="286"/>
      <c r="N402" s="286"/>
      <c r="O402" s="286"/>
      <c r="P402" s="286"/>
      <c r="Q402" s="204" t="e">
        <f t="shared" si="42"/>
        <v>#DIV/0!</v>
      </c>
      <c r="R402" s="204" t="e">
        <f t="shared" si="40"/>
        <v>#DIV/0!</v>
      </c>
      <c r="S402" s="204" t="e">
        <f t="shared" si="41"/>
        <v>#DIV/0!</v>
      </c>
      <c r="T402" s="285"/>
    </row>
    <row r="403" spans="1:20" s="277" customFormat="1" ht="32.1" customHeight="1">
      <c r="A403" s="419" t="s">
        <v>157</v>
      </c>
      <c r="B403" s="238" t="s">
        <v>3347</v>
      </c>
      <c r="C403" s="238" t="s">
        <v>3348</v>
      </c>
      <c r="D403" s="114">
        <v>70</v>
      </c>
      <c r="E403" s="286"/>
      <c r="F403" s="286"/>
      <c r="G403" s="286"/>
      <c r="H403" s="286"/>
      <c r="I403" s="286">
        <v>97.3</v>
      </c>
      <c r="J403" s="286"/>
      <c r="K403" s="286"/>
      <c r="L403" s="286"/>
      <c r="M403" s="286"/>
      <c r="N403" s="286"/>
      <c r="O403" s="286"/>
      <c r="P403" s="286"/>
      <c r="Q403" s="204">
        <f t="shared" si="42"/>
        <v>97.3</v>
      </c>
      <c r="R403" s="204" t="str">
        <f t="shared" si="40"/>
        <v>NO</v>
      </c>
      <c r="S403" s="204" t="str">
        <f t="shared" si="41"/>
        <v>Inviable Sanitariamente</v>
      </c>
      <c r="T403" s="285"/>
    </row>
    <row r="404" spans="1:20" s="277" customFormat="1" ht="32.1" customHeight="1">
      <c r="A404" s="419" t="s">
        <v>157</v>
      </c>
      <c r="B404" s="238" t="s">
        <v>3349</v>
      </c>
      <c r="C404" s="238" t="s">
        <v>3350</v>
      </c>
      <c r="D404" s="119">
        <v>40</v>
      </c>
      <c r="E404" s="286"/>
      <c r="F404" s="286"/>
      <c r="G404" s="286">
        <v>97.3</v>
      </c>
      <c r="H404" s="286"/>
      <c r="I404" s="286"/>
      <c r="J404" s="286"/>
      <c r="K404" s="286"/>
      <c r="L404" s="286"/>
      <c r="M404" s="286"/>
      <c r="N404" s="286"/>
      <c r="O404" s="286"/>
      <c r="P404" s="286"/>
      <c r="Q404" s="204">
        <f t="shared" si="42"/>
        <v>97.3</v>
      </c>
      <c r="R404" s="204" t="str">
        <f t="shared" si="40"/>
        <v>NO</v>
      </c>
      <c r="S404" s="204" t="str">
        <f t="shared" si="41"/>
        <v>Inviable Sanitariamente</v>
      </c>
      <c r="T404" s="285"/>
    </row>
    <row r="405" spans="1:20" s="277" customFormat="1" ht="32.1" customHeight="1">
      <c r="A405" s="419" t="s">
        <v>157</v>
      </c>
      <c r="B405" s="238" t="s">
        <v>3257</v>
      </c>
      <c r="C405" s="238" t="s">
        <v>3351</v>
      </c>
      <c r="D405" s="119">
        <v>52</v>
      </c>
      <c r="E405" s="286"/>
      <c r="F405" s="286"/>
      <c r="G405" s="286"/>
      <c r="H405" s="286"/>
      <c r="I405" s="286">
        <v>97.3</v>
      </c>
      <c r="J405" s="286"/>
      <c r="K405" s="286"/>
      <c r="L405" s="286"/>
      <c r="M405" s="286"/>
      <c r="N405" s="286"/>
      <c r="O405" s="286"/>
      <c r="P405" s="286"/>
      <c r="Q405" s="204">
        <f t="shared" si="42"/>
        <v>97.3</v>
      </c>
      <c r="R405" s="204" t="str">
        <f t="shared" si="40"/>
        <v>NO</v>
      </c>
      <c r="S405" s="204" t="str">
        <f t="shared" si="41"/>
        <v>Inviable Sanitariamente</v>
      </c>
      <c r="T405" s="285"/>
    </row>
    <row r="406" spans="1:20" s="277" customFormat="1" ht="32.1" customHeight="1">
      <c r="A406" s="419" t="s">
        <v>157</v>
      </c>
      <c r="B406" s="238" t="s">
        <v>72</v>
      </c>
      <c r="C406" s="238" t="s">
        <v>3352</v>
      </c>
      <c r="D406" s="114">
        <v>28</v>
      </c>
      <c r="E406" s="286"/>
      <c r="F406" s="286"/>
      <c r="G406" s="286"/>
      <c r="H406" s="286"/>
      <c r="I406" s="286">
        <v>97.3</v>
      </c>
      <c r="J406" s="286"/>
      <c r="K406" s="286"/>
      <c r="L406" s="286"/>
      <c r="M406" s="286"/>
      <c r="N406" s="286"/>
      <c r="O406" s="286"/>
      <c r="P406" s="286"/>
      <c r="Q406" s="204">
        <f t="shared" si="42"/>
        <v>97.3</v>
      </c>
      <c r="R406" s="204" t="str">
        <f t="shared" si="40"/>
        <v>NO</v>
      </c>
      <c r="S406" s="204" t="str">
        <f t="shared" si="41"/>
        <v>Inviable Sanitariamente</v>
      </c>
      <c r="T406" s="285"/>
    </row>
    <row r="407" spans="1:20" s="277" customFormat="1" ht="32.1" customHeight="1">
      <c r="A407" s="419" t="s">
        <v>157</v>
      </c>
      <c r="B407" s="238" t="s">
        <v>3353</v>
      </c>
      <c r="C407" s="238" t="s">
        <v>3354</v>
      </c>
      <c r="D407" s="119">
        <v>85</v>
      </c>
      <c r="E407" s="286"/>
      <c r="F407" s="286"/>
      <c r="G407" s="286"/>
      <c r="H407" s="286">
        <v>97.3</v>
      </c>
      <c r="I407" s="286"/>
      <c r="J407" s="286"/>
      <c r="K407" s="286"/>
      <c r="L407" s="286"/>
      <c r="M407" s="286"/>
      <c r="N407" s="286"/>
      <c r="O407" s="286"/>
      <c r="P407" s="286"/>
      <c r="Q407" s="204">
        <f t="shared" si="42"/>
        <v>97.3</v>
      </c>
      <c r="R407" s="204" t="str">
        <f t="shared" si="40"/>
        <v>NO</v>
      </c>
      <c r="S407" s="204" t="str">
        <f t="shared" si="41"/>
        <v>Inviable Sanitariamente</v>
      </c>
      <c r="T407" s="285"/>
    </row>
    <row r="408" spans="1:20" s="277" customFormat="1" ht="32.1" customHeight="1">
      <c r="A408" s="419" t="s">
        <v>157</v>
      </c>
      <c r="B408" s="238" t="s">
        <v>3355</v>
      </c>
      <c r="C408" s="238" t="s">
        <v>3356</v>
      </c>
      <c r="D408" s="119">
        <v>58</v>
      </c>
      <c r="E408" s="286"/>
      <c r="F408" s="286"/>
      <c r="G408" s="286">
        <v>97.3</v>
      </c>
      <c r="H408" s="286"/>
      <c r="I408" s="286"/>
      <c r="J408" s="286"/>
      <c r="K408" s="286"/>
      <c r="L408" s="286"/>
      <c r="M408" s="286"/>
      <c r="N408" s="286"/>
      <c r="O408" s="286"/>
      <c r="P408" s="286"/>
      <c r="Q408" s="204">
        <f t="shared" si="42"/>
        <v>97.3</v>
      </c>
      <c r="R408" s="204" t="str">
        <f t="shared" si="40"/>
        <v>NO</v>
      </c>
      <c r="S408" s="204" t="str">
        <f t="shared" si="41"/>
        <v>Inviable Sanitariamente</v>
      </c>
      <c r="T408" s="285"/>
    </row>
    <row r="409" spans="1:20" s="277" customFormat="1" ht="32.1" customHeight="1">
      <c r="A409" s="419" t="s">
        <v>157</v>
      </c>
      <c r="B409" s="238" t="s">
        <v>1375</v>
      </c>
      <c r="C409" s="238" t="s">
        <v>3357</v>
      </c>
      <c r="D409" s="119"/>
      <c r="E409" s="286"/>
      <c r="F409" s="286"/>
      <c r="G409" s="286"/>
      <c r="H409" s="286"/>
      <c r="I409" s="286"/>
      <c r="J409" s="286"/>
      <c r="K409" s="286"/>
      <c r="L409" s="286"/>
      <c r="M409" s="286"/>
      <c r="N409" s="286"/>
      <c r="O409" s="286"/>
      <c r="P409" s="286"/>
      <c r="Q409" s="204" t="e">
        <f t="shared" si="42"/>
        <v>#DIV/0!</v>
      </c>
      <c r="R409" s="204" t="e">
        <f t="shared" si="40"/>
        <v>#DIV/0!</v>
      </c>
      <c r="S409" s="204" t="e">
        <f t="shared" si="41"/>
        <v>#DIV/0!</v>
      </c>
      <c r="T409" s="285"/>
    </row>
    <row r="410" spans="1:20" s="277" customFormat="1" ht="32.1" customHeight="1">
      <c r="A410" s="419" t="s">
        <v>157</v>
      </c>
      <c r="B410" s="238" t="s">
        <v>3358</v>
      </c>
      <c r="C410" s="238" t="s">
        <v>3359</v>
      </c>
      <c r="D410" s="119">
        <v>30</v>
      </c>
      <c r="E410" s="286"/>
      <c r="F410" s="286"/>
      <c r="G410" s="286">
        <v>97.3</v>
      </c>
      <c r="H410" s="286"/>
      <c r="I410" s="286"/>
      <c r="J410" s="286"/>
      <c r="K410" s="286"/>
      <c r="L410" s="286"/>
      <c r="M410" s="286"/>
      <c r="N410" s="286"/>
      <c r="O410" s="286"/>
      <c r="P410" s="286"/>
      <c r="Q410" s="204">
        <f t="shared" si="42"/>
        <v>97.3</v>
      </c>
      <c r="R410" s="204" t="str">
        <f t="shared" si="40"/>
        <v>NO</v>
      </c>
      <c r="S410" s="204" t="str">
        <f t="shared" si="41"/>
        <v>Inviable Sanitariamente</v>
      </c>
      <c r="T410" s="285"/>
    </row>
    <row r="411" spans="1:20" s="277" customFormat="1" ht="32.1" customHeight="1">
      <c r="A411" s="419" t="s">
        <v>157</v>
      </c>
      <c r="B411" s="238" t="s">
        <v>3360</v>
      </c>
      <c r="C411" s="238" t="s">
        <v>3361</v>
      </c>
      <c r="D411" s="119"/>
      <c r="E411" s="286"/>
      <c r="F411" s="286"/>
      <c r="G411" s="286"/>
      <c r="H411" s="286"/>
      <c r="I411" s="286"/>
      <c r="J411" s="286"/>
      <c r="K411" s="286"/>
      <c r="L411" s="286"/>
      <c r="M411" s="286"/>
      <c r="N411" s="286"/>
      <c r="O411" s="286"/>
      <c r="P411" s="286"/>
      <c r="Q411" s="204" t="e">
        <f t="shared" si="42"/>
        <v>#DIV/0!</v>
      </c>
      <c r="R411" s="204" t="e">
        <f t="shared" si="40"/>
        <v>#DIV/0!</v>
      </c>
      <c r="S411" s="204" t="e">
        <f t="shared" si="41"/>
        <v>#DIV/0!</v>
      </c>
      <c r="T411" s="285"/>
    </row>
    <row r="412" spans="1:20" s="277" customFormat="1" ht="32.1" customHeight="1">
      <c r="A412" s="419" t="s">
        <v>157</v>
      </c>
      <c r="B412" s="238" t="s">
        <v>3362</v>
      </c>
      <c r="C412" s="238" t="s">
        <v>3363</v>
      </c>
      <c r="D412" s="119">
        <v>25</v>
      </c>
      <c r="E412" s="286"/>
      <c r="F412" s="286"/>
      <c r="G412" s="286"/>
      <c r="H412" s="286"/>
      <c r="I412" s="286"/>
      <c r="J412" s="286">
        <v>97.3</v>
      </c>
      <c r="K412" s="286"/>
      <c r="L412" s="286"/>
      <c r="M412" s="286"/>
      <c r="N412" s="286"/>
      <c r="O412" s="286"/>
      <c r="P412" s="286"/>
      <c r="Q412" s="204">
        <f t="shared" si="42"/>
        <v>97.3</v>
      </c>
      <c r="R412" s="204" t="str">
        <f t="shared" si="40"/>
        <v>NO</v>
      </c>
      <c r="S412" s="204" t="str">
        <f t="shared" si="41"/>
        <v>Inviable Sanitariamente</v>
      </c>
      <c r="T412" s="285"/>
    </row>
    <row r="413" spans="1:20" s="277" customFormat="1" ht="32.1" customHeight="1">
      <c r="A413" s="419" t="s">
        <v>157</v>
      </c>
      <c r="B413" s="238" t="s">
        <v>3364</v>
      </c>
      <c r="C413" s="238" t="s">
        <v>3365</v>
      </c>
      <c r="D413" s="119">
        <v>35</v>
      </c>
      <c r="E413" s="286"/>
      <c r="F413" s="286"/>
      <c r="G413" s="286"/>
      <c r="H413" s="286">
        <v>97.3</v>
      </c>
      <c r="I413" s="286"/>
      <c r="J413" s="286"/>
      <c r="K413" s="286"/>
      <c r="L413" s="286"/>
      <c r="M413" s="286"/>
      <c r="N413" s="286"/>
      <c r="O413" s="286"/>
      <c r="P413" s="286"/>
      <c r="Q413" s="204">
        <f t="shared" si="42"/>
        <v>97.3</v>
      </c>
      <c r="R413" s="204" t="str">
        <f t="shared" si="40"/>
        <v>NO</v>
      </c>
      <c r="S413" s="204" t="str">
        <f t="shared" si="41"/>
        <v>Inviable Sanitariamente</v>
      </c>
      <c r="T413" s="285"/>
    </row>
    <row r="414" spans="1:20" s="277" customFormat="1" ht="32.1" customHeight="1">
      <c r="A414" s="419" t="s">
        <v>157</v>
      </c>
      <c r="B414" s="238" t="s">
        <v>3366</v>
      </c>
      <c r="C414" s="238" t="s">
        <v>3367</v>
      </c>
      <c r="D414" s="119">
        <v>40</v>
      </c>
      <c r="E414" s="286">
        <v>46.9</v>
      </c>
      <c r="F414" s="286"/>
      <c r="G414" s="286"/>
      <c r="H414" s="286"/>
      <c r="I414" s="286"/>
      <c r="J414" s="286"/>
      <c r="K414" s="286"/>
      <c r="L414" s="286"/>
      <c r="M414" s="286"/>
      <c r="N414" s="286"/>
      <c r="O414" s="286"/>
      <c r="P414" s="286"/>
      <c r="Q414" s="204">
        <f t="shared" si="42"/>
        <v>46.9</v>
      </c>
      <c r="R414" s="204" t="str">
        <f t="shared" si="40"/>
        <v>NO</v>
      </c>
      <c r="S414" s="204" t="str">
        <f t="shared" si="41"/>
        <v>Alto</v>
      </c>
      <c r="T414" s="285"/>
    </row>
    <row r="415" spans="1:20" s="277" customFormat="1" ht="32.1" customHeight="1">
      <c r="A415" s="419" t="s">
        <v>157</v>
      </c>
      <c r="B415" s="238" t="s">
        <v>53</v>
      </c>
      <c r="C415" s="238" t="s">
        <v>3368</v>
      </c>
      <c r="D415" s="119">
        <v>22</v>
      </c>
      <c r="E415" s="286"/>
      <c r="F415" s="286">
        <v>46.9</v>
      </c>
      <c r="G415" s="286"/>
      <c r="H415" s="286"/>
      <c r="I415" s="286"/>
      <c r="J415" s="286"/>
      <c r="K415" s="286"/>
      <c r="L415" s="286"/>
      <c r="M415" s="286"/>
      <c r="N415" s="286"/>
      <c r="O415" s="286"/>
      <c r="P415" s="286"/>
      <c r="Q415" s="204">
        <f t="shared" si="42"/>
        <v>46.9</v>
      </c>
      <c r="R415" s="204" t="str">
        <f t="shared" ref="R415:R478" si="43">IF(Q415&lt;5,"SI","NO")</f>
        <v>NO</v>
      </c>
      <c r="S415" s="204" t="str">
        <f t="shared" si="41"/>
        <v>Alto</v>
      </c>
      <c r="T415" s="285"/>
    </row>
    <row r="416" spans="1:20" s="277" customFormat="1" ht="32.1" customHeight="1">
      <c r="A416" s="419" t="s">
        <v>157</v>
      </c>
      <c r="B416" s="238" t="s">
        <v>1281</v>
      </c>
      <c r="C416" s="238" t="s">
        <v>3369</v>
      </c>
      <c r="D416" s="119"/>
      <c r="E416" s="286"/>
      <c r="F416" s="286"/>
      <c r="G416" s="286"/>
      <c r="H416" s="286"/>
      <c r="I416" s="286"/>
      <c r="J416" s="286"/>
      <c r="K416" s="286"/>
      <c r="L416" s="286"/>
      <c r="M416" s="286"/>
      <c r="N416" s="286"/>
      <c r="O416" s="286"/>
      <c r="P416" s="286"/>
      <c r="Q416" s="204" t="e">
        <f t="shared" si="42"/>
        <v>#DIV/0!</v>
      </c>
      <c r="R416" s="204" t="e">
        <f t="shared" si="43"/>
        <v>#DIV/0!</v>
      </c>
      <c r="S416" s="204" t="e">
        <f t="shared" ref="S416:S479" si="44">IF(Q416&lt;=5,"Sin Riesgo",IF(Q416 &lt;=14,"Bajo",IF(Q416&lt;=35,"Medio",IF(Q416&lt;=80,"Alto","Inviable Sanitariamente"))))</f>
        <v>#DIV/0!</v>
      </c>
      <c r="T416" s="285"/>
    </row>
    <row r="417" spans="1:20" s="277" customFormat="1" ht="32.1" customHeight="1">
      <c r="A417" s="419" t="s">
        <v>157</v>
      </c>
      <c r="B417" s="238" t="s">
        <v>3370</v>
      </c>
      <c r="C417" s="238" t="s">
        <v>3371</v>
      </c>
      <c r="D417" s="119"/>
      <c r="E417" s="286"/>
      <c r="F417" s="286"/>
      <c r="G417" s="286"/>
      <c r="H417" s="286"/>
      <c r="I417" s="286"/>
      <c r="J417" s="286"/>
      <c r="K417" s="286"/>
      <c r="L417" s="286"/>
      <c r="M417" s="286"/>
      <c r="N417" s="286"/>
      <c r="O417" s="286"/>
      <c r="P417" s="286"/>
      <c r="Q417" s="204" t="e">
        <f t="shared" si="42"/>
        <v>#DIV/0!</v>
      </c>
      <c r="R417" s="204" t="e">
        <f t="shared" si="43"/>
        <v>#DIV/0!</v>
      </c>
      <c r="S417" s="204" t="e">
        <f t="shared" si="44"/>
        <v>#DIV/0!</v>
      </c>
      <c r="T417" s="285"/>
    </row>
    <row r="418" spans="1:20" s="277" customFormat="1" ht="32.1" customHeight="1">
      <c r="A418" s="419" t="s">
        <v>157</v>
      </c>
      <c r="B418" s="238" t="s">
        <v>3372</v>
      </c>
      <c r="C418" s="238" t="s">
        <v>3373</v>
      </c>
      <c r="D418" s="119">
        <v>50</v>
      </c>
      <c r="E418" s="286"/>
      <c r="F418" s="286"/>
      <c r="G418" s="286"/>
      <c r="H418" s="286">
        <v>97.3</v>
      </c>
      <c r="I418" s="286"/>
      <c r="J418" s="286">
        <v>97.3</v>
      </c>
      <c r="K418" s="286"/>
      <c r="L418" s="286"/>
      <c r="M418" s="286"/>
      <c r="N418" s="286"/>
      <c r="O418" s="286"/>
      <c r="P418" s="286"/>
      <c r="Q418" s="204">
        <f t="shared" si="42"/>
        <v>97.3</v>
      </c>
      <c r="R418" s="204" t="str">
        <f t="shared" si="43"/>
        <v>NO</v>
      </c>
      <c r="S418" s="204" t="str">
        <f t="shared" si="44"/>
        <v>Inviable Sanitariamente</v>
      </c>
      <c r="T418" s="285"/>
    </row>
    <row r="419" spans="1:20" s="277" customFormat="1" ht="32.1" customHeight="1">
      <c r="A419" s="419" t="s">
        <v>158</v>
      </c>
      <c r="B419" s="238" t="s">
        <v>3374</v>
      </c>
      <c r="C419" s="238" t="s">
        <v>3375</v>
      </c>
      <c r="D419" s="119">
        <v>415</v>
      </c>
      <c r="E419" s="286">
        <v>26.54</v>
      </c>
      <c r="F419" s="286"/>
      <c r="G419" s="286"/>
      <c r="H419" s="286">
        <v>53.1</v>
      </c>
      <c r="I419" s="286"/>
      <c r="J419" s="286"/>
      <c r="K419" s="286">
        <v>0</v>
      </c>
      <c r="L419" s="286"/>
      <c r="M419" s="286"/>
      <c r="N419" s="286"/>
      <c r="O419" s="286"/>
      <c r="P419" s="286"/>
      <c r="Q419" s="204">
        <f t="shared" si="42"/>
        <v>26.546666666666667</v>
      </c>
      <c r="R419" s="204" t="str">
        <f t="shared" si="43"/>
        <v>NO</v>
      </c>
      <c r="S419" s="204" t="str">
        <f t="shared" si="44"/>
        <v>Medio</v>
      </c>
      <c r="T419" s="285"/>
    </row>
    <row r="420" spans="1:20" s="277" customFormat="1" ht="32.1" customHeight="1">
      <c r="A420" s="419" t="s">
        <v>158</v>
      </c>
      <c r="B420" s="238" t="s">
        <v>3376</v>
      </c>
      <c r="C420" s="238" t="s">
        <v>3377</v>
      </c>
      <c r="D420" s="119">
        <v>142</v>
      </c>
      <c r="E420" s="286">
        <v>26.5</v>
      </c>
      <c r="F420" s="286"/>
      <c r="G420" s="286"/>
      <c r="H420" s="286">
        <v>53.1</v>
      </c>
      <c r="I420" s="286"/>
      <c r="J420" s="286"/>
      <c r="K420" s="286">
        <v>53.1</v>
      </c>
      <c r="L420" s="286"/>
      <c r="M420" s="286"/>
      <c r="N420" s="286"/>
      <c r="O420" s="286"/>
      <c r="P420" s="286"/>
      <c r="Q420" s="204">
        <f t="shared" si="42"/>
        <v>44.233333333333327</v>
      </c>
      <c r="R420" s="204" t="str">
        <f t="shared" si="43"/>
        <v>NO</v>
      </c>
      <c r="S420" s="204" t="str">
        <f t="shared" si="44"/>
        <v>Alto</v>
      </c>
      <c r="T420" s="285"/>
    </row>
    <row r="421" spans="1:20" s="277" customFormat="1" ht="32.1" customHeight="1">
      <c r="A421" s="419" t="s">
        <v>158</v>
      </c>
      <c r="B421" s="238" t="s">
        <v>72</v>
      </c>
      <c r="C421" s="238" t="s">
        <v>3378</v>
      </c>
      <c r="D421" s="119">
        <v>224</v>
      </c>
      <c r="E421" s="286">
        <v>2.6</v>
      </c>
      <c r="F421" s="286"/>
      <c r="G421" s="286"/>
      <c r="H421" s="286">
        <v>0</v>
      </c>
      <c r="I421" s="286"/>
      <c r="J421" s="286"/>
      <c r="K421" s="286"/>
      <c r="L421" s="286">
        <v>0</v>
      </c>
      <c r="M421" s="286"/>
      <c r="N421" s="286"/>
      <c r="O421" s="286">
        <v>0</v>
      </c>
      <c r="P421" s="286"/>
      <c r="Q421" s="204">
        <f t="shared" si="42"/>
        <v>0.65</v>
      </c>
      <c r="R421" s="204" t="str">
        <f t="shared" si="43"/>
        <v>SI</v>
      </c>
      <c r="S421" s="204" t="str">
        <f t="shared" si="44"/>
        <v>Sin Riesgo</v>
      </c>
      <c r="T421" s="285"/>
    </row>
    <row r="422" spans="1:20" s="277" customFormat="1" ht="32.1" customHeight="1">
      <c r="A422" s="419" t="s">
        <v>158</v>
      </c>
      <c r="B422" s="238" t="s">
        <v>3379</v>
      </c>
      <c r="C422" s="238" t="s">
        <v>3380</v>
      </c>
      <c r="D422" s="119">
        <v>200</v>
      </c>
      <c r="E422" s="286"/>
      <c r="F422" s="286">
        <v>53.1</v>
      </c>
      <c r="G422" s="286"/>
      <c r="H422" s="286">
        <v>53.1</v>
      </c>
      <c r="I422" s="286"/>
      <c r="J422" s="286"/>
      <c r="K422" s="286">
        <v>53.1</v>
      </c>
      <c r="L422" s="286"/>
      <c r="M422" s="286"/>
      <c r="N422" s="286"/>
      <c r="O422" s="286"/>
      <c r="P422" s="286"/>
      <c r="Q422" s="204">
        <f t="shared" si="42"/>
        <v>53.1</v>
      </c>
      <c r="R422" s="204" t="str">
        <f t="shared" si="43"/>
        <v>NO</v>
      </c>
      <c r="S422" s="204" t="str">
        <f t="shared" si="44"/>
        <v>Alto</v>
      </c>
      <c r="T422" s="285"/>
    </row>
    <row r="423" spans="1:20" s="277" customFormat="1" ht="32.1" customHeight="1">
      <c r="A423" s="419" t="s">
        <v>158</v>
      </c>
      <c r="B423" s="238" t="s">
        <v>3381</v>
      </c>
      <c r="C423" s="238" t="s">
        <v>3382</v>
      </c>
      <c r="D423" s="119">
        <v>134</v>
      </c>
      <c r="E423" s="286">
        <v>53.1</v>
      </c>
      <c r="F423" s="286"/>
      <c r="G423" s="286"/>
      <c r="H423" s="286"/>
      <c r="I423" s="286"/>
      <c r="J423" s="286"/>
      <c r="K423" s="286"/>
      <c r="L423" s="286"/>
      <c r="M423" s="286"/>
      <c r="N423" s="286"/>
      <c r="O423" s="286"/>
      <c r="P423" s="286"/>
      <c r="Q423" s="204">
        <f t="shared" si="42"/>
        <v>53.1</v>
      </c>
      <c r="R423" s="204" t="str">
        <f t="shared" si="43"/>
        <v>NO</v>
      </c>
      <c r="S423" s="204" t="str">
        <f t="shared" si="44"/>
        <v>Alto</v>
      </c>
      <c r="T423" s="285"/>
    </row>
    <row r="424" spans="1:20" s="277" customFormat="1" ht="32.1" customHeight="1">
      <c r="A424" s="419" t="s">
        <v>158</v>
      </c>
      <c r="B424" s="238" t="s">
        <v>3204</v>
      </c>
      <c r="C424" s="238" t="s">
        <v>3383</v>
      </c>
      <c r="D424" s="119">
        <v>60</v>
      </c>
      <c r="E424" s="286"/>
      <c r="F424" s="286">
        <v>53.1</v>
      </c>
      <c r="G424" s="286"/>
      <c r="H424" s="286"/>
      <c r="I424" s="286"/>
      <c r="J424" s="286"/>
      <c r="K424" s="286"/>
      <c r="L424" s="286"/>
      <c r="M424" s="286"/>
      <c r="N424" s="286"/>
      <c r="O424" s="286"/>
      <c r="P424" s="286"/>
      <c r="Q424" s="204">
        <f t="shared" si="42"/>
        <v>53.1</v>
      </c>
      <c r="R424" s="204" t="str">
        <f t="shared" si="43"/>
        <v>NO</v>
      </c>
      <c r="S424" s="204" t="str">
        <f t="shared" si="44"/>
        <v>Alto</v>
      </c>
      <c r="T424" s="285"/>
    </row>
    <row r="425" spans="1:20" s="277" customFormat="1" ht="32.1" customHeight="1">
      <c r="A425" s="419" t="s">
        <v>158</v>
      </c>
      <c r="B425" s="238" t="s">
        <v>510</v>
      </c>
      <c r="C425" s="238" t="s">
        <v>3384</v>
      </c>
      <c r="D425" s="119">
        <v>32</v>
      </c>
      <c r="E425" s="286"/>
      <c r="F425" s="286">
        <v>53.1</v>
      </c>
      <c r="G425" s="286"/>
      <c r="H425" s="286"/>
      <c r="I425" s="286"/>
      <c r="J425" s="286"/>
      <c r="K425" s="286"/>
      <c r="L425" s="286"/>
      <c r="M425" s="286"/>
      <c r="N425" s="286"/>
      <c r="O425" s="286"/>
      <c r="P425" s="286"/>
      <c r="Q425" s="204">
        <f t="shared" si="42"/>
        <v>53.1</v>
      </c>
      <c r="R425" s="204" t="str">
        <f t="shared" si="43"/>
        <v>NO</v>
      </c>
      <c r="S425" s="204" t="str">
        <f t="shared" si="44"/>
        <v>Alto</v>
      </c>
      <c r="T425" s="285"/>
    </row>
    <row r="426" spans="1:20" s="277" customFormat="1" ht="32.1" customHeight="1">
      <c r="A426" s="419" t="s">
        <v>158</v>
      </c>
      <c r="B426" s="238" t="s">
        <v>3385</v>
      </c>
      <c r="C426" s="238" t="s">
        <v>3386</v>
      </c>
      <c r="D426" s="114">
        <v>16</v>
      </c>
      <c r="E426" s="286"/>
      <c r="F426" s="286">
        <v>53.1</v>
      </c>
      <c r="G426" s="286"/>
      <c r="H426" s="286"/>
      <c r="I426" s="286"/>
      <c r="J426" s="286"/>
      <c r="K426" s="286"/>
      <c r="L426" s="286"/>
      <c r="M426" s="286"/>
      <c r="N426" s="286"/>
      <c r="O426" s="286"/>
      <c r="P426" s="286"/>
      <c r="Q426" s="204">
        <f t="shared" si="42"/>
        <v>53.1</v>
      </c>
      <c r="R426" s="204" t="str">
        <f t="shared" si="43"/>
        <v>NO</v>
      </c>
      <c r="S426" s="204" t="str">
        <f t="shared" si="44"/>
        <v>Alto</v>
      </c>
      <c r="T426" s="285"/>
    </row>
    <row r="427" spans="1:20" s="277" customFormat="1" ht="32.1" customHeight="1">
      <c r="A427" s="419" t="s">
        <v>158</v>
      </c>
      <c r="B427" s="238" t="s">
        <v>3387</v>
      </c>
      <c r="C427" s="238" t="s">
        <v>3388</v>
      </c>
      <c r="D427" s="119"/>
      <c r="E427" s="286"/>
      <c r="F427" s="286"/>
      <c r="G427" s="286"/>
      <c r="H427" s="286"/>
      <c r="I427" s="286"/>
      <c r="J427" s="286"/>
      <c r="K427" s="286"/>
      <c r="L427" s="286"/>
      <c r="M427" s="286"/>
      <c r="N427" s="286"/>
      <c r="O427" s="286"/>
      <c r="P427" s="286"/>
      <c r="Q427" s="204" t="e">
        <f t="shared" si="42"/>
        <v>#DIV/0!</v>
      </c>
      <c r="R427" s="204" t="e">
        <f t="shared" si="43"/>
        <v>#DIV/0!</v>
      </c>
      <c r="S427" s="204" t="e">
        <f t="shared" si="44"/>
        <v>#DIV/0!</v>
      </c>
      <c r="T427" s="285"/>
    </row>
    <row r="428" spans="1:20" s="277" customFormat="1" ht="32.1" customHeight="1">
      <c r="A428" s="419" t="s">
        <v>158</v>
      </c>
      <c r="B428" s="238" t="s">
        <v>3389</v>
      </c>
      <c r="C428" s="238" t="s">
        <v>3390</v>
      </c>
      <c r="D428" s="119">
        <v>152</v>
      </c>
      <c r="E428" s="286"/>
      <c r="F428" s="286">
        <v>0</v>
      </c>
      <c r="G428" s="286"/>
      <c r="H428" s="286">
        <v>32.200000000000003</v>
      </c>
      <c r="I428" s="286"/>
      <c r="J428" s="286"/>
      <c r="K428" s="286">
        <v>0</v>
      </c>
      <c r="L428" s="286"/>
      <c r="M428" s="286"/>
      <c r="N428" s="286"/>
      <c r="O428" s="286"/>
      <c r="P428" s="286"/>
      <c r="Q428" s="204">
        <f t="shared" si="42"/>
        <v>10.733333333333334</v>
      </c>
      <c r="R428" s="204" t="str">
        <f t="shared" si="43"/>
        <v>NO</v>
      </c>
      <c r="S428" s="204" t="str">
        <f t="shared" si="44"/>
        <v>Bajo</v>
      </c>
      <c r="T428" s="285"/>
    </row>
    <row r="429" spans="1:20" s="277" customFormat="1" ht="32.1" customHeight="1">
      <c r="A429" s="419" t="s">
        <v>158</v>
      </c>
      <c r="B429" s="238" t="s">
        <v>3391</v>
      </c>
      <c r="C429" s="238" t="s">
        <v>3392</v>
      </c>
      <c r="D429" s="114">
        <v>36</v>
      </c>
      <c r="E429" s="286"/>
      <c r="F429" s="286"/>
      <c r="G429" s="286"/>
      <c r="H429" s="286"/>
      <c r="I429" s="286"/>
      <c r="J429" s="286"/>
      <c r="K429" s="286"/>
      <c r="L429" s="286"/>
      <c r="M429" s="286"/>
      <c r="N429" s="286"/>
      <c r="O429" s="286">
        <v>53.1</v>
      </c>
      <c r="P429" s="286"/>
      <c r="Q429" s="204">
        <f t="shared" si="42"/>
        <v>53.1</v>
      </c>
      <c r="R429" s="204" t="str">
        <f t="shared" si="43"/>
        <v>NO</v>
      </c>
      <c r="S429" s="204" t="str">
        <f t="shared" si="44"/>
        <v>Alto</v>
      </c>
      <c r="T429" s="285"/>
    </row>
    <row r="430" spans="1:20" s="277" customFormat="1" ht="43.5" customHeight="1">
      <c r="A430" s="419" t="s">
        <v>158</v>
      </c>
      <c r="B430" s="238" t="s">
        <v>3393</v>
      </c>
      <c r="C430" s="238" t="s">
        <v>3394</v>
      </c>
      <c r="D430" s="119">
        <v>220</v>
      </c>
      <c r="E430" s="286"/>
      <c r="F430" s="286">
        <v>53.1</v>
      </c>
      <c r="G430" s="286"/>
      <c r="H430" s="286"/>
      <c r="I430" s="286"/>
      <c r="J430" s="286"/>
      <c r="K430" s="286"/>
      <c r="L430" s="286"/>
      <c r="M430" s="286"/>
      <c r="N430" s="286"/>
      <c r="O430" s="286"/>
      <c r="P430" s="286"/>
      <c r="Q430" s="204">
        <f t="shared" ref="Q430:Q493" si="45">AVERAGE(E430:P430)</f>
        <v>53.1</v>
      </c>
      <c r="R430" s="204" t="str">
        <f t="shared" si="43"/>
        <v>NO</v>
      </c>
      <c r="S430" s="204" t="str">
        <f t="shared" si="44"/>
        <v>Alto</v>
      </c>
      <c r="T430" s="285"/>
    </row>
    <row r="431" spans="1:20" s="277" customFormat="1" ht="32.1" customHeight="1">
      <c r="A431" s="419" t="s">
        <v>158</v>
      </c>
      <c r="B431" s="238" t="s">
        <v>3395</v>
      </c>
      <c r="C431" s="238" t="s">
        <v>3396</v>
      </c>
      <c r="D431" s="119">
        <v>40</v>
      </c>
      <c r="E431" s="286"/>
      <c r="F431" s="286">
        <v>53.1</v>
      </c>
      <c r="G431" s="286"/>
      <c r="H431" s="286"/>
      <c r="I431" s="286"/>
      <c r="J431" s="286"/>
      <c r="K431" s="286"/>
      <c r="L431" s="286"/>
      <c r="M431" s="286"/>
      <c r="N431" s="286"/>
      <c r="O431" s="286"/>
      <c r="P431" s="286"/>
      <c r="Q431" s="204">
        <f t="shared" si="45"/>
        <v>53.1</v>
      </c>
      <c r="R431" s="204" t="str">
        <f t="shared" si="43"/>
        <v>NO</v>
      </c>
      <c r="S431" s="204" t="str">
        <f t="shared" si="44"/>
        <v>Alto</v>
      </c>
      <c r="T431" s="285"/>
    </row>
    <row r="432" spans="1:20" s="277" customFormat="1" ht="32.1" customHeight="1">
      <c r="A432" s="419" t="s">
        <v>158</v>
      </c>
      <c r="B432" s="238" t="s">
        <v>707</v>
      </c>
      <c r="C432" s="238" t="s">
        <v>3397</v>
      </c>
      <c r="D432" s="114">
        <v>56</v>
      </c>
      <c r="E432" s="286"/>
      <c r="F432" s="286">
        <v>53.1</v>
      </c>
      <c r="G432" s="286"/>
      <c r="H432" s="286"/>
      <c r="I432" s="286"/>
      <c r="J432" s="286"/>
      <c r="K432" s="286"/>
      <c r="L432" s="286"/>
      <c r="M432" s="286"/>
      <c r="N432" s="286"/>
      <c r="O432" s="286"/>
      <c r="P432" s="286"/>
      <c r="Q432" s="204">
        <f t="shared" si="45"/>
        <v>53.1</v>
      </c>
      <c r="R432" s="204" t="str">
        <f t="shared" si="43"/>
        <v>NO</v>
      </c>
      <c r="S432" s="204" t="str">
        <f t="shared" si="44"/>
        <v>Alto</v>
      </c>
      <c r="T432" s="285"/>
    </row>
    <row r="433" spans="1:20" s="277" customFormat="1" ht="32.1" customHeight="1">
      <c r="A433" s="419" t="s">
        <v>158</v>
      </c>
      <c r="B433" s="238" t="s">
        <v>3398</v>
      </c>
      <c r="C433" s="238" t="s">
        <v>3399</v>
      </c>
      <c r="D433" s="119">
        <v>121</v>
      </c>
      <c r="E433" s="286"/>
      <c r="F433" s="286">
        <v>53.1</v>
      </c>
      <c r="G433" s="286"/>
      <c r="H433" s="286"/>
      <c r="I433" s="286"/>
      <c r="J433" s="286"/>
      <c r="K433" s="286"/>
      <c r="L433" s="286"/>
      <c r="M433" s="286"/>
      <c r="N433" s="286"/>
      <c r="O433" s="286"/>
      <c r="P433" s="286"/>
      <c r="Q433" s="204">
        <f t="shared" si="45"/>
        <v>53.1</v>
      </c>
      <c r="R433" s="204" t="str">
        <f t="shared" si="43"/>
        <v>NO</v>
      </c>
      <c r="S433" s="204" t="str">
        <f t="shared" si="44"/>
        <v>Alto</v>
      </c>
      <c r="T433" s="285"/>
    </row>
    <row r="434" spans="1:20" s="277" customFormat="1" ht="32.1" customHeight="1">
      <c r="A434" s="419" t="s">
        <v>158</v>
      </c>
      <c r="B434" s="238" t="s">
        <v>3400</v>
      </c>
      <c r="C434" s="238" t="s">
        <v>3401</v>
      </c>
      <c r="D434" s="119">
        <v>82</v>
      </c>
      <c r="E434" s="286"/>
      <c r="F434" s="286"/>
      <c r="G434" s="286">
        <v>53.1</v>
      </c>
      <c r="H434" s="286"/>
      <c r="I434" s="286"/>
      <c r="J434" s="286"/>
      <c r="K434" s="286"/>
      <c r="L434" s="286"/>
      <c r="M434" s="286"/>
      <c r="N434" s="286"/>
      <c r="O434" s="286"/>
      <c r="P434" s="286"/>
      <c r="Q434" s="204">
        <f t="shared" si="45"/>
        <v>53.1</v>
      </c>
      <c r="R434" s="204" t="str">
        <f t="shared" si="43"/>
        <v>NO</v>
      </c>
      <c r="S434" s="204" t="str">
        <f t="shared" si="44"/>
        <v>Alto</v>
      </c>
      <c r="T434" s="285"/>
    </row>
    <row r="435" spans="1:20" s="277" customFormat="1" ht="32.1" customHeight="1">
      <c r="A435" s="419" t="s">
        <v>158</v>
      </c>
      <c r="B435" s="238" t="s">
        <v>3402</v>
      </c>
      <c r="C435" s="238" t="s">
        <v>3403</v>
      </c>
      <c r="D435" s="119">
        <v>119</v>
      </c>
      <c r="E435" s="286"/>
      <c r="F435" s="286">
        <v>53.1</v>
      </c>
      <c r="G435" s="286"/>
      <c r="H435" s="286"/>
      <c r="I435" s="286"/>
      <c r="J435" s="286"/>
      <c r="K435" s="286"/>
      <c r="L435" s="286"/>
      <c r="M435" s="286"/>
      <c r="N435" s="286"/>
      <c r="O435" s="286"/>
      <c r="P435" s="286"/>
      <c r="Q435" s="204">
        <f t="shared" si="45"/>
        <v>53.1</v>
      </c>
      <c r="R435" s="204" t="str">
        <f t="shared" si="43"/>
        <v>NO</v>
      </c>
      <c r="S435" s="204" t="str">
        <f t="shared" si="44"/>
        <v>Alto</v>
      </c>
      <c r="T435" s="285"/>
    </row>
    <row r="436" spans="1:20" s="277" customFormat="1" ht="32.1" customHeight="1">
      <c r="A436" s="419" t="s">
        <v>158</v>
      </c>
      <c r="B436" s="238" t="s">
        <v>3404</v>
      </c>
      <c r="C436" s="238" t="s">
        <v>3405</v>
      </c>
      <c r="D436" s="119">
        <v>315</v>
      </c>
      <c r="E436" s="286"/>
      <c r="F436" s="286">
        <v>53.1</v>
      </c>
      <c r="G436" s="286"/>
      <c r="H436" s="286"/>
      <c r="I436" s="286"/>
      <c r="J436" s="286"/>
      <c r="K436" s="286"/>
      <c r="L436" s="286"/>
      <c r="M436" s="286"/>
      <c r="N436" s="286"/>
      <c r="O436" s="286"/>
      <c r="P436" s="286"/>
      <c r="Q436" s="204">
        <f t="shared" si="45"/>
        <v>53.1</v>
      </c>
      <c r="R436" s="204" t="str">
        <f t="shared" si="43"/>
        <v>NO</v>
      </c>
      <c r="S436" s="204" t="str">
        <f t="shared" si="44"/>
        <v>Alto</v>
      </c>
      <c r="T436" s="285"/>
    </row>
    <row r="437" spans="1:20" s="277" customFormat="1" ht="32.1" customHeight="1">
      <c r="A437" s="419" t="s">
        <v>158</v>
      </c>
      <c r="B437" s="238" t="s">
        <v>3406</v>
      </c>
      <c r="C437" s="238" t="s">
        <v>3407</v>
      </c>
      <c r="D437" s="119">
        <v>30</v>
      </c>
      <c r="E437" s="286"/>
      <c r="F437" s="286">
        <v>53.1</v>
      </c>
      <c r="G437" s="286"/>
      <c r="H437" s="286"/>
      <c r="I437" s="286"/>
      <c r="J437" s="286"/>
      <c r="K437" s="286"/>
      <c r="L437" s="286"/>
      <c r="M437" s="286"/>
      <c r="N437" s="286"/>
      <c r="O437" s="286"/>
      <c r="P437" s="286"/>
      <c r="Q437" s="204">
        <f t="shared" si="45"/>
        <v>53.1</v>
      </c>
      <c r="R437" s="204" t="str">
        <f t="shared" si="43"/>
        <v>NO</v>
      </c>
      <c r="S437" s="204" t="str">
        <f t="shared" si="44"/>
        <v>Alto</v>
      </c>
      <c r="T437" s="285"/>
    </row>
    <row r="438" spans="1:20" s="277" customFormat="1" ht="32.1" customHeight="1">
      <c r="A438" s="419" t="s">
        <v>158</v>
      </c>
      <c r="B438" s="238" t="s">
        <v>3408</v>
      </c>
      <c r="C438" s="238" t="s">
        <v>3409</v>
      </c>
      <c r="D438" s="119">
        <v>45</v>
      </c>
      <c r="E438" s="286"/>
      <c r="F438" s="286">
        <v>53.1</v>
      </c>
      <c r="G438" s="286"/>
      <c r="H438" s="286"/>
      <c r="I438" s="286"/>
      <c r="J438" s="286"/>
      <c r="K438" s="286"/>
      <c r="L438" s="286"/>
      <c r="M438" s="286"/>
      <c r="N438" s="286"/>
      <c r="O438" s="286"/>
      <c r="P438" s="286"/>
      <c r="Q438" s="204">
        <f t="shared" si="45"/>
        <v>53.1</v>
      </c>
      <c r="R438" s="204" t="str">
        <f t="shared" si="43"/>
        <v>NO</v>
      </c>
      <c r="S438" s="204" t="str">
        <f t="shared" si="44"/>
        <v>Alto</v>
      </c>
      <c r="T438" s="285"/>
    </row>
    <row r="439" spans="1:20" s="277" customFormat="1" ht="32.1" customHeight="1">
      <c r="A439" s="419" t="s">
        <v>158</v>
      </c>
      <c r="B439" s="238" t="s">
        <v>3410</v>
      </c>
      <c r="C439" s="238" t="s">
        <v>3411</v>
      </c>
      <c r="D439" s="119">
        <v>140</v>
      </c>
      <c r="E439" s="286">
        <v>53.1</v>
      </c>
      <c r="F439" s="286"/>
      <c r="G439" s="286"/>
      <c r="H439" s="286"/>
      <c r="I439" s="286"/>
      <c r="J439" s="286"/>
      <c r="K439" s="286"/>
      <c r="L439" s="286"/>
      <c r="M439" s="286"/>
      <c r="N439" s="286"/>
      <c r="O439" s="286"/>
      <c r="P439" s="286"/>
      <c r="Q439" s="204">
        <f t="shared" si="45"/>
        <v>53.1</v>
      </c>
      <c r="R439" s="204" t="str">
        <f t="shared" si="43"/>
        <v>NO</v>
      </c>
      <c r="S439" s="204" t="str">
        <f t="shared" si="44"/>
        <v>Alto</v>
      </c>
      <c r="T439" s="285"/>
    </row>
    <row r="440" spans="1:20" s="277" customFormat="1" ht="32.1" customHeight="1">
      <c r="A440" s="419" t="s">
        <v>158</v>
      </c>
      <c r="B440" s="238" t="s">
        <v>3412</v>
      </c>
      <c r="C440" s="238" t="s">
        <v>3413</v>
      </c>
      <c r="D440" s="119">
        <v>311</v>
      </c>
      <c r="E440" s="286">
        <v>53.1</v>
      </c>
      <c r="F440" s="286"/>
      <c r="G440" s="286"/>
      <c r="H440" s="286"/>
      <c r="I440" s="286"/>
      <c r="J440" s="286"/>
      <c r="K440" s="286"/>
      <c r="L440" s="286"/>
      <c r="M440" s="286"/>
      <c r="N440" s="286"/>
      <c r="O440" s="286"/>
      <c r="P440" s="286"/>
      <c r="Q440" s="204">
        <f t="shared" si="45"/>
        <v>53.1</v>
      </c>
      <c r="R440" s="204" t="str">
        <f t="shared" si="43"/>
        <v>NO</v>
      </c>
      <c r="S440" s="204" t="str">
        <f t="shared" si="44"/>
        <v>Alto</v>
      </c>
      <c r="T440" s="285"/>
    </row>
    <row r="441" spans="1:20" s="277" customFormat="1" ht="32.1" customHeight="1">
      <c r="A441" s="419" t="s">
        <v>158</v>
      </c>
      <c r="B441" s="238" t="s">
        <v>3414</v>
      </c>
      <c r="C441" s="238" t="s">
        <v>3415</v>
      </c>
      <c r="D441" s="119">
        <v>40</v>
      </c>
      <c r="E441" s="286"/>
      <c r="F441" s="286">
        <v>53.1</v>
      </c>
      <c r="G441" s="286"/>
      <c r="H441" s="286"/>
      <c r="I441" s="286"/>
      <c r="J441" s="286"/>
      <c r="K441" s="286"/>
      <c r="L441" s="286"/>
      <c r="M441" s="286"/>
      <c r="N441" s="286"/>
      <c r="O441" s="286"/>
      <c r="P441" s="286"/>
      <c r="Q441" s="204">
        <f t="shared" si="45"/>
        <v>53.1</v>
      </c>
      <c r="R441" s="204" t="str">
        <f t="shared" si="43"/>
        <v>NO</v>
      </c>
      <c r="S441" s="204" t="str">
        <f t="shared" si="44"/>
        <v>Alto</v>
      </c>
      <c r="T441" s="285"/>
    </row>
    <row r="442" spans="1:20" s="277" customFormat="1" ht="32.1" customHeight="1">
      <c r="A442" s="419" t="s">
        <v>158</v>
      </c>
      <c r="B442" s="238" t="s">
        <v>1100</v>
      </c>
      <c r="C442" s="238" t="s">
        <v>3416</v>
      </c>
      <c r="D442" s="119"/>
      <c r="E442" s="286"/>
      <c r="F442" s="286"/>
      <c r="G442" s="286"/>
      <c r="H442" s="286"/>
      <c r="I442" s="286"/>
      <c r="J442" s="286"/>
      <c r="K442" s="286"/>
      <c r="L442" s="286"/>
      <c r="M442" s="286"/>
      <c r="N442" s="286"/>
      <c r="O442" s="286"/>
      <c r="P442" s="286"/>
      <c r="Q442" s="204" t="e">
        <f t="shared" si="45"/>
        <v>#DIV/0!</v>
      </c>
      <c r="R442" s="204" t="e">
        <f t="shared" si="43"/>
        <v>#DIV/0!</v>
      </c>
      <c r="S442" s="204" t="e">
        <f t="shared" si="44"/>
        <v>#DIV/0!</v>
      </c>
      <c r="T442" s="285"/>
    </row>
    <row r="443" spans="1:20" s="277" customFormat="1" ht="32.1" customHeight="1">
      <c r="A443" s="419" t="s">
        <v>158</v>
      </c>
      <c r="B443" s="238" t="s">
        <v>3417</v>
      </c>
      <c r="C443" s="238" t="s">
        <v>3418</v>
      </c>
      <c r="D443" s="119">
        <v>185</v>
      </c>
      <c r="E443" s="286"/>
      <c r="F443" s="286">
        <v>53.1</v>
      </c>
      <c r="G443" s="286"/>
      <c r="H443" s="286"/>
      <c r="I443" s="286"/>
      <c r="J443" s="286"/>
      <c r="K443" s="286"/>
      <c r="L443" s="286"/>
      <c r="M443" s="286"/>
      <c r="N443" s="286"/>
      <c r="O443" s="286"/>
      <c r="P443" s="286"/>
      <c r="Q443" s="204">
        <f t="shared" si="45"/>
        <v>53.1</v>
      </c>
      <c r="R443" s="204" t="str">
        <f t="shared" si="43"/>
        <v>NO</v>
      </c>
      <c r="S443" s="204" t="str">
        <f t="shared" si="44"/>
        <v>Alto</v>
      </c>
      <c r="T443" s="285"/>
    </row>
    <row r="444" spans="1:20" s="277" customFormat="1" ht="32.1" customHeight="1">
      <c r="A444" s="419" t="s">
        <v>158</v>
      </c>
      <c r="B444" s="238" t="s">
        <v>3419</v>
      </c>
      <c r="C444" s="238" t="s">
        <v>3420</v>
      </c>
      <c r="D444" s="119">
        <v>48</v>
      </c>
      <c r="E444" s="286"/>
      <c r="F444" s="286">
        <v>53.1</v>
      </c>
      <c r="G444" s="286"/>
      <c r="H444" s="286"/>
      <c r="I444" s="286"/>
      <c r="J444" s="286"/>
      <c r="K444" s="286"/>
      <c r="L444" s="286"/>
      <c r="M444" s="286"/>
      <c r="N444" s="286"/>
      <c r="O444" s="286"/>
      <c r="P444" s="286"/>
      <c r="Q444" s="204">
        <f t="shared" si="45"/>
        <v>53.1</v>
      </c>
      <c r="R444" s="204" t="str">
        <f t="shared" si="43"/>
        <v>NO</v>
      </c>
      <c r="S444" s="204" t="str">
        <f t="shared" si="44"/>
        <v>Alto</v>
      </c>
      <c r="T444" s="285"/>
    </row>
    <row r="445" spans="1:20" s="277" customFormat="1" ht="32.1" customHeight="1">
      <c r="A445" s="419" t="s">
        <v>158</v>
      </c>
      <c r="B445" s="238" t="s">
        <v>3421</v>
      </c>
      <c r="C445" s="238" t="s">
        <v>3422</v>
      </c>
      <c r="D445" s="119">
        <v>28</v>
      </c>
      <c r="E445" s="286"/>
      <c r="F445" s="286">
        <v>53.1</v>
      </c>
      <c r="G445" s="286"/>
      <c r="H445" s="286"/>
      <c r="I445" s="286"/>
      <c r="J445" s="286"/>
      <c r="K445" s="286"/>
      <c r="L445" s="286"/>
      <c r="M445" s="286"/>
      <c r="N445" s="286"/>
      <c r="O445" s="286"/>
      <c r="P445" s="286"/>
      <c r="Q445" s="204">
        <f t="shared" si="45"/>
        <v>53.1</v>
      </c>
      <c r="R445" s="204" t="str">
        <f t="shared" si="43"/>
        <v>NO</v>
      </c>
      <c r="S445" s="204" t="str">
        <f t="shared" si="44"/>
        <v>Alto</v>
      </c>
      <c r="T445" s="285"/>
    </row>
    <row r="446" spans="1:20" s="277" customFormat="1" ht="32.1" customHeight="1">
      <c r="A446" s="419" t="s">
        <v>158</v>
      </c>
      <c r="B446" s="238" t="s">
        <v>3423</v>
      </c>
      <c r="C446" s="238" t="s">
        <v>3424</v>
      </c>
      <c r="D446" s="119">
        <v>32</v>
      </c>
      <c r="E446" s="286"/>
      <c r="F446" s="286">
        <v>53.1</v>
      </c>
      <c r="G446" s="286"/>
      <c r="H446" s="286"/>
      <c r="I446" s="286"/>
      <c r="J446" s="286"/>
      <c r="K446" s="286"/>
      <c r="L446" s="286"/>
      <c r="M446" s="286"/>
      <c r="N446" s="286"/>
      <c r="O446" s="286"/>
      <c r="P446" s="286"/>
      <c r="Q446" s="204">
        <f t="shared" si="45"/>
        <v>53.1</v>
      </c>
      <c r="R446" s="204" t="str">
        <f t="shared" si="43"/>
        <v>NO</v>
      </c>
      <c r="S446" s="204" t="str">
        <f t="shared" si="44"/>
        <v>Alto</v>
      </c>
      <c r="T446" s="285"/>
    </row>
    <row r="447" spans="1:20" s="277" customFormat="1" ht="32.1" customHeight="1">
      <c r="A447" s="419" t="s">
        <v>3425</v>
      </c>
      <c r="B447" s="238" t="s">
        <v>2232</v>
      </c>
      <c r="C447" s="238" t="s">
        <v>2820</v>
      </c>
      <c r="D447" s="119">
        <v>116</v>
      </c>
      <c r="E447" s="286"/>
      <c r="F447" s="286"/>
      <c r="G447" s="286"/>
      <c r="H447" s="286"/>
      <c r="I447" s="286"/>
      <c r="J447" s="286">
        <v>97.3</v>
      </c>
      <c r="K447" s="286"/>
      <c r="L447" s="286"/>
      <c r="M447" s="286"/>
      <c r="N447" s="286"/>
      <c r="O447" s="286">
        <v>97.3</v>
      </c>
      <c r="P447" s="286"/>
      <c r="Q447" s="204">
        <f t="shared" si="45"/>
        <v>97.3</v>
      </c>
      <c r="R447" s="204" t="str">
        <f t="shared" si="43"/>
        <v>NO</v>
      </c>
      <c r="S447" s="204" t="str">
        <f t="shared" si="44"/>
        <v>Inviable Sanitariamente</v>
      </c>
      <c r="T447" s="285"/>
    </row>
    <row r="448" spans="1:20" s="277" customFormat="1" ht="32.1" customHeight="1">
      <c r="A448" s="419" t="s">
        <v>3425</v>
      </c>
      <c r="B448" s="238" t="s">
        <v>2214</v>
      </c>
      <c r="C448" s="238" t="s">
        <v>3426</v>
      </c>
      <c r="D448" s="119">
        <v>72</v>
      </c>
      <c r="E448" s="286"/>
      <c r="F448" s="286"/>
      <c r="G448" s="286"/>
      <c r="H448" s="286">
        <v>97.3</v>
      </c>
      <c r="I448" s="286"/>
      <c r="J448" s="286"/>
      <c r="K448" s="286"/>
      <c r="L448" s="286"/>
      <c r="M448" s="286">
        <v>97.3</v>
      </c>
      <c r="N448" s="286"/>
      <c r="O448" s="286"/>
      <c r="P448" s="286"/>
      <c r="Q448" s="204">
        <f t="shared" si="45"/>
        <v>97.3</v>
      </c>
      <c r="R448" s="204" t="str">
        <f t="shared" si="43"/>
        <v>NO</v>
      </c>
      <c r="S448" s="204" t="str">
        <f t="shared" si="44"/>
        <v>Inviable Sanitariamente</v>
      </c>
      <c r="T448" s="285"/>
    </row>
    <row r="449" spans="1:20" s="277" customFormat="1" ht="32.1" customHeight="1">
      <c r="A449" s="419" t="s">
        <v>3425</v>
      </c>
      <c r="B449" s="238" t="s">
        <v>3427</v>
      </c>
      <c r="C449" s="238" t="s">
        <v>3428</v>
      </c>
      <c r="D449" s="119">
        <v>58</v>
      </c>
      <c r="E449" s="286"/>
      <c r="F449" s="286"/>
      <c r="G449" s="286"/>
      <c r="H449" s="286">
        <v>97.3</v>
      </c>
      <c r="I449" s="286"/>
      <c r="J449" s="286"/>
      <c r="K449" s="286"/>
      <c r="L449" s="286">
        <v>97.3</v>
      </c>
      <c r="M449" s="286"/>
      <c r="N449" s="286"/>
      <c r="O449" s="286"/>
      <c r="P449" s="286"/>
      <c r="Q449" s="204">
        <f t="shared" si="45"/>
        <v>97.3</v>
      </c>
      <c r="R449" s="204" t="str">
        <f t="shared" si="43"/>
        <v>NO</v>
      </c>
      <c r="S449" s="204" t="str">
        <f t="shared" si="44"/>
        <v>Inviable Sanitariamente</v>
      </c>
      <c r="T449" s="285"/>
    </row>
    <row r="450" spans="1:20" s="277" customFormat="1" ht="32.1" customHeight="1">
      <c r="A450" s="419" t="s">
        <v>3425</v>
      </c>
      <c r="B450" s="238" t="s">
        <v>3429</v>
      </c>
      <c r="C450" s="238" t="s">
        <v>3430</v>
      </c>
      <c r="D450" s="119">
        <v>38</v>
      </c>
      <c r="E450" s="286"/>
      <c r="F450" s="286"/>
      <c r="G450" s="286"/>
      <c r="H450" s="286">
        <v>97.3</v>
      </c>
      <c r="I450" s="286"/>
      <c r="J450" s="286"/>
      <c r="K450" s="286"/>
      <c r="L450" s="286">
        <v>97.3</v>
      </c>
      <c r="M450" s="286"/>
      <c r="N450" s="286"/>
      <c r="O450" s="286"/>
      <c r="P450" s="286"/>
      <c r="Q450" s="204">
        <f t="shared" si="45"/>
        <v>97.3</v>
      </c>
      <c r="R450" s="204" t="str">
        <f t="shared" si="43"/>
        <v>NO</v>
      </c>
      <c r="S450" s="204" t="str">
        <f t="shared" si="44"/>
        <v>Inviable Sanitariamente</v>
      </c>
      <c r="T450" s="285"/>
    </row>
    <row r="451" spans="1:20" s="277" customFormat="1" ht="32.1" customHeight="1">
      <c r="A451" s="419" t="s">
        <v>3425</v>
      </c>
      <c r="B451" s="238" t="s">
        <v>3315</v>
      </c>
      <c r="C451" s="238" t="s">
        <v>3431</v>
      </c>
      <c r="D451" s="119">
        <v>40</v>
      </c>
      <c r="E451" s="286"/>
      <c r="F451" s="286">
        <v>97.3</v>
      </c>
      <c r="G451" s="286"/>
      <c r="H451" s="286"/>
      <c r="I451" s="286"/>
      <c r="J451" s="286"/>
      <c r="K451" s="286"/>
      <c r="L451" s="286"/>
      <c r="M451" s="286"/>
      <c r="N451" s="286"/>
      <c r="O451" s="286"/>
      <c r="P451" s="286"/>
      <c r="Q451" s="204">
        <f t="shared" si="45"/>
        <v>97.3</v>
      </c>
      <c r="R451" s="204" t="str">
        <f t="shared" si="43"/>
        <v>NO</v>
      </c>
      <c r="S451" s="204" t="str">
        <f t="shared" si="44"/>
        <v>Inviable Sanitariamente</v>
      </c>
      <c r="T451" s="285"/>
    </row>
    <row r="452" spans="1:20" s="277" customFormat="1" ht="32.1" customHeight="1">
      <c r="A452" s="419" t="s">
        <v>3425</v>
      </c>
      <c r="B452" s="238" t="s">
        <v>2875</v>
      </c>
      <c r="C452" s="238" t="s">
        <v>3432</v>
      </c>
      <c r="D452" s="119">
        <v>50</v>
      </c>
      <c r="E452" s="286"/>
      <c r="F452" s="286"/>
      <c r="G452" s="286"/>
      <c r="H452" s="286"/>
      <c r="I452" s="286">
        <v>97.3</v>
      </c>
      <c r="J452" s="286"/>
      <c r="K452" s="286"/>
      <c r="L452" s="286"/>
      <c r="M452" s="286">
        <v>97.3</v>
      </c>
      <c r="N452" s="286"/>
      <c r="O452" s="286"/>
      <c r="P452" s="286"/>
      <c r="Q452" s="204">
        <f t="shared" si="45"/>
        <v>97.3</v>
      </c>
      <c r="R452" s="204" t="str">
        <f t="shared" si="43"/>
        <v>NO</v>
      </c>
      <c r="S452" s="204" t="str">
        <f t="shared" si="44"/>
        <v>Inviable Sanitariamente</v>
      </c>
      <c r="T452" s="285"/>
    </row>
    <row r="453" spans="1:20" s="277" customFormat="1" ht="32.1" customHeight="1">
      <c r="A453" s="419" t="s">
        <v>3425</v>
      </c>
      <c r="B453" s="238" t="s">
        <v>3433</v>
      </c>
      <c r="C453" s="238" t="s">
        <v>3434</v>
      </c>
      <c r="D453" s="119">
        <v>57</v>
      </c>
      <c r="E453" s="286"/>
      <c r="F453" s="286"/>
      <c r="G453" s="286">
        <v>97.3</v>
      </c>
      <c r="H453" s="286"/>
      <c r="I453" s="286"/>
      <c r="J453" s="286"/>
      <c r="K453" s="286"/>
      <c r="L453" s="286"/>
      <c r="M453" s="286"/>
      <c r="N453" s="286"/>
      <c r="O453" s="286"/>
      <c r="P453" s="286"/>
      <c r="Q453" s="204">
        <f t="shared" si="45"/>
        <v>97.3</v>
      </c>
      <c r="R453" s="204" t="str">
        <f t="shared" si="43"/>
        <v>NO</v>
      </c>
      <c r="S453" s="204" t="str">
        <f t="shared" si="44"/>
        <v>Inviable Sanitariamente</v>
      </c>
      <c r="T453" s="285"/>
    </row>
    <row r="454" spans="1:20" s="277" customFormat="1" ht="32.1" customHeight="1">
      <c r="A454" s="419" t="s">
        <v>3425</v>
      </c>
      <c r="B454" s="238" t="s">
        <v>3435</v>
      </c>
      <c r="C454" s="238" t="s">
        <v>3436</v>
      </c>
      <c r="D454" s="114">
        <v>100</v>
      </c>
      <c r="E454" s="286"/>
      <c r="F454" s="286"/>
      <c r="G454" s="286"/>
      <c r="H454" s="286"/>
      <c r="I454" s="286"/>
      <c r="J454" s="286">
        <v>97.3</v>
      </c>
      <c r="K454" s="286"/>
      <c r="L454" s="286"/>
      <c r="M454" s="286"/>
      <c r="N454" s="286"/>
      <c r="O454" s="286"/>
      <c r="P454" s="286"/>
      <c r="Q454" s="204">
        <f t="shared" si="45"/>
        <v>97.3</v>
      </c>
      <c r="R454" s="204" t="str">
        <f t="shared" si="43"/>
        <v>NO</v>
      </c>
      <c r="S454" s="204" t="str">
        <f t="shared" si="44"/>
        <v>Inviable Sanitariamente</v>
      </c>
      <c r="T454" s="285"/>
    </row>
    <row r="455" spans="1:20" s="277" customFormat="1" ht="32.1" customHeight="1">
      <c r="A455" s="419" t="s">
        <v>3425</v>
      </c>
      <c r="B455" s="238" t="s">
        <v>3437</v>
      </c>
      <c r="C455" s="238" t="s">
        <v>3438</v>
      </c>
      <c r="D455" s="119">
        <v>27</v>
      </c>
      <c r="E455" s="286"/>
      <c r="F455" s="286"/>
      <c r="G455" s="286"/>
      <c r="H455" s="286"/>
      <c r="I455" s="286"/>
      <c r="J455" s="286">
        <v>0</v>
      </c>
      <c r="K455" s="286"/>
      <c r="L455" s="286"/>
      <c r="M455" s="286"/>
      <c r="N455" s="286"/>
      <c r="O455" s="286"/>
      <c r="P455" s="286"/>
      <c r="Q455" s="204">
        <f t="shared" si="45"/>
        <v>0</v>
      </c>
      <c r="R455" s="204" t="str">
        <f t="shared" si="43"/>
        <v>SI</v>
      </c>
      <c r="S455" s="204" t="str">
        <f t="shared" si="44"/>
        <v>Sin Riesgo</v>
      </c>
      <c r="T455" s="285"/>
    </row>
    <row r="456" spans="1:20" s="277" customFormat="1" ht="32.1" customHeight="1">
      <c r="A456" s="419" t="s">
        <v>3425</v>
      </c>
      <c r="B456" s="238" t="s">
        <v>2639</v>
      </c>
      <c r="C456" s="238" t="s">
        <v>3439</v>
      </c>
      <c r="D456" s="119">
        <v>152</v>
      </c>
      <c r="E456" s="286">
        <v>0</v>
      </c>
      <c r="F456" s="286"/>
      <c r="G456" s="286"/>
      <c r="H456" s="286"/>
      <c r="I456" s="286">
        <v>0</v>
      </c>
      <c r="J456" s="286"/>
      <c r="K456" s="286"/>
      <c r="L456" s="286"/>
      <c r="M456" s="286"/>
      <c r="N456" s="286"/>
      <c r="O456" s="286">
        <v>0</v>
      </c>
      <c r="P456" s="286"/>
      <c r="Q456" s="204">
        <f t="shared" si="45"/>
        <v>0</v>
      </c>
      <c r="R456" s="204" t="str">
        <f t="shared" si="43"/>
        <v>SI</v>
      </c>
      <c r="S456" s="204" t="str">
        <f t="shared" si="44"/>
        <v>Sin Riesgo</v>
      </c>
      <c r="T456" s="285"/>
    </row>
    <row r="457" spans="1:20" s="277" customFormat="1" ht="32.1" customHeight="1">
      <c r="A457" s="419" t="s">
        <v>3425</v>
      </c>
      <c r="B457" s="238" t="s">
        <v>3440</v>
      </c>
      <c r="C457" s="238" t="s">
        <v>3441</v>
      </c>
      <c r="D457" s="114">
        <v>31</v>
      </c>
      <c r="E457" s="286"/>
      <c r="F457" s="286"/>
      <c r="G457" s="286"/>
      <c r="H457" s="286"/>
      <c r="I457" s="286">
        <v>97.3</v>
      </c>
      <c r="J457" s="286"/>
      <c r="K457" s="286"/>
      <c r="L457" s="286">
        <v>97.3</v>
      </c>
      <c r="M457" s="286"/>
      <c r="N457" s="286"/>
      <c r="O457" s="286"/>
      <c r="P457" s="286"/>
      <c r="Q457" s="204">
        <f t="shared" si="45"/>
        <v>97.3</v>
      </c>
      <c r="R457" s="204" t="str">
        <f t="shared" si="43"/>
        <v>NO</v>
      </c>
      <c r="S457" s="204" t="str">
        <f t="shared" si="44"/>
        <v>Inviable Sanitariamente</v>
      </c>
      <c r="T457" s="285"/>
    </row>
    <row r="458" spans="1:20" s="277" customFormat="1" ht="32.1" customHeight="1">
      <c r="A458" s="419" t="s">
        <v>3425</v>
      </c>
      <c r="B458" s="238" t="s">
        <v>3442</v>
      </c>
      <c r="C458" s="238" t="s">
        <v>3443</v>
      </c>
      <c r="D458" s="119">
        <v>15</v>
      </c>
      <c r="E458" s="286"/>
      <c r="F458" s="286"/>
      <c r="G458" s="286"/>
      <c r="H458" s="286">
        <v>97.3</v>
      </c>
      <c r="I458" s="286"/>
      <c r="J458" s="286"/>
      <c r="K458" s="286"/>
      <c r="L458" s="286">
        <v>97.3</v>
      </c>
      <c r="M458" s="286"/>
      <c r="N458" s="286"/>
      <c r="O458" s="286"/>
      <c r="P458" s="286"/>
      <c r="Q458" s="204">
        <f t="shared" si="45"/>
        <v>97.3</v>
      </c>
      <c r="R458" s="204" t="str">
        <f t="shared" si="43"/>
        <v>NO</v>
      </c>
      <c r="S458" s="204" t="str">
        <f t="shared" si="44"/>
        <v>Inviable Sanitariamente</v>
      </c>
      <c r="T458" s="285"/>
    </row>
    <row r="459" spans="1:20" s="277" customFormat="1" ht="32.1" customHeight="1">
      <c r="A459" s="419" t="s">
        <v>3425</v>
      </c>
      <c r="B459" s="238" t="s">
        <v>3444</v>
      </c>
      <c r="C459" s="238" t="s">
        <v>3445</v>
      </c>
      <c r="D459" s="119">
        <v>45</v>
      </c>
      <c r="E459" s="286"/>
      <c r="F459" s="286">
        <v>97.3</v>
      </c>
      <c r="G459" s="286"/>
      <c r="H459" s="286"/>
      <c r="I459" s="286"/>
      <c r="J459" s="286"/>
      <c r="K459" s="286"/>
      <c r="L459" s="286"/>
      <c r="M459" s="286"/>
      <c r="N459" s="286"/>
      <c r="O459" s="286"/>
      <c r="P459" s="286"/>
      <c r="Q459" s="204">
        <f t="shared" si="45"/>
        <v>97.3</v>
      </c>
      <c r="R459" s="204" t="str">
        <f t="shared" si="43"/>
        <v>NO</v>
      </c>
      <c r="S459" s="204" t="str">
        <f t="shared" si="44"/>
        <v>Inviable Sanitariamente</v>
      </c>
      <c r="T459" s="285"/>
    </row>
    <row r="460" spans="1:20" s="277" customFormat="1" ht="32.1" customHeight="1">
      <c r="A460" s="419" t="s">
        <v>3425</v>
      </c>
      <c r="B460" s="238" t="s">
        <v>659</v>
      </c>
      <c r="C460" s="238" t="s">
        <v>3446</v>
      </c>
      <c r="D460" s="114">
        <v>38</v>
      </c>
      <c r="E460" s="286"/>
      <c r="F460" s="286"/>
      <c r="G460" s="286"/>
      <c r="H460" s="286"/>
      <c r="I460" s="286"/>
      <c r="J460" s="286"/>
      <c r="K460" s="286">
        <v>97.3</v>
      </c>
      <c r="L460" s="286"/>
      <c r="M460" s="286"/>
      <c r="N460" s="286">
        <v>97.3</v>
      </c>
      <c r="O460" s="286"/>
      <c r="P460" s="286"/>
      <c r="Q460" s="204">
        <f t="shared" si="45"/>
        <v>97.3</v>
      </c>
      <c r="R460" s="204" t="str">
        <f t="shared" si="43"/>
        <v>NO</v>
      </c>
      <c r="S460" s="204" t="str">
        <f t="shared" si="44"/>
        <v>Inviable Sanitariamente</v>
      </c>
      <c r="T460" s="285"/>
    </row>
    <row r="461" spans="1:20" s="277" customFormat="1" ht="32.1" customHeight="1">
      <c r="A461" s="419" t="s">
        <v>3425</v>
      </c>
      <c r="B461" s="238" t="s">
        <v>3447</v>
      </c>
      <c r="C461" s="238" t="s">
        <v>3448</v>
      </c>
      <c r="D461" s="119">
        <v>16</v>
      </c>
      <c r="E461" s="286"/>
      <c r="F461" s="286"/>
      <c r="G461" s="286"/>
      <c r="H461" s="286"/>
      <c r="I461" s="286"/>
      <c r="J461" s="286"/>
      <c r="K461" s="286">
        <v>97.3</v>
      </c>
      <c r="L461" s="286"/>
      <c r="M461" s="286"/>
      <c r="N461" s="286"/>
      <c r="O461" s="286"/>
      <c r="P461" s="286"/>
      <c r="Q461" s="204">
        <f t="shared" si="45"/>
        <v>97.3</v>
      </c>
      <c r="R461" s="204" t="str">
        <f t="shared" si="43"/>
        <v>NO</v>
      </c>
      <c r="S461" s="204" t="str">
        <f t="shared" si="44"/>
        <v>Inviable Sanitariamente</v>
      </c>
      <c r="T461" s="285"/>
    </row>
    <row r="462" spans="1:20" s="277" customFormat="1" ht="32.1" customHeight="1">
      <c r="A462" s="419" t="s">
        <v>3425</v>
      </c>
      <c r="B462" s="238" t="s">
        <v>3080</v>
      </c>
      <c r="C462" s="238" t="s">
        <v>3449</v>
      </c>
      <c r="D462" s="119">
        <v>42</v>
      </c>
      <c r="E462" s="286"/>
      <c r="F462" s="286"/>
      <c r="G462" s="286"/>
      <c r="H462" s="286"/>
      <c r="I462" s="286"/>
      <c r="J462" s="286"/>
      <c r="K462" s="286">
        <v>97.3</v>
      </c>
      <c r="L462" s="286"/>
      <c r="M462" s="286"/>
      <c r="N462" s="286"/>
      <c r="O462" s="286">
        <v>97.3</v>
      </c>
      <c r="P462" s="286"/>
      <c r="Q462" s="204">
        <f t="shared" si="45"/>
        <v>97.3</v>
      </c>
      <c r="R462" s="204" t="str">
        <f t="shared" si="43"/>
        <v>NO</v>
      </c>
      <c r="S462" s="204" t="str">
        <f t="shared" si="44"/>
        <v>Inviable Sanitariamente</v>
      </c>
      <c r="T462" s="285"/>
    </row>
    <row r="463" spans="1:20" s="277" customFormat="1" ht="32.1" customHeight="1">
      <c r="A463" s="419" t="s">
        <v>3425</v>
      </c>
      <c r="B463" s="238" t="s">
        <v>3450</v>
      </c>
      <c r="C463" s="238" t="s">
        <v>3451</v>
      </c>
      <c r="D463" s="119">
        <v>19</v>
      </c>
      <c r="E463" s="286"/>
      <c r="F463" s="286"/>
      <c r="G463" s="286"/>
      <c r="H463" s="286"/>
      <c r="I463" s="286">
        <v>97.3</v>
      </c>
      <c r="J463" s="286"/>
      <c r="K463" s="286"/>
      <c r="L463" s="286"/>
      <c r="M463" s="286"/>
      <c r="N463" s="286"/>
      <c r="O463" s="286">
        <v>97.3</v>
      </c>
      <c r="P463" s="286"/>
      <c r="Q463" s="204">
        <f t="shared" si="45"/>
        <v>97.3</v>
      </c>
      <c r="R463" s="204" t="str">
        <f t="shared" si="43"/>
        <v>NO</v>
      </c>
      <c r="S463" s="204" t="str">
        <f t="shared" si="44"/>
        <v>Inviable Sanitariamente</v>
      </c>
      <c r="T463" s="285"/>
    </row>
    <row r="464" spans="1:20" s="277" customFormat="1" ht="32.1" customHeight="1">
      <c r="A464" s="419" t="s">
        <v>3425</v>
      </c>
      <c r="B464" s="238" t="s">
        <v>3452</v>
      </c>
      <c r="C464" s="238" t="s">
        <v>3453</v>
      </c>
      <c r="D464" s="156">
        <v>79</v>
      </c>
      <c r="E464" s="286"/>
      <c r="F464" s="286"/>
      <c r="G464" s="286"/>
      <c r="H464" s="286"/>
      <c r="I464" s="286"/>
      <c r="J464" s="286">
        <v>97.3</v>
      </c>
      <c r="K464" s="286"/>
      <c r="L464" s="286"/>
      <c r="M464" s="286"/>
      <c r="N464" s="286">
        <v>97.3</v>
      </c>
      <c r="O464" s="286"/>
      <c r="P464" s="286"/>
      <c r="Q464" s="204">
        <f t="shared" si="45"/>
        <v>97.3</v>
      </c>
      <c r="R464" s="204" t="str">
        <f t="shared" si="43"/>
        <v>NO</v>
      </c>
      <c r="S464" s="204" t="str">
        <f t="shared" si="44"/>
        <v>Inviable Sanitariamente</v>
      </c>
      <c r="T464" s="285"/>
    </row>
    <row r="465" spans="1:20" s="277" customFormat="1" ht="32.1" customHeight="1">
      <c r="A465" s="419" t="s">
        <v>3425</v>
      </c>
      <c r="B465" s="238" t="s">
        <v>3454</v>
      </c>
      <c r="C465" s="238" t="s">
        <v>3455</v>
      </c>
      <c r="D465" s="119">
        <v>50</v>
      </c>
      <c r="E465" s="286"/>
      <c r="F465" s="286"/>
      <c r="G465" s="286"/>
      <c r="H465" s="286">
        <v>97.3</v>
      </c>
      <c r="I465" s="286"/>
      <c r="J465" s="286"/>
      <c r="K465" s="286"/>
      <c r="L465" s="286">
        <v>97.3</v>
      </c>
      <c r="M465" s="286"/>
      <c r="N465" s="286"/>
      <c r="O465" s="286"/>
      <c r="P465" s="286"/>
      <c r="Q465" s="204">
        <f t="shared" si="45"/>
        <v>97.3</v>
      </c>
      <c r="R465" s="204" t="str">
        <f t="shared" si="43"/>
        <v>NO</v>
      </c>
      <c r="S465" s="204" t="str">
        <f t="shared" si="44"/>
        <v>Inviable Sanitariamente</v>
      </c>
      <c r="T465" s="285"/>
    </row>
    <row r="466" spans="1:20" s="277" customFormat="1" ht="32.1" customHeight="1">
      <c r="A466" s="419" t="s">
        <v>3425</v>
      </c>
      <c r="B466" s="238" t="s">
        <v>3456</v>
      </c>
      <c r="C466" s="238" t="s">
        <v>3457</v>
      </c>
      <c r="D466" s="119">
        <v>120</v>
      </c>
      <c r="E466" s="286"/>
      <c r="F466" s="286"/>
      <c r="G466" s="286"/>
      <c r="H466" s="286"/>
      <c r="I466" s="286">
        <v>97.3</v>
      </c>
      <c r="J466" s="286"/>
      <c r="K466" s="286"/>
      <c r="L466" s="286"/>
      <c r="M466" s="286">
        <v>97.3</v>
      </c>
      <c r="N466" s="286"/>
      <c r="O466" s="286"/>
      <c r="P466" s="286"/>
      <c r="Q466" s="204">
        <f t="shared" si="45"/>
        <v>97.3</v>
      </c>
      <c r="R466" s="204" t="str">
        <f t="shared" si="43"/>
        <v>NO</v>
      </c>
      <c r="S466" s="204" t="str">
        <f t="shared" si="44"/>
        <v>Inviable Sanitariamente</v>
      </c>
      <c r="T466" s="285"/>
    </row>
    <row r="467" spans="1:20" s="277" customFormat="1" ht="32.1" customHeight="1">
      <c r="A467" s="419" t="s">
        <v>3425</v>
      </c>
      <c r="B467" s="238" t="s">
        <v>1181</v>
      </c>
      <c r="C467" s="238" t="s">
        <v>3458</v>
      </c>
      <c r="D467" s="156">
        <v>64</v>
      </c>
      <c r="E467" s="286"/>
      <c r="F467" s="286"/>
      <c r="G467" s="286">
        <v>97.3</v>
      </c>
      <c r="H467" s="286"/>
      <c r="I467" s="286"/>
      <c r="J467" s="286"/>
      <c r="K467" s="286"/>
      <c r="L467" s="286"/>
      <c r="M467" s="286"/>
      <c r="N467" s="286"/>
      <c r="O467" s="286">
        <v>97.3</v>
      </c>
      <c r="P467" s="286"/>
      <c r="Q467" s="204">
        <f t="shared" si="45"/>
        <v>97.3</v>
      </c>
      <c r="R467" s="204" t="str">
        <f t="shared" si="43"/>
        <v>NO</v>
      </c>
      <c r="S467" s="204" t="str">
        <f t="shared" si="44"/>
        <v>Inviable Sanitariamente</v>
      </c>
      <c r="T467" s="285"/>
    </row>
    <row r="468" spans="1:20" s="277" customFormat="1" ht="32.1" customHeight="1">
      <c r="A468" s="419" t="s">
        <v>3425</v>
      </c>
      <c r="B468" s="238" t="s">
        <v>3459</v>
      </c>
      <c r="C468" s="238" t="s">
        <v>3460</v>
      </c>
      <c r="D468" s="156">
        <v>74</v>
      </c>
      <c r="E468" s="286"/>
      <c r="F468" s="286"/>
      <c r="G468" s="286">
        <v>97.3</v>
      </c>
      <c r="H468" s="286"/>
      <c r="I468" s="286"/>
      <c r="J468" s="286"/>
      <c r="K468" s="286">
        <v>97.3</v>
      </c>
      <c r="L468" s="286"/>
      <c r="M468" s="286"/>
      <c r="N468" s="286"/>
      <c r="O468" s="286">
        <v>97.3</v>
      </c>
      <c r="P468" s="286"/>
      <c r="Q468" s="204">
        <f t="shared" si="45"/>
        <v>97.3</v>
      </c>
      <c r="R468" s="204" t="str">
        <f t="shared" si="43"/>
        <v>NO</v>
      </c>
      <c r="S468" s="204" t="str">
        <f t="shared" si="44"/>
        <v>Inviable Sanitariamente</v>
      </c>
      <c r="T468" s="285"/>
    </row>
    <row r="469" spans="1:20" s="277" customFormat="1" ht="32.1" customHeight="1">
      <c r="A469" s="419" t="s">
        <v>3425</v>
      </c>
      <c r="B469" s="238" t="s">
        <v>733</v>
      </c>
      <c r="C469" s="238" t="s">
        <v>3461</v>
      </c>
      <c r="D469" s="119">
        <v>22</v>
      </c>
      <c r="E469" s="286"/>
      <c r="F469" s="286"/>
      <c r="G469" s="286"/>
      <c r="H469" s="286"/>
      <c r="I469" s="286"/>
      <c r="J469" s="286">
        <v>97.3</v>
      </c>
      <c r="K469" s="286"/>
      <c r="L469" s="286"/>
      <c r="M469" s="286">
        <v>97.3</v>
      </c>
      <c r="N469" s="286"/>
      <c r="O469" s="286"/>
      <c r="P469" s="286"/>
      <c r="Q469" s="204">
        <f t="shared" si="45"/>
        <v>97.3</v>
      </c>
      <c r="R469" s="204" t="str">
        <f t="shared" si="43"/>
        <v>NO</v>
      </c>
      <c r="S469" s="204" t="str">
        <f t="shared" si="44"/>
        <v>Inviable Sanitariamente</v>
      </c>
      <c r="T469" s="285"/>
    </row>
    <row r="470" spans="1:20" s="277" customFormat="1" ht="32.1" customHeight="1">
      <c r="A470" s="419" t="s">
        <v>3425</v>
      </c>
      <c r="B470" s="238" t="s">
        <v>3462</v>
      </c>
      <c r="C470" s="238" t="s">
        <v>3463</v>
      </c>
      <c r="D470" s="156">
        <v>6</v>
      </c>
      <c r="E470" s="286"/>
      <c r="F470" s="286"/>
      <c r="G470" s="286"/>
      <c r="H470" s="286"/>
      <c r="I470" s="286"/>
      <c r="J470" s="286">
        <v>97.3</v>
      </c>
      <c r="K470" s="286"/>
      <c r="L470" s="286"/>
      <c r="M470" s="286"/>
      <c r="N470" s="286"/>
      <c r="O470" s="286"/>
      <c r="P470" s="286"/>
      <c r="Q470" s="204">
        <f t="shared" si="45"/>
        <v>97.3</v>
      </c>
      <c r="R470" s="204" t="str">
        <f t="shared" si="43"/>
        <v>NO</v>
      </c>
      <c r="S470" s="204" t="str">
        <f t="shared" si="44"/>
        <v>Inviable Sanitariamente</v>
      </c>
      <c r="T470" s="285"/>
    </row>
    <row r="471" spans="1:20" s="277" customFormat="1" ht="32.1" customHeight="1">
      <c r="A471" s="419" t="s">
        <v>3425</v>
      </c>
      <c r="B471" s="238" t="s">
        <v>3464</v>
      </c>
      <c r="C471" s="238" t="s">
        <v>3465</v>
      </c>
      <c r="D471" s="114">
        <v>58</v>
      </c>
      <c r="E471" s="286"/>
      <c r="F471" s="286">
        <v>97.3</v>
      </c>
      <c r="G471" s="286"/>
      <c r="H471" s="286"/>
      <c r="I471" s="286"/>
      <c r="J471" s="286"/>
      <c r="K471" s="286"/>
      <c r="L471" s="286"/>
      <c r="M471" s="286"/>
      <c r="N471" s="286"/>
      <c r="O471" s="286">
        <v>97.3</v>
      </c>
      <c r="P471" s="286"/>
      <c r="Q471" s="204">
        <f t="shared" si="45"/>
        <v>97.3</v>
      </c>
      <c r="R471" s="204" t="str">
        <f t="shared" si="43"/>
        <v>NO</v>
      </c>
      <c r="S471" s="204" t="str">
        <f t="shared" si="44"/>
        <v>Inviable Sanitariamente</v>
      </c>
      <c r="T471" s="285"/>
    </row>
    <row r="472" spans="1:20" s="277" customFormat="1" ht="32.1" customHeight="1">
      <c r="A472" s="419" t="s">
        <v>3425</v>
      </c>
      <c r="B472" s="238" t="s">
        <v>3466</v>
      </c>
      <c r="C472" s="238" t="s">
        <v>3467</v>
      </c>
      <c r="D472" s="114">
        <v>97</v>
      </c>
      <c r="E472" s="286"/>
      <c r="F472" s="286"/>
      <c r="G472" s="286">
        <v>97.3</v>
      </c>
      <c r="H472" s="286"/>
      <c r="I472" s="286"/>
      <c r="J472" s="286"/>
      <c r="K472" s="286"/>
      <c r="L472" s="286"/>
      <c r="M472" s="286"/>
      <c r="N472" s="286"/>
      <c r="O472" s="286"/>
      <c r="P472" s="286"/>
      <c r="Q472" s="204">
        <f t="shared" si="45"/>
        <v>97.3</v>
      </c>
      <c r="R472" s="204" t="str">
        <f t="shared" si="43"/>
        <v>NO</v>
      </c>
      <c r="S472" s="204" t="str">
        <f t="shared" si="44"/>
        <v>Inviable Sanitariamente</v>
      </c>
      <c r="T472" s="285"/>
    </row>
    <row r="473" spans="1:20" s="277" customFormat="1" ht="32.1" customHeight="1">
      <c r="A473" s="419" t="s">
        <v>3425</v>
      </c>
      <c r="B473" s="238" t="s">
        <v>3468</v>
      </c>
      <c r="C473" s="238" t="s">
        <v>3469</v>
      </c>
      <c r="D473" s="114">
        <v>97</v>
      </c>
      <c r="E473" s="286"/>
      <c r="F473" s="286"/>
      <c r="G473" s="286">
        <v>97.3</v>
      </c>
      <c r="H473" s="286"/>
      <c r="I473" s="286"/>
      <c r="J473" s="286"/>
      <c r="K473" s="286"/>
      <c r="L473" s="286"/>
      <c r="M473" s="286"/>
      <c r="N473" s="286"/>
      <c r="O473" s="286"/>
      <c r="P473" s="286"/>
      <c r="Q473" s="204">
        <f t="shared" si="45"/>
        <v>97.3</v>
      </c>
      <c r="R473" s="204" t="str">
        <f t="shared" si="43"/>
        <v>NO</v>
      </c>
      <c r="S473" s="204" t="str">
        <f t="shared" si="44"/>
        <v>Inviable Sanitariamente</v>
      </c>
      <c r="T473" s="285"/>
    </row>
    <row r="474" spans="1:20" s="277" customFormat="1" ht="32.1" customHeight="1">
      <c r="A474" s="419" t="s">
        <v>3425</v>
      </c>
      <c r="B474" s="238" t="s">
        <v>3470</v>
      </c>
      <c r="C474" s="238" t="s">
        <v>3471</v>
      </c>
      <c r="D474" s="114">
        <v>60</v>
      </c>
      <c r="E474" s="286"/>
      <c r="F474" s="286">
        <v>97.3</v>
      </c>
      <c r="G474" s="286"/>
      <c r="H474" s="286"/>
      <c r="I474" s="286"/>
      <c r="J474" s="286"/>
      <c r="K474" s="286"/>
      <c r="L474" s="286"/>
      <c r="M474" s="286"/>
      <c r="N474" s="286"/>
      <c r="O474" s="286"/>
      <c r="P474" s="286"/>
      <c r="Q474" s="204">
        <f t="shared" si="45"/>
        <v>97.3</v>
      </c>
      <c r="R474" s="204" t="str">
        <f t="shared" si="43"/>
        <v>NO</v>
      </c>
      <c r="S474" s="204" t="str">
        <f t="shared" si="44"/>
        <v>Inviable Sanitariamente</v>
      </c>
      <c r="T474" s="285"/>
    </row>
    <row r="475" spans="1:20" s="277" customFormat="1" ht="32.1" customHeight="1">
      <c r="A475" s="419" t="s">
        <v>3425</v>
      </c>
      <c r="B475" s="238" t="s">
        <v>3472</v>
      </c>
      <c r="C475" s="238" t="s">
        <v>3473</v>
      </c>
      <c r="D475" s="114">
        <v>59</v>
      </c>
      <c r="E475" s="286"/>
      <c r="F475" s="286"/>
      <c r="G475" s="286"/>
      <c r="H475" s="286"/>
      <c r="I475" s="286"/>
      <c r="J475" s="286"/>
      <c r="K475" s="286">
        <v>97.3</v>
      </c>
      <c r="L475" s="286"/>
      <c r="M475" s="286"/>
      <c r="N475" s="286"/>
      <c r="O475" s="286"/>
      <c r="P475" s="286"/>
      <c r="Q475" s="204">
        <f t="shared" si="45"/>
        <v>97.3</v>
      </c>
      <c r="R475" s="204" t="str">
        <f t="shared" si="43"/>
        <v>NO</v>
      </c>
      <c r="S475" s="204" t="str">
        <f t="shared" si="44"/>
        <v>Inviable Sanitariamente</v>
      </c>
      <c r="T475" s="285"/>
    </row>
    <row r="476" spans="1:20" s="277" customFormat="1" ht="32.1" customHeight="1">
      <c r="A476" s="419" t="s">
        <v>3425</v>
      </c>
      <c r="B476" s="238" t="s">
        <v>3474</v>
      </c>
      <c r="C476" s="238" t="s">
        <v>3475</v>
      </c>
      <c r="D476" s="114">
        <v>59</v>
      </c>
      <c r="E476" s="286"/>
      <c r="F476" s="286"/>
      <c r="G476" s="286">
        <v>97.3</v>
      </c>
      <c r="H476" s="286"/>
      <c r="I476" s="286"/>
      <c r="J476" s="286"/>
      <c r="K476" s="286"/>
      <c r="L476" s="286"/>
      <c r="M476" s="286"/>
      <c r="N476" s="286"/>
      <c r="O476" s="286">
        <v>97.3</v>
      </c>
      <c r="P476" s="286"/>
      <c r="Q476" s="204">
        <f t="shared" si="45"/>
        <v>97.3</v>
      </c>
      <c r="R476" s="204" t="str">
        <f t="shared" si="43"/>
        <v>NO</v>
      </c>
      <c r="S476" s="204" t="str">
        <f t="shared" si="44"/>
        <v>Inviable Sanitariamente</v>
      </c>
      <c r="T476" s="285"/>
    </row>
    <row r="477" spans="1:20" s="277" customFormat="1" ht="32.1" customHeight="1">
      <c r="A477" s="419" t="s">
        <v>3425</v>
      </c>
      <c r="B477" s="238" t="s">
        <v>3476</v>
      </c>
      <c r="C477" s="238" t="s">
        <v>3477</v>
      </c>
      <c r="D477" s="114">
        <v>83</v>
      </c>
      <c r="E477" s="286"/>
      <c r="F477" s="286"/>
      <c r="G477" s="286"/>
      <c r="H477" s="286"/>
      <c r="I477" s="286">
        <v>97.3</v>
      </c>
      <c r="J477" s="286"/>
      <c r="K477" s="286"/>
      <c r="L477" s="286">
        <v>97.3</v>
      </c>
      <c r="M477" s="286"/>
      <c r="N477" s="286"/>
      <c r="O477" s="286"/>
      <c r="P477" s="286"/>
      <c r="Q477" s="204">
        <f t="shared" si="45"/>
        <v>97.3</v>
      </c>
      <c r="R477" s="204" t="str">
        <f t="shared" si="43"/>
        <v>NO</v>
      </c>
      <c r="S477" s="204" t="str">
        <f t="shared" si="44"/>
        <v>Inviable Sanitariamente</v>
      </c>
      <c r="T477" s="285"/>
    </row>
    <row r="478" spans="1:20" s="277" customFormat="1" ht="32.1" customHeight="1">
      <c r="A478" s="419" t="s">
        <v>3425</v>
      </c>
      <c r="B478" s="238" t="s">
        <v>2918</v>
      </c>
      <c r="C478" s="238" t="s">
        <v>3478</v>
      </c>
      <c r="D478" s="114">
        <v>32</v>
      </c>
      <c r="E478" s="286"/>
      <c r="F478" s="286"/>
      <c r="G478" s="286"/>
      <c r="H478" s="286"/>
      <c r="I478" s="286"/>
      <c r="J478" s="286">
        <v>97.3</v>
      </c>
      <c r="K478" s="286"/>
      <c r="L478" s="286"/>
      <c r="M478" s="286">
        <v>97.3</v>
      </c>
      <c r="N478" s="286"/>
      <c r="O478" s="286"/>
      <c r="P478" s="286"/>
      <c r="Q478" s="204">
        <f t="shared" si="45"/>
        <v>97.3</v>
      </c>
      <c r="R478" s="204" t="str">
        <f t="shared" si="43"/>
        <v>NO</v>
      </c>
      <c r="S478" s="204" t="str">
        <f t="shared" si="44"/>
        <v>Inviable Sanitariamente</v>
      </c>
      <c r="T478" s="285"/>
    </row>
    <row r="479" spans="1:20" s="277" customFormat="1" ht="32.1" customHeight="1">
      <c r="A479" s="419" t="s">
        <v>3425</v>
      </c>
      <c r="B479" s="238" t="s">
        <v>3479</v>
      </c>
      <c r="C479" s="238" t="s">
        <v>3480</v>
      </c>
      <c r="D479" s="114">
        <v>179</v>
      </c>
      <c r="E479" s="286">
        <v>0</v>
      </c>
      <c r="F479" s="286"/>
      <c r="G479" s="286"/>
      <c r="H479" s="286"/>
      <c r="I479" s="286">
        <v>0</v>
      </c>
      <c r="J479" s="286"/>
      <c r="K479" s="286"/>
      <c r="L479" s="286"/>
      <c r="M479" s="286"/>
      <c r="N479" s="286"/>
      <c r="O479" s="286">
        <v>0</v>
      </c>
      <c r="P479" s="286"/>
      <c r="Q479" s="204">
        <f t="shared" si="45"/>
        <v>0</v>
      </c>
      <c r="R479" s="204" t="str">
        <f t="shared" ref="R479:R527" si="46">IF(Q479&lt;5,"SI","NO")</f>
        <v>SI</v>
      </c>
      <c r="S479" s="204" t="str">
        <f t="shared" si="44"/>
        <v>Sin Riesgo</v>
      </c>
      <c r="T479" s="285"/>
    </row>
    <row r="480" spans="1:20" s="288" customFormat="1" ht="32.1" customHeight="1">
      <c r="A480" s="419" t="s">
        <v>3425</v>
      </c>
      <c r="B480" s="238" t="s">
        <v>3481</v>
      </c>
      <c r="C480" s="238" t="s">
        <v>3482</v>
      </c>
      <c r="D480" s="119">
        <v>233</v>
      </c>
      <c r="E480" s="286"/>
      <c r="F480" s="286"/>
      <c r="G480" s="286"/>
      <c r="H480" s="286"/>
      <c r="I480" s="286"/>
      <c r="J480" s="286">
        <v>0</v>
      </c>
      <c r="K480" s="286"/>
      <c r="L480" s="286"/>
      <c r="M480" s="286"/>
      <c r="N480" s="286"/>
      <c r="O480" s="286"/>
      <c r="P480" s="286"/>
      <c r="Q480" s="204">
        <f t="shared" si="45"/>
        <v>0</v>
      </c>
      <c r="R480" s="204" t="str">
        <f t="shared" si="46"/>
        <v>SI</v>
      </c>
      <c r="S480" s="204" t="str">
        <f t="shared" ref="S480:S527" si="47">IF(Q480&lt;=5,"Sin Riesgo",IF(Q480 &lt;=14,"Bajo",IF(Q480&lt;=35,"Medio",IF(Q480&lt;=80,"Alto","Inviable Sanitariamente"))))</f>
        <v>Sin Riesgo</v>
      </c>
      <c r="T480" s="287"/>
    </row>
    <row r="481" spans="1:20" ht="32.1" customHeight="1">
      <c r="A481" s="419" t="s">
        <v>3425</v>
      </c>
      <c r="B481" s="238" t="s">
        <v>2947</v>
      </c>
      <c r="C481" s="238" t="s">
        <v>3483</v>
      </c>
      <c r="D481" s="119">
        <v>688</v>
      </c>
      <c r="E481" s="286">
        <v>0</v>
      </c>
      <c r="F481" s="286"/>
      <c r="G481" s="286"/>
      <c r="H481" s="286"/>
      <c r="I481" s="286"/>
      <c r="J481" s="286"/>
      <c r="K481" s="286"/>
      <c r="L481" s="286"/>
      <c r="M481" s="286"/>
      <c r="N481" s="286"/>
      <c r="O481" s="286">
        <v>0</v>
      </c>
      <c r="P481" s="286"/>
      <c r="Q481" s="204">
        <f t="shared" si="45"/>
        <v>0</v>
      </c>
      <c r="R481" s="204" t="str">
        <f t="shared" si="46"/>
        <v>SI</v>
      </c>
      <c r="S481" s="204" t="str">
        <f t="shared" si="47"/>
        <v>Sin Riesgo</v>
      </c>
      <c r="T481" s="287"/>
    </row>
    <row r="482" spans="1:20" ht="32.1" customHeight="1">
      <c r="A482" s="419" t="s">
        <v>3425</v>
      </c>
      <c r="B482" s="238" t="s">
        <v>3484</v>
      </c>
      <c r="C482" s="238" t="s">
        <v>3485</v>
      </c>
      <c r="D482" s="119">
        <v>53</v>
      </c>
      <c r="E482" s="286"/>
      <c r="F482" s="286"/>
      <c r="G482" s="286"/>
      <c r="H482" s="286"/>
      <c r="I482" s="286">
        <v>0</v>
      </c>
      <c r="J482" s="286"/>
      <c r="K482" s="286"/>
      <c r="L482" s="286"/>
      <c r="M482" s="286"/>
      <c r="N482" s="286"/>
      <c r="O482" s="286">
        <v>0</v>
      </c>
      <c r="P482" s="286"/>
      <c r="Q482" s="204">
        <f t="shared" si="45"/>
        <v>0</v>
      </c>
      <c r="R482" s="204" t="str">
        <f t="shared" si="46"/>
        <v>SI</v>
      </c>
      <c r="S482" s="204" t="str">
        <f t="shared" si="47"/>
        <v>Sin Riesgo</v>
      </c>
      <c r="T482" s="287"/>
    </row>
    <row r="483" spans="1:20" ht="32.1" customHeight="1">
      <c r="A483" s="419" t="s">
        <v>3425</v>
      </c>
      <c r="B483" s="238" t="s">
        <v>3486</v>
      </c>
      <c r="C483" s="238" t="s">
        <v>3487</v>
      </c>
      <c r="D483" s="119">
        <v>80</v>
      </c>
      <c r="E483" s="286"/>
      <c r="F483" s="286"/>
      <c r="G483" s="286">
        <v>97.3</v>
      </c>
      <c r="H483" s="286"/>
      <c r="I483" s="286"/>
      <c r="J483" s="286"/>
      <c r="K483" s="286"/>
      <c r="L483" s="286"/>
      <c r="M483" s="286"/>
      <c r="N483" s="286"/>
      <c r="O483" s="286"/>
      <c r="P483" s="286"/>
      <c r="Q483" s="204">
        <f t="shared" si="45"/>
        <v>97.3</v>
      </c>
      <c r="R483" s="204" t="str">
        <f t="shared" si="46"/>
        <v>NO</v>
      </c>
      <c r="S483" s="204" t="str">
        <f t="shared" si="47"/>
        <v>Inviable Sanitariamente</v>
      </c>
      <c r="T483" s="287"/>
    </row>
    <row r="484" spans="1:20" ht="32.1" customHeight="1">
      <c r="A484" s="419" t="s">
        <v>4311</v>
      </c>
      <c r="B484" s="238" t="s">
        <v>3489</v>
      </c>
      <c r="C484" s="238" t="s">
        <v>3490</v>
      </c>
      <c r="D484" s="119">
        <v>125</v>
      </c>
      <c r="E484" s="286"/>
      <c r="F484" s="286">
        <v>97.9</v>
      </c>
      <c r="G484" s="286"/>
      <c r="H484" s="286"/>
      <c r="I484" s="286"/>
      <c r="J484" s="286"/>
      <c r="K484" s="286"/>
      <c r="L484" s="286"/>
      <c r="M484" s="286"/>
      <c r="N484" s="286"/>
      <c r="O484" s="286"/>
      <c r="P484" s="286"/>
      <c r="Q484" s="204">
        <f t="shared" si="45"/>
        <v>97.9</v>
      </c>
      <c r="R484" s="204" t="str">
        <f t="shared" si="46"/>
        <v>NO</v>
      </c>
      <c r="S484" s="204" t="str">
        <f t="shared" si="47"/>
        <v>Inviable Sanitariamente</v>
      </c>
      <c r="T484" s="287"/>
    </row>
    <row r="485" spans="1:20" ht="32.1" customHeight="1">
      <c r="A485" s="419" t="s">
        <v>4311</v>
      </c>
      <c r="B485" s="238" t="s">
        <v>904</v>
      </c>
      <c r="C485" s="238" t="s">
        <v>3491</v>
      </c>
      <c r="D485" s="119">
        <v>18</v>
      </c>
      <c r="E485" s="286"/>
      <c r="F485" s="286">
        <v>97.9</v>
      </c>
      <c r="G485" s="286"/>
      <c r="H485" s="286"/>
      <c r="I485" s="286"/>
      <c r="J485" s="286"/>
      <c r="K485" s="286"/>
      <c r="L485" s="286"/>
      <c r="M485" s="286"/>
      <c r="N485" s="286"/>
      <c r="O485" s="286"/>
      <c r="P485" s="286"/>
      <c r="Q485" s="204">
        <f t="shared" si="45"/>
        <v>97.9</v>
      </c>
      <c r="R485" s="204" t="str">
        <f t="shared" si="46"/>
        <v>NO</v>
      </c>
      <c r="S485" s="204" t="str">
        <f t="shared" si="47"/>
        <v>Inviable Sanitariamente</v>
      </c>
      <c r="T485" s="287"/>
    </row>
    <row r="486" spans="1:20" ht="32.1" customHeight="1">
      <c r="A486" s="419" t="s">
        <v>4311</v>
      </c>
      <c r="B486" s="238" t="s">
        <v>3492</v>
      </c>
      <c r="C486" s="238" t="s">
        <v>3493</v>
      </c>
      <c r="D486" s="119">
        <v>70</v>
      </c>
      <c r="E486" s="286"/>
      <c r="F486" s="286">
        <v>97.9</v>
      </c>
      <c r="G486" s="286"/>
      <c r="H486" s="286"/>
      <c r="I486" s="286"/>
      <c r="J486" s="286"/>
      <c r="K486" s="286"/>
      <c r="L486" s="286"/>
      <c r="M486" s="286"/>
      <c r="N486" s="286"/>
      <c r="O486" s="286"/>
      <c r="P486" s="286"/>
      <c r="Q486" s="204">
        <f t="shared" si="45"/>
        <v>97.9</v>
      </c>
      <c r="R486" s="204" t="str">
        <f t="shared" si="46"/>
        <v>NO</v>
      </c>
      <c r="S486" s="204" t="str">
        <f t="shared" si="47"/>
        <v>Inviable Sanitariamente</v>
      </c>
      <c r="T486" s="287"/>
    </row>
    <row r="487" spans="1:20" ht="32.1" customHeight="1">
      <c r="A487" s="419" t="s">
        <v>4311</v>
      </c>
      <c r="B487" s="238" t="s">
        <v>3494</v>
      </c>
      <c r="C487" s="238" t="s">
        <v>3495</v>
      </c>
      <c r="D487" s="119">
        <v>110</v>
      </c>
      <c r="E487" s="286"/>
      <c r="F487" s="286">
        <v>20.98</v>
      </c>
      <c r="G487" s="286">
        <v>41.96</v>
      </c>
      <c r="H487" s="286">
        <v>41.96</v>
      </c>
      <c r="I487" s="286">
        <v>0</v>
      </c>
      <c r="J487" s="286">
        <v>76.92</v>
      </c>
      <c r="K487" s="286">
        <v>34.97</v>
      </c>
      <c r="L487" s="286">
        <v>53.1</v>
      </c>
      <c r="M487" s="286"/>
      <c r="N487" s="286"/>
      <c r="O487" s="286"/>
      <c r="P487" s="286"/>
      <c r="Q487" s="204">
        <f t="shared" si="45"/>
        <v>38.555714285714281</v>
      </c>
      <c r="R487" s="204" t="str">
        <f t="shared" si="46"/>
        <v>NO</v>
      </c>
      <c r="S487" s="204" t="str">
        <f t="shared" si="47"/>
        <v>Alto</v>
      </c>
      <c r="T487" s="287"/>
    </row>
    <row r="488" spans="1:20" ht="32.1" customHeight="1">
      <c r="A488" s="419" t="s">
        <v>4311</v>
      </c>
      <c r="B488" s="238" t="s">
        <v>3496</v>
      </c>
      <c r="C488" s="238" t="s">
        <v>3497</v>
      </c>
      <c r="D488" s="119">
        <v>110</v>
      </c>
      <c r="E488" s="286"/>
      <c r="F488" s="286">
        <v>97.9</v>
      </c>
      <c r="G488" s="286"/>
      <c r="H488" s="286"/>
      <c r="I488" s="286"/>
      <c r="J488" s="286"/>
      <c r="K488" s="286"/>
      <c r="L488" s="286"/>
      <c r="M488" s="286"/>
      <c r="N488" s="286"/>
      <c r="O488" s="286"/>
      <c r="P488" s="286"/>
      <c r="Q488" s="204">
        <f t="shared" si="45"/>
        <v>97.9</v>
      </c>
      <c r="R488" s="204" t="str">
        <f t="shared" si="46"/>
        <v>NO</v>
      </c>
      <c r="S488" s="204" t="str">
        <f t="shared" si="47"/>
        <v>Inviable Sanitariamente</v>
      </c>
      <c r="T488" s="287"/>
    </row>
    <row r="489" spans="1:20" ht="32.1" customHeight="1">
      <c r="A489" s="419" t="s">
        <v>4311</v>
      </c>
      <c r="B489" s="238" t="s">
        <v>3498</v>
      </c>
      <c r="C489" s="238" t="s">
        <v>3499</v>
      </c>
      <c r="D489" s="119">
        <v>67</v>
      </c>
      <c r="E489" s="286"/>
      <c r="F489" s="286">
        <v>97.9</v>
      </c>
      <c r="G489" s="286"/>
      <c r="H489" s="286"/>
      <c r="I489" s="286"/>
      <c r="J489" s="286"/>
      <c r="K489" s="286"/>
      <c r="L489" s="286"/>
      <c r="M489" s="286"/>
      <c r="N489" s="286"/>
      <c r="O489" s="286"/>
      <c r="P489" s="286"/>
      <c r="Q489" s="204">
        <f t="shared" si="45"/>
        <v>97.9</v>
      </c>
      <c r="R489" s="204" t="str">
        <f t="shared" si="46"/>
        <v>NO</v>
      </c>
      <c r="S489" s="204" t="str">
        <f t="shared" si="47"/>
        <v>Inviable Sanitariamente</v>
      </c>
      <c r="T489" s="287"/>
    </row>
    <row r="490" spans="1:20" ht="32.1" customHeight="1">
      <c r="A490" s="419" t="s">
        <v>4311</v>
      </c>
      <c r="B490" s="238" t="s">
        <v>3500</v>
      </c>
      <c r="C490" s="238" t="s">
        <v>3501</v>
      </c>
      <c r="D490" s="119">
        <v>117</v>
      </c>
      <c r="E490" s="286">
        <v>0</v>
      </c>
      <c r="F490" s="286">
        <v>55.94</v>
      </c>
      <c r="G490" s="286">
        <v>20.98</v>
      </c>
      <c r="H490" s="286">
        <v>0</v>
      </c>
      <c r="I490" s="286"/>
      <c r="J490" s="286">
        <v>20.98</v>
      </c>
      <c r="K490" s="286">
        <v>0</v>
      </c>
      <c r="L490" s="286"/>
      <c r="M490" s="286"/>
      <c r="N490" s="286"/>
      <c r="O490" s="286"/>
      <c r="P490" s="286"/>
      <c r="Q490" s="204">
        <f t="shared" si="45"/>
        <v>16.316666666666666</v>
      </c>
      <c r="R490" s="204" t="str">
        <f t="shared" si="46"/>
        <v>NO</v>
      </c>
      <c r="S490" s="204" t="str">
        <f t="shared" si="47"/>
        <v>Medio</v>
      </c>
      <c r="T490" s="287"/>
    </row>
    <row r="491" spans="1:20" ht="32.1" customHeight="1">
      <c r="A491" s="419" t="s">
        <v>4311</v>
      </c>
      <c r="B491" s="238" t="s">
        <v>3502</v>
      </c>
      <c r="C491" s="238" t="s">
        <v>3503</v>
      </c>
      <c r="D491" s="114">
        <v>100</v>
      </c>
      <c r="E491" s="286"/>
      <c r="F491" s="286">
        <v>97.9</v>
      </c>
      <c r="G491" s="286"/>
      <c r="H491" s="286"/>
      <c r="I491" s="286"/>
      <c r="J491" s="286"/>
      <c r="K491" s="286"/>
      <c r="L491" s="286"/>
      <c r="M491" s="286"/>
      <c r="N491" s="286"/>
      <c r="O491" s="286"/>
      <c r="P491" s="286"/>
      <c r="Q491" s="204">
        <f t="shared" si="45"/>
        <v>97.9</v>
      </c>
      <c r="R491" s="204" t="str">
        <f t="shared" si="46"/>
        <v>NO</v>
      </c>
      <c r="S491" s="204" t="str">
        <f t="shared" si="47"/>
        <v>Inviable Sanitariamente</v>
      </c>
      <c r="T491" s="287"/>
    </row>
    <row r="492" spans="1:20" ht="32.1" customHeight="1">
      <c r="A492" s="419" t="s">
        <v>4311</v>
      </c>
      <c r="B492" s="238" t="s">
        <v>3504</v>
      </c>
      <c r="C492" s="238" t="s">
        <v>3505</v>
      </c>
      <c r="D492" s="119">
        <v>179</v>
      </c>
      <c r="E492" s="286">
        <v>0</v>
      </c>
      <c r="F492" s="286"/>
      <c r="G492" s="286"/>
      <c r="H492" s="286"/>
      <c r="I492" s="286"/>
      <c r="J492" s="286"/>
      <c r="K492" s="286"/>
      <c r="L492" s="286"/>
      <c r="M492" s="286"/>
      <c r="N492" s="286"/>
      <c r="O492" s="286"/>
      <c r="P492" s="286"/>
      <c r="Q492" s="204">
        <f t="shared" si="45"/>
        <v>0</v>
      </c>
      <c r="R492" s="204" t="str">
        <f t="shared" si="46"/>
        <v>SI</v>
      </c>
      <c r="S492" s="204" t="str">
        <f t="shared" si="47"/>
        <v>Sin Riesgo</v>
      </c>
    </row>
    <row r="493" spans="1:20" ht="32.1" customHeight="1">
      <c r="A493" s="419" t="s">
        <v>4311</v>
      </c>
      <c r="B493" s="238" t="s">
        <v>3506</v>
      </c>
      <c r="C493" s="238" t="s">
        <v>3507</v>
      </c>
      <c r="D493" s="119">
        <v>69</v>
      </c>
      <c r="E493" s="286"/>
      <c r="F493" s="286">
        <v>97.9</v>
      </c>
      <c r="G493" s="286"/>
      <c r="H493" s="286"/>
      <c r="I493" s="286"/>
      <c r="J493" s="286"/>
      <c r="K493" s="286"/>
      <c r="L493" s="286"/>
      <c r="M493" s="286"/>
      <c r="N493" s="286"/>
      <c r="O493" s="286"/>
      <c r="P493" s="286"/>
      <c r="Q493" s="204">
        <f t="shared" si="45"/>
        <v>97.9</v>
      </c>
      <c r="R493" s="204" t="str">
        <f t="shared" si="46"/>
        <v>NO</v>
      </c>
      <c r="S493" s="204" t="str">
        <f t="shared" si="47"/>
        <v>Inviable Sanitariamente</v>
      </c>
    </row>
    <row r="494" spans="1:20" ht="32.1" customHeight="1">
      <c r="A494" s="419" t="s">
        <v>4311</v>
      </c>
      <c r="B494" s="238" t="s">
        <v>3508</v>
      </c>
      <c r="C494" s="238" t="s">
        <v>3509</v>
      </c>
      <c r="D494" s="114">
        <v>102</v>
      </c>
      <c r="E494" s="286">
        <v>0</v>
      </c>
      <c r="F494" s="286">
        <v>76.92</v>
      </c>
      <c r="G494" s="286">
        <v>0</v>
      </c>
      <c r="H494" s="286">
        <v>76.900000000000006</v>
      </c>
      <c r="I494" s="286">
        <v>0</v>
      </c>
      <c r="J494" s="286">
        <v>0</v>
      </c>
      <c r="K494" s="286">
        <v>0</v>
      </c>
      <c r="L494" s="286"/>
      <c r="M494" s="286"/>
      <c r="N494" s="286"/>
      <c r="O494" s="286"/>
      <c r="P494" s="286"/>
      <c r="Q494" s="204">
        <f t="shared" ref="Q494:Q527" si="48">AVERAGE(E494:P494)</f>
        <v>21.974285714285713</v>
      </c>
      <c r="R494" s="204" t="str">
        <f t="shared" si="46"/>
        <v>NO</v>
      </c>
      <c r="S494" s="204" t="str">
        <f t="shared" si="47"/>
        <v>Medio</v>
      </c>
    </row>
    <row r="495" spans="1:20" ht="32.1" customHeight="1">
      <c r="A495" s="419" t="s">
        <v>4311</v>
      </c>
      <c r="B495" s="238" t="s">
        <v>3510</v>
      </c>
      <c r="C495" s="238" t="s">
        <v>3511</v>
      </c>
      <c r="D495" s="119">
        <v>65</v>
      </c>
      <c r="E495" s="286">
        <v>97.2</v>
      </c>
      <c r="F495" s="286"/>
      <c r="G495" s="286"/>
      <c r="H495" s="286"/>
      <c r="I495" s="286"/>
      <c r="J495" s="286"/>
      <c r="K495" s="286"/>
      <c r="L495" s="286"/>
      <c r="M495" s="286"/>
      <c r="N495" s="286"/>
      <c r="O495" s="286"/>
      <c r="P495" s="286"/>
      <c r="Q495" s="204">
        <f t="shared" si="48"/>
        <v>97.2</v>
      </c>
      <c r="R495" s="204" t="str">
        <f t="shared" si="46"/>
        <v>NO</v>
      </c>
      <c r="S495" s="204" t="str">
        <f t="shared" si="47"/>
        <v>Inviable Sanitariamente</v>
      </c>
    </row>
    <row r="496" spans="1:20" ht="32.1" customHeight="1">
      <c r="A496" s="419" t="s">
        <v>4311</v>
      </c>
      <c r="B496" s="238" t="s">
        <v>478</v>
      </c>
      <c r="C496" s="238" t="s">
        <v>3512</v>
      </c>
      <c r="D496" s="119">
        <v>15</v>
      </c>
      <c r="E496" s="286"/>
      <c r="F496" s="286">
        <v>97.2</v>
      </c>
      <c r="G496" s="286"/>
      <c r="H496" s="286"/>
      <c r="I496" s="286"/>
      <c r="J496" s="286"/>
      <c r="K496" s="286"/>
      <c r="L496" s="286"/>
      <c r="M496" s="286"/>
      <c r="N496" s="286"/>
      <c r="O496" s="286"/>
      <c r="P496" s="286"/>
      <c r="Q496" s="204">
        <f t="shared" si="48"/>
        <v>97.2</v>
      </c>
      <c r="R496" s="204" t="str">
        <f t="shared" si="46"/>
        <v>NO</v>
      </c>
      <c r="S496" s="204" t="str">
        <f t="shared" si="47"/>
        <v>Inviable Sanitariamente</v>
      </c>
    </row>
    <row r="497" spans="1:19" ht="32.1" customHeight="1">
      <c r="A497" s="419" t="s">
        <v>4311</v>
      </c>
      <c r="B497" s="238" t="s">
        <v>3078</v>
      </c>
      <c r="C497" s="238" t="s">
        <v>3079</v>
      </c>
      <c r="D497" s="114">
        <v>32</v>
      </c>
      <c r="E497" s="286"/>
      <c r="F497" s="286">
        <v>97.2</v>
      </c>
      <c r="G497" s="286"/>
      <c r="H497" s="286"/>
      <c r="I497" s="286"/>
      <c r="J497" s="286"/>
      <c r="K497" s="286"/>
      <c r="L497" s="286"/>
      <c r="M497" s="286"/>
      <c r="N497" s="286"/>
      <c r="O497" s="286"/>
      <c r="P497" s="286"/>
      <c r="Q497" s="204">
        <f t="shared" si="48"/>
        <v>97.2</v>
      </c>
      <c r="R497" s="204" t="str">
        <f t="shared" si="46"/>
        <v>NO</v>
      </c>
      <c r="S497" s="204" t="str">
        <f t="shared" si="47"/>
        <v>Inviable Sanitariamente</v>
      </c>
    </row>
    <row r="498" spans="1:19" ht="32.1" customHeight="1">
      <c r="A498" s="419" t="s">
        <v>4311</v>
      </c>
      <c r="B498" s="238" t="s">
        <v>3513</v>
      </c>
      <c r="C498" s="238" t="s">
        <v>3514</v>
      </c>
      <c r="D498" s="119">
        <v>86</v>
      </c>
      <c r="E498" s="286"/>
      <c r="F498" s="286">
        <v>41.96</v>
      </c>
      <c r="G498" s="286">
        <v>42</v>
      </c>
      <c r="H498" s="286">
        <v>76.92</v>
      </c>
      <c r="I498" s="286">
        <v>76.92</v>
      </c>
      <c r="J498" s="286">
        <v>55.92</v>
      </c>
      <c r="K498" s="286">
        <v>0</v>
      </c>
      <c r="L498" s="286"/>
      <c r="M498" s="286"/>
      <c r="N498" s="286"/>
      <c r="O498" s="286"/>
      <c r="P498" s="286"/>
      <c r="Q498" s="204">
        <f t="shared" si="48"/>
        <v>48.95333333333334</v>
      </c>
      <c r="R498" s="204" t="str">
        <f t="shared" si="46"/>
        <v>NO</v>
      </c>
      <c r="S498" s="204" t="str">
        <f t="shared" si="47"/>
        <v>Alto</v>
      </c>
    </row>
    <row r="499" spans="1:19" ht="32.1" customHeight="1">
      <c r="A499" s="419" t="s">
        <v>4311</v>
      </c>
      <c r="B499" s="238" t="s">
        <v>3515</v>
      </c>
      <c r="C499" s="238" t="s">
        <v>3516</v>
      </c>
      <c r="D499" s="119">
        <v>93</v>
      </c>
      <c r="E499" s="286"/>
      <c r="F499" s="286">
        <v>42</v>
      </c>
      <c r="G499" s="286"/>
      <c r="H499" s="286"/>
      <c r="I499" s="286"/>
      <c r="J499" s="286"/>
      <c r="K499" s="286"/>
      <c r="L499" s="286"/>
      <c r="M499" s="286"/>
      <c r="N499" s="286"/>
      <c r="O499" s="286"/>
      <c r="P499" s="286"/>
      <c r="Q499" s="204">
        <f t="shared" si="48"/>
        <v>42</v>
      </c>
      <c r="R499" s="204" t="str">
        <f t="shared" si="46"/>
        <v>NO</v>
      </c>
      <c r="S499" s="204" t="str">
        <f t="shared" si="47"/>
        <v>Alto</v>
      </c>
    </row>
    <row r="500" spans="1:19" ht="32.1" customHeight="1">
      <c r="A500" s="419" t="s">
        <v>4311</v>
      </c>
      <c r="B500" s="238" t="s">
        <v>3517</v>
      </c>
      <c r="C500" s="238" t="s">
        <v>3518</v>
      </c>
      <c r="D500" s="119"/>
      <c r="E500" s="286"/>
      <c r="F500" s="286"/>
      <c r="G500" s="286"/>
      <c r="H500" s="286"/>
      <c r="I500" s="286"/>
      <c r="J500" s="286"/>
      <c r="K500" s="286"/>
      <c r="L500" s="286"/>
      <c r="M500" s="286"/>
      <c r="N500" s="286"/>
      <c r="O500" s="286"/>
      <c r="P500" s="286"/>
      <c r="Q500" s="204" t="e">
        <f t="shared" si="48"/>
        <v>#DIV/0!</v>
      </c>
      <c r="R500" s="204" t="e">
        <f t="shared" si="46"/>
        <v>#DIV/0!</v>
      </c>
      <c r="S500" s="204" t="e">
        <f t="shared" si="47"/>
        <v>#DIV/0!</v>
      </c>
    </row>
    <row r="501" spans="1:19" ht="32.1" customHeight="1">
      <c r="A501" s="419" t="s">
        <v>4311</v>
      </c>
      <c r="B501" s="238" t="s">
        <v>3519</v>
      </c>
      <c r="C501" s="238" t="s">
        <v>3520</v>
      </c>
      <c r="D501" s="119">
        <v>30</v>
      </c>
      <c r="E501" s="286"/>
      <c r="F501" s="286">
        <v>97.9</v>
      </c>
      <c r="G501" s="286"/>
      <c r="H501" s="286"/>
      <c r="I501" s="286"/>
      <c r="J501" s="286"/>
      <c r="K501" s="286"/>
      <c r="L501" s="286"/>
      <c r="M501" s="286"/>
      <c r="N501" s="286"/>
      <c r="O501" s="286"/>
      <c r="P501" s="286"/>
      <c r="Q501" s="204">
        <f t="shared" si="48"/>
        <v>97.9</v>
      </c>
      <c r="R501" s="204" t="str">
        <f t="shared" si="46"/>
        <v>NO</v>
      </c>
      <c r="S501" s="204" t="str">
        <f t="shared" si="47"/>
        <v>Inviable Sanitariamente</v>
      </c>
    </row>
    <row r="502" spans="1:19" ht="32.1" customHeight="1">
      <c r="A502" s="419" t="s">
        <v>4311</v>
      </c>
      <c r="B502" s="238" t="s">
        <v>3521</v>
      </c>
      <c r="C502" s="238" t="s">
        <v>3522</v>
      </c>
      <c r="D502" s="119">
        <v>15</v>
      </c>
      <c r="E502" s="286"/>
      <c r="F502" s="286">
        <v>97.9</v>
      </c>
      <c r="G502" s="286"/>
      <c r="H502" s="286"/>
      <c r="I502" s="286"/>
      <c r="J502" s="286"/>
      <c r="K502" s="286"/>
      <c r="L502" s="286"/>
      <c r="M502" s="286"/>
      <c r="N502" s="286"/>
      <c r="O502" s="286"/>
      <c r="P502" s="286"/>
      <c r="Q502" s="204">
        <f t="shared" si="48"/>
        <v>97.9</v>
      </c>
      <c r="R502" s="204" t="str">
        <f t="shared" si="46"/>
        <v>NO</v>
      </c>
      <c r="S502" s="204" t="str">
        <f t="shared" si="47"/>
        <v>Inviable Sanitariamente</v>
      </c>
    </row>
    <row r="503" spans="1:19" ht="32.1" customHeight="1">
      <c r="A503" s="419" t="s">
        <v>4311</v>
      </c>
      <c r="B503" s="238" t="s">
        <v>3427</v>
      </c>
      <c r="C503" s="238" t="s">
        <v>3523</v>
      </c>
      <c r="D503" s="119">
        <v>96</v>
      </c>
      <c r="E503" s="286"/>
      <c r="F503" s="286">
        <v>0</v>
      </c>
      <c r="G503" s="286">
        <v>0</v>
      </c>
      <c r="H503" s="286">
        <v>0</v>
      </c>
      <c r="I503" s="286">
        <v>0</v>
      </c>
      <c r="J503" s="286">
        <v>0</v>
      </c>
      <c r="K503" s="286">
        <v>0</v>
      </c>
      <c r="L503" s="286"/>
      <c r="M503" s="286"/>
      <c r="N503" s="286"/>
      <c r="O503" s="286"/>
      <c r="P503" s="286"/>
      <c r="Q503" s="204">
        <f t="shared" si="48"/>
        <v>0</v>
      </c>
      <c r="R503" s="204" t="str">
        <f t="shared" si="46"/>
        <v>SI</v>
      </c>
      <c r="S503" s="204" t="str">
        <f t="shared" si="47"/>
        <v>Sin Riesgo</v>
      </c>
    </row>
    <row r="504" spans="1:19" ht="32.1" customHeight="1">
      <c r="A504" s="419" t="s">
        <v>4311</v>
      </c>
      <c r="B504" s="238" t="s">
        <v>3524</v>
      </c>
      <c r="C504" s="238" t="s">
        <v>3525</v>
      </c>
      <c r="D504" s="119">
        <v>118</v>
      </c>
      <c r="E504" s="286"/>
      <c r="F504" s="286">
        <v>97.9</v>
      </c>
      <c r="G504" s="286"/>
      <c r="H504" s="286"/>
      <c r="I504" s="286"/>
      <c r="J504" s="286"/>
      <c r="K504" s="286"/>
      <c r="L504" s="286"/>
      <c r="M504" s="286"/>
      <c r="N504" s="286"/>
      <c r="O504" s="286"/>
      <c r="P504" s="286"/>
      <c r="Q504" s="204">
        <f t="shared" si="48"/>
        <v>97.9</v>
      </c>
      <c r="R504" s="204" t="str">
        <f t="shared" si="46"/>
        <v>NO</v>
      </c>
      <c r="S504" s="204" t="str">
        <f t="shared" si="47"/>
        <v>Inviable Sanitariamente</v>
      </c>
    </row>
    <row r="505" spans="1:19" ht="32.1" customHeight="1">
      <c r="A505" s="419" t="s">
        <v>4311</v>
      </c>
      <c r="B505" s="238" t="s">
        <v>3526</v>
      </c>
      <c r="C505" s="238" t="s">
        <v>3527</v>
      </c>
      <c r="D505" s="119">
        <v>271</v>
      </c>
      <c r="E505" s="286">
        <v>0</v>
      </c>
      <c r="F505" s="286">
        <v>0</v>
      </c>
      <c r="G505" s="286">
        <v>21</v>
      </c>
      <c r="H505" s="286">
        <v>0</v>
      </c>
      <c r="I505" s="286">
        <v>0</v>
      </c>
      <c r="J505" s="286"/>
      <c r="K505" s="286">
        <v>0</v>
      </c>
      <c r="L505" s="286"/>
      <c r="M505" s="286"/>
      <c r="N505" s="286"/>
      <c r="O505" s="286"/>
      <c r="P505" s="286"/>
      <c r="Q505" s="204">
        <f t="shared" si="48"/>
        <v>3.5</v>
      </c>
      <c r="R505" s="204" t="str">
        <f t="shared" si="46"/>
        <v>SI</v>
      </c>
      <c r="S505" s="204" t="str">
        <f t="shared" si="47"/>
        <v>Sin Riesgo</v>
      </c>
    </row>
    <row r="506" spans="1:19" ht="32.1" customHeight="1">
      <c r="A506" s="419" t="s">
        <v>4311</v>
      </c>
      <c r="B506" s="238" t="s">
        <v>3528</v>
      </c>
      <c r="C506" s="238" t="s">
        <v>3529</v>
      </c>
      <c r="D506" s="119">
        <v>380</v>
      </c>
      <c r="E506" s="286">
        <v>76.92</v>
      </c>
      <c r="F506" s="286"/>
      <c r="G506" s="286"/>
      <c r="H506" s="286"/>
      <c r="I506" s="286"/>
      <c r="J506" s="286"/>
      <c r="K506" s="286"/>
      <c r="L506" s="286"/>
      <c r="M506" s="286"/>
      <c r="N506" s="286"/>
      <c r="O506" s="286"/>
      <c r="P506" s="286"/>
      <c r="Q506" s="204">
        <f t="shared" si="48"/>
        <v>76.92</v>
      </c>
      <c r="R506" s="204" t="str">
        <f t="shared" si="46"/>
        <v>NO</v>
      </c>
      <c r="S506" s="204" t="str">
        <f t="shared" si="47"/>
        <v>Alto</v>
      </c>
    </row>
    <row r="507" spans="1:19" ht="32.1" customHeight="1">
      <c r="A507" s="419" t="s">
        <v>4311</v>
      </c>
      <c r="B507" s="238" t="s">
        <v>1100</v>
      </c>
      <c r="C507" s="238" t="s">
        <v>3530</v>
      </c>
      <c r="D507" s="119">
        <v>260</v>
      </c>
      <c r="E507" s="286"/>
      <c r="F507" s="286">
        <v>0</v>
      </c>
      <c r="G507" s="286">
        <v>0</v>
      </c>
      <c r="H507" s="286">
        <v>0</v>
      </c>
      <c r="I507" s="286">
        <v>0</v>
      </c>
      <c r="J507" s="286">
        <v>0</v>
      </c>
      <c r="K507" s="286">
        <v>34.97</v>
      </c>
      <c r="L507" s="286"/>
      <c r="M507" s="286"/>
      <c r="N507" s="286"/>
      <c r="O507" s="286"/>
      <c r="P507" s="286"/>
      <c r="Q507" s="204">
        <f t="shared" si="48"/>
        <v>5.8283333333333331</v>
      </c>
      <c r="R507" s="204" t="str">
        <f t="shared" si="46"/>
        <v>NO</v>
      </c>
      <c r="S507" s="204" t="str">
        <f t="shared" si="47"/>
        <v>Bajo</v>
      </c>
    </row>
    <row r="508" spans="1:19" ht="32.1" customHeight="1">
      <c r="A508" s="419" t="s">
        <v>4311</v>
      </c>
      <c r="B508" s="238" t="s">
        <v>3531</v>
      </c>
      <c r="C508" s="238" t="s">
        <v>3532</v>
      </c>
      <c r="D508" s="119">
        <v>1103</v>
      </c>
      <c r="E508" s="286"/>
      <c r="F508" s="286">
        <v>0</v>
      </c>
      <c r="G508" s="286">
        <v>0</v>
      </c>
      <c r="H508" s="286">
        <v>0</v>
      </c>
      <c r="I508" s="286"/>
      <c r="J508" s="286">
        <v>0</v>
      </c>
      <c r="K508" s="286">
        <v>0</v>
      </c>
      <c r="L508" s="286"/>
      <c r="M508" s="286"/>
      <c r="N508" s="286"/>
      <c r="O508" s="286"/>
      <c r="P508" s="286"/>
      <c r="Q508" s="204">
        <f t="shared" si="48"/>
        <v>0</v>
      </c>
      <c r="R508" s="204" t="str">
        <f t="shared" si="46"/>
        <v>SI</v>
      </c>
      <c r="S508" s="204" t="str">
        <f t="shared" si="47"/>
        <v>Sin Riesgo</v>
      </c>
    </row>
    <row r="509" spans="1:19" ht="32.1" customHeight="1">
      <c r="A509" s="419" t="s">
        <v>4311</v>
      </c>
      <c r="B509" s="238" t="s">
        <v>3533</v>
      </c>
      <c r="C509" s="238" t="s">
        <v>3534</v>
      </c>
      <c r="D509" s="119">
        <v>94</v>
      </c>
      <c r="E509" s="286"/>
      <c r="F509" s="286">
        <v>0</v>
      </c>
      <c r="G509" s="286">
        <v>0</v>
      </c>
      <c r="H509" s="286">
        <v>0</v>
      </c>
      <c r="I509" s="286">
        <v>0</v>
      </c>
      <c r="J509" s="286">
        <v>0</v>
      </c>
      <c r="K509" s="286">
        <v>0</v>
      </c>
      <c r="L509" s="286"/>
      <c r="M509" s="286"/>
      <c r="N509" s="286"/>
      <c r="O509" s="286"/>
      <c r="P509" s="286"/>
      <c r="Q509" s="204">
        <f t="shared" si="48"/>
        <v>0</v>
      </c>
      <c r="R509" s="204" t="str">
        <f t="shared" si="46"/>
        <v>SI</v>
      </c>
      <c r="S509" s="204" t="str">
        <f t="shared" si="47"/>
        <v>Sin Riesgo</v>
      </c>
    </row>
    <row r="510" spans="1:19" ht="32.1" customHeight="1">
      <c r="A510" s="419" t="s">
        <v>4311</v>
      </c>
      <c r="B510" s="479" t="s">
        <v>3535</v>
      </c>
      <c r="C510" s="479" t="s">
        <v>3536</v>
      </c>
      <c r="D510" s="119">
        <v>40</v>
      </c>
      <c r="E510" s="286"/>
      <c r="F510" s="286">
        <v>97.9</v>
      </c>
      <c r="G510" s="286"/>
      <c r="H510" s="286"/>
      <c r="I510" s="286"/>
      <c r="J510" s="286"/>
      <c r="K510" s="286"/>
      <c r="L510" s="286"/>
      <c r="M510" s="286"/>
      <c r="N510" s="286"/>
      <c r="O510" s="286"/>
      <c r="P510" s="286"/>
      <c r="Q510" s="204">
        <f t="shared" si="48"/>
        <v>97.9</v>
      </c>
      <c r="R510" s="204" t="str">
        <f t="shared" si="46"/>
        <v>NO</v>
      </c>
      <c r="S510" s="204" t="str">
        <f t="shared" si="47"/>
        <v>Inviable Sanitariamente</v>
      </c>
    </row>
    <row r="511" spans="1:19" ht="32.1" customHeight="1">
      <c r="A511" s="474" t="s">
        <v>161</v>
      </c>
      <c r="B511" s="238" t="s">
        <v>3538</v>
      </c>
      <c r="C511" s="238" t="s">
        <v>3539</v>
      </c>
      <c r="D511" s="119">
        <v>17</v>
      </c>
      <c r="E511" s="286"/>
      <c r="F511" s="286">
        <v>97.37</v>
      </c>
      <c r="G511" s="286"/>
      <c r="H511" s="286"/>
      <c r="I511" s="286"/>
      <c r="J511" s="286"/>
      <c r="K511" s="286"/>
      <c r="L511" s="286"/>
      <c r="M511" s="286"/>
      <c r="N511" s="286"/>
      <c r="O511" s="286"/>
      <c r="P511" s="286"/>
      <c r="Q511" s="204">
        <f t="shared" si="48"/>
        <v>97.37</v>
      </c>
      <c r="R511" s="204" t="str">
        <f t="shared" si="46"/>
        <v>NO</v>
      </c>
      <c r="S511" s="204" t="str">
        <f t="shared" si="47"/>
        <v>Inviable Sanitariamente</v>
      </c>
    </row>
    <row r="512" spans="1:19" ht="32.1" customHeight="1">
      <c r="A512" s="474" t="s">
        <v>161</v>
      </c>
      <c r="B512" s="238" t="s">
        <v>3540</v>
      </c>
      <c r="C512" s="238" t="s">
        <v>3541</v>
      </c>
      <c r="D512" s="119">
        <v>26</v>
      </c>
      <c r="E512" s="286"/>
      <c r="F512" s="286">
        <v>97.37</v>
      </c>
      <c r="G512" s="286"/>
      <c r="H512" s="286"/>
      <c r="I512" s="286"/>
      <c r="J512" s="286"/>
      <c r="K512" s="286"/>
      <c r="L512" s="286"/>
      <c r="M512" s="286"/>
      <c r="N512" s="286"/>
      <c r="O512" s="286"/>
      <c r="P512" s="286"/>
      <c r="Q512" s="204">
        <f t="shared" si="48"/>
        <v>97.37</v>
      </c>
      <c r="R512" s="204" t="str">
        <f t="shared" si="46"/>
        <v>NO</v>
      </c>
      <c r="S512" s="204" t="str">
        <f t="shared" si="47"/>
        <v>Inviable Sanitariamente</v>
      </c>
    </row>
    <row r="513" spans="1:19" ht="32.1" customHeight="1">
      <c r="A513" s="474" t="s">
        <v>161</v>
      </c>
      <c r="B513" s="238" t="s">
        <v>3542</v>
      </c>
      <c r="C513" s="238" t="s">
        <v>3543</v>
      </c>
      <c r="D513" s="119">
        <v>46</v>
      </c>
      <c r="E513" s="286"/>
      <c r="F513" s="286">
        <v>97.37</v>
      </c>
      <c r="G513" s="286"/>
      <c r="H513" s="286"/>
      <c r="I513" s="286"/>
      <c r="J513" s="286"/>
      <c r="K513" s="286"/>
      <c r="L513" s="286"/>
      <c r="M513" s="286"/>
      <c r="N513" s="286"/>
      <c r="O513" s="286"/>
      <c r="P513" s="286"/>
      <c r="Q513" s="204">
        <f t="shared" si="48"/>
        <v>97.37</v>
      </c>
      <c r="R513" s="204" t="str">
        <f t="shared" si="46"/>
        <v>NO</v>
      </c>
      <c r="S513" s="204" t="str">
        <f t="shared" si="47"/>
        <v>Inviable Sanitariamente</v>
      </c>
    </row>
    <row r="514" spans="1:19" ht="32.1" customHeight="1">
      <c r="A514" s="474" t="s">
        <v>161</v>
      </c>
      <c r="B514" s="238" t="s">
        <v>3544</v>
      </c>
      <c r="C514" s="238" t="s">
        <v>3545</v>
      </c>
      <c r="D514" s="119">
        <v>42</v>
      </c>
      <c r="E514" s="286"/>
      <c r="F514" s="286"/>
      <c r="G514" s="286"/>
      <c r="H514" s="286">
        <v>97.37</v>
      </c>
      <c r="I514" s="286"/>
      <c r="J514" s="286"/>
      <c r="K514" s="286"/>
      <c r="L514" s="286"/>
      <c r="M514" s="286"/>
      <c r="N514" s="286"/>
      <c r="O514" s="286"/>
      <c r="P514" s="286"/>
      <c r="Q514" s="204">
        <f t="shared" si="48"/>
        <v>97.37</v>
      </c>
      <c r="R514" s="204" t="str">
        <f t="shared" si="46"/>
        <v>NO</v>
      </c>
      <c r="S514" s="204" t="str">
        <f t="shared" si="47"/>
        <v>Inviable Sanitariamente</v>
      </c>
    </row>
    <row r="515" spans="1:19" ht="32.1" customHeight="1">
      <c r="A515" s="474" t="s">
        <v>161</v>
      </c>
      <c r="B515" s="238" t="s">
        <v>2918</v>
      </c>
      <c r="C515" s="238" t="s">
        <v>3546</v>
      </c>
      <c r="D515" s="119">
        <v>120</v>
      </c>
      <c r="E515" s="286"/>
      <c r="F515" s="286">
        <v>97.37</v>
      </c>
      <c r="G515" s="286"/>
      <c r="H515" s="286"/>
      <c r="I515" s="286"/>
      <c r="J515" s="286"/>
      <c r="K515" s="286"/>
      <c r="L515" s="286"/>
      <c r="M515" s="286"/>
      <c r="N515" s="286"/>
      <c r="O515" s="286"/>
      <c r="P515" s="286"/>
      <c r="Q515" s="204">
        <f t="shared" si="48"/>
        <v>97.37</v>
      </c>
      <c r="R515" s="204" t="str">
        <f t="shared" si="46"/>
        <v>NO</v>
      </c>
      <c r="S515" s="204" t="str">
        <f t="shared" si="47"/>
        <v>Inviable Sanitariamente</v>
      </c>
    </row>
    <row r="516" spans="1:19" ht="32.1" customHeight="1">
      <c r="A516" s="474" t="s">
        <v>161</v>
      </c>
      <c r="B516" s="238" t="s">
        <v>702</v>
      </c>
      <c r="C516" s="238" t="s">
        <v>3547</v>
      </c>
      <c r="D516" s="119">
        <v>20</v>
      </c>
      <c r="E516" s="286"/>
      <c r="F516" s="286">
        <v>97.37</v>
      </c>
      <c r="G516" s="286"/>
      <c r="H516" s="286"/>
      <c r="I516" s="286"/>
      <c r="J516" s="286"/>
      <c r="K516" s="286"/>
      <c r="L516" s="286"/>
      <c r="M516" s="286"/>
      <c r="N516" s="286"/>
      <c r="O516" s="286"/>
      <c r="P516" s="286"/>
      <c r="Q516" s="204">
        <f t="shared" si="48"/>
        <v>97.37</v>
      </c>
      <c r="R516" s="204" t="str">
        <f t="shared" si="46"/>
        <v>NO</v>
      </c>
      <c r="S516" s="204" t="str">
        <f t="shared" si="47"/>
        <v>Inviable Sanitariamente</v>
      </c>
    </row>
    <row r="517" spans="1:19" ht="32.1" customHeight="1">
      <c r="A517" s="474" t="s">
        <v>161</v>
      </c>
      <c r="B517" s="238" t="s">
        <v>1493</v>
      </c>
      <c r="C517" s="238" t="s">
        <v>3548</v>
      </c>
      <c r="D517" s="119">
        <v>7</v>
      </c>
      <c r="E517" s="286"/>
      <c r="F517" s="286">
        <v>97.37</v>
      </c>
      <c r="G517" s="286"/>
      <c r="H517" s="286"/>
      <c r="I517" s="286"/>
      <c r="J517" s="286"/>
      <c r="K517" s="286"/>
      <c r="L517" s="286"/>
      <c r="M517" s="286"/>
      <c r="N517" s="286"/>
      <c r="O517" s="286"/>
      <c r="P517" s="286"/>
      <c r="Q517" s="204">
        <f t="shared" si="48"/>
        <v>97.37</v>
      </c>
      <c r="R517" s="204" t="str">
        <f t="shared" si="46"/>
        <v>NO</v>
      </c>
      <c r="S517" s="204" t="str">
        <f t="shared" si="47"/>
        <v>Inviable Sanitariamente</v>
      </c>
    </row>
    <row r="518" spans="1:19" ht="32.1" customHeight="1">
      <c r="A518" s="474" t="s">
        <v>161</v>
      </c>
      <c r="B518" s="238" t="s">
        <v>2198</v>
      </c>
      <c r="C518" s="238" t="s">
        <v>3549</v>
      </c>
      <c r="D518" s="114">
        <v>39</v>
      </c>
      <c r="E518" s="286"/>
      <c r="F518" s="286"/>
      <c r="G518" s="286"/>
      <c r="H518" s="286">
        <v>97.37</v>
      </c>
      <c r="I518" s="286"/>
      <c r="J518" s="286"/>
      <c r="K518" s="286"/>
      <c r="L518" s="286"/>
      <c r="M518" s="286"/>
      <c r="N518" s="286"/>
      <c r="O518" s="286"/>
      <c r="P518" s="286"/>
      <c r="Q518" s="204">
        <f t="shared" si="48"/>
        <v>97.37</v>
      </c>
      <c r="R518" s="204" t="str">
        <f t="shared" si="46"/>
        <v>NO</v>
      </c>
      <c r="S518" s="204" t="str">
        <f t="shared" si="47"/>
        <v>Inviable Sanitariamente</v>
      </c>
    </row>
    <row r="519" spans="1:19" ht="32.1" customHeight="1">
      <c r="A519" s="474" t="s">
        <v>161</v>
      </c>
      <c r="B519" s="238" t="s">
        <v>3550</v>
      </c>
      <c r="C519" s="238" t="s">
        <v>3551</v>
      </c>
      <c r="D519" s="119">
        <v>12</v>
      </c>
      <c r="E519" s="286"/>
      <c r="F519" s="286">
        <v>97.37</v>
      </c>
      <c r="G519" s="286"/>
      <c r="H519" s="286"/>
      <c r="I519" s="286"/>
      <c r="J519" s="286"/>
      <c r="K519" s="286"/>
      <c r="L519" s="286"/>
      <c r="M519" s="286"/>
      <c r="N519" s="286"/>
      <c r="O519" s="286"/>
      <c r="P519" s="286"/>
      <c r="Q519" s="204">
        <f t="shared" si="48"/>
        <v>97.37</v>
      </c>
      <c r="R519" s="204" t="str">
        <f t="shared" si="46"/>
        <v>NO</v>
      </c>
      <c r="S519" s="204" t="str">
        <f t="shared" si="47"/>
        <v>Inviable Sanitariamente</v>
      </c>
    </row>
    <row r="520" spans="1:19" ht="32.1" customHeight="1">
      <c r="A520" s="474" t="s">
        <v>161</v>
      </c>
      <c r="B520" s="238" t="s">
        <v>3552</v>
      </c>
      <c r="C520" s="238" t="s">
        <v>3553</v>
      </c>
      <c r="D520" s="119" t="s">
        <v>3554</v>
      </c>
      <c r="E520" s="286"/>
      <c r="F520" s="286"/>
      <c r="G520" s="286"/>
      <c r="H520" s="286"/>
      <c r="I520" s="286"/>
      <c r="J520" s="286"/>
      <c r="K520" s="286"/>
      <c r="L520" s="286"/>
      <c r="M520" s="286"/>
      <c r="N520" s="286"/>
      <c r="O520" s="286"/>
      <c r="P520" s="286"/>
      <c r="Q520" s="204" t="e">
        <f t="shared" si="48"/>
        <v>#DIV/0!</v>
      </c>
      <c r="R520" s="204" t="e">
        <f t="shared" si="46"/>
        <v>#DIV/0!</v>
      </c>
      <c r="S520" s="204" t="e">
        <f t="shared" si="47"/>
        <v>#DIV/0!</v>
      </c>
    </row>
    <row r="521" spans="1:19" ht="32.1" customHeight="1">
      <c r="A521" s="474" t="s">
        <v>161</v>
      </c>
      <c r="B521" s="238" t="s">
        <v>8</v>
      </c>
      <c r="C521" s="238" t="s">
        <v>3555</v>
      </c>
      <c r="D521" s="114">
        <v>30</v>
      </c>
      <c r="E521" s="286"/>
      <c r="F521" s="286">
        <v>97.37</v>
      </c>
      <c r="G521" s="286"/>
      <c r="H521" s="286"/>
      <c r="I521" s="286"/>
      <c r="J521" s="286"/>
      <c r="K521" s="286"/>
      <c r="L521" s="286"/>
      <c r="M521" s="286"/>
      <c r="N521" s="286"/>
      <c r="O521" s="286"/>
      <c r="P521" s="286"/>
      <c r="Q521" s="204">
        <f t="shared" si="48"/>
        <v>97.37</v>
      </c>
      <c r="R521" s="204" t="str">
        <f t="shared" si="46"/>
        <v>NO</v>
      </c>
      <c r="S521" s="204" t="str">
        <f t="shared" si="47"/>
        <v>Inviable Sanitariamente</v>
      </c>
    </row>
    <row r="522" spans="1:19" ht="32.1" customHeight="1">
      <c r="A522" s="474" t="s">
        <v>161</v>
      </c>
      <c r="B522" s="238" t="s">
        <v>53</v>
      </c>
      <c r="C522" s="238" t="s">
        <v>3556</v>
      </c>
      <c r="D522" s="119">
        <v>32</v>
      </c>
      <c r="E522" s="286"/>
      <c r="F522" s="286"/>
      <c r="G522" s="286"/>
      <c r="H522" s="286">
        <v>97.37</v>
      </c>
      <c r="I522" s="286"/>
      <c r="J522" s="286"/>
      <c r="K522" s="286"/>
      <c r="L522" s="286"/>
      <c r="M522" s="286"/>
      <c r="N522" s="286"/>
      <c r="O522" s="286"/>
      <c r="P522" s="286"/>
      <c r="Q522" s="204">
        <f t="shared" si="48"/>
        <v>97.37</v>
      </c>
      <c r="R522" s="204" t="str">
        <f t="shared" si="46"/>
        <v>NO</v>
      </c>
      <c r="S522" s="204" t="str">
        <f t="shared" si="47"/>
        <v>Inviable Sanitariamente</v>
      </c>
    </row>
    <row r="523" spans="1:19" ht="32.1" customHeight="1">
      <c r="A523" s="474" t="s">
        <v>161</v>
      </c>
      <c r="B523" s="238" t="s">
        <v>3557</v>
      </c>
      <c r="C523" s="238" t="s">
        <v>3558</v>
      </c>
      <c r="D523" s="119">
        <v>28</v>
      </c>
      <c r="E523" s="286"/>
      <c r="F523" s="286"/>
      <c r="G523" s="286"/>
      <c r="H523" s="286">
        <v>97.37</v>
      </c>
      <c r="I523" s="286"/>
      <c r="J523" s="286"/>
      <c r="K523" s="286"/>
      <c r="L523" s="286"/>
      <c r="M523" s="286"/>
      <c r="N523" s="286"/>
      <c r="O523" s="286"/>
      <c r="P523" s="286"/>
      <c r="Q523" s="204">
        <f t="shared" si="48"/>
        <v>97.37</v>
      </c>
      <c r="R523" s="204" t="str">
        <f t="shared" si="46"/>
        <v>NO</v>
      </c>
      <c r="S523" s="204" t="str">
        <f t="shared" si="47"/>
        <v>Inviable Sanitariamente</v>
      </c>
    </row>
    <row r="524" spans="1:19" ht="32.1" customHeight="1">
      <c r="A524" s="474" t="s">
        <v>161</v>
      </c>
      <c r="B524" s="238" t="s">
        <v>3559</v>
      </c>
      <c r="C524" s="238" t="s">
        <v>3560</v>
      </c>
      <c r="D524" s="114">
        <v>16</v>
      </c>
      <c r="E524" s="286"/>
      <c r="F524" s="286">
        <v>97.37</v>
      </c>
      <c r="G524" s="286"/>
      <c r="H524" s="286"/>
      <c r="I524" s="286"/>
      <c r="J524" s="286"/>
      <c r="K524" s="286"/>
      <c r="L524" s="286"/>
      <c r="M524" s="286"/>
      <c r="N524" s="286"/>
      <c r="O524" s="286"/>
      <c r="P524" s="286"/>
      <c r="Q524" s="204">
        <f t="shared" si="48"/>
        <v>97.37</v>
      </c>
      <c r="R524" s="204" t="str">
        <f t="shared" si="46"/>
        <v>NO</v>
      </c>
      <c r="S524" s="204" t="str">
        <f t="shared" si="47"/>
        <v>Inviable Sanitariamente</v>
      </c>
    </row>
    <row r="525" spans="1:19" ht="32.1" customHeight="1">
      <c r="A525" s="474" t="s">
        <v>161</v>
      </c>
      <c r="B525" s="238" t="s">
        <v>3561</v>
      </c>
      <c r="C525" s="238" t="s">
        <v>3562</v>
      </c>
      <c r="D525" s="119">
        <v>25</v>
      </c>
      <c r="E525" s="286"/>
      <c r="F525" s="286"/>
      <c r="G525" s="286">
        <v>97.37</v>
      </c>
      <c r="H525" s="286"/>
      <c r="I525" s="286"/>
      <c r="J525" s="286"/>
      <c r="K525" s="286"/>
      <c r="L525" s="286"/>
      <c r="M525" s="286"/>
      <c r="N525" s="286"/>
      <c r="O525" s="286"/>
      <c r="P525" s="286"/>
      <c r="Q525" s="204">
        <f t="shared" si="48"/>
        <v>97.37</v>
      </c>
      <c r="R525" s="204" t="str">
        <f t="shared" si="46"/>
        <v>NO</v>
      </c>
      <c r="S525" s="204" t="str">
        <f t="shared" si="47"/>
        <v>Inviable Sanitariamente</v>
      </c>
    </row>
    <row r="526" spans="1:19" ht="32.1" customHeight="1">
      <c r="A526" s="474" t="s">
        <v>161</v>
      </c>
      <c r="B526" s="238" t="s">
        <v>1592</v>
      </c>
      <c r="C526" s="238" t="s">
        <v>3563</v>
      </c>
      <c r="D526" s="119">
        <v>40</v>
      </c>
      <c r="E526" s="286">
        <v>97.37</v>
      </c>
      <c r="F526" s="286"/>
      <c r="G526" s="286"/>
      <c r="H526" s="286"/>
      <c r="I526" s="286"/>
      <c r="J526" s="286"/>
      <c r="K526" s="286"/>
      <c r="L526" s="286"/>
      <c r="M526" s="286"/>
      <c r="N526" s="286"/>
      <c r="O526" s="286"/>
      <c r="P526" s="286"/>
      <c r="Q526" s="204">
        <f t="shared" si="48"/>
        <v>97.37</v>
      </c>
      <c r="R526" s="204" t="str">
        <f t="shared" si="46"/>
        <v>NO</v>
      </c>
      <c r="S526" s="204" t="str">
        <f t="shared" si="47"/>
        <v>Inviable Sanitariamente</v>
      </c>
    </row>
    <row r="527" spans="1:19" ht="32.1" customHeight="1">
      <c r="A527" s="474" t="s">
        <v>161</v>
      </c>
      <c r="B527" s="238" t="s">
        <v>3564</v>
      </c>
      <c r="C527" s="238" t="s">
        <v>3565</v>
      </c>
      <c r="D527" s="119">
        <v>32</v>
      </c>
      <c r="E527" s="286"/>
      <c r="F527" s="286"/>
      <c r="G527" s="286">
        <v>97.37</v>
      </c>
      <c r="H527" s="286"/>
      <c r="I527" s="286"/>
      <c r="J527" s="286"/>
      <c r="K527" s="286"/>
      <c r="L527" s="286"/>
      <c r="M527" s="286"/>
      <c r="N527" s="286"/>
      <c r="O527" s="286"/>
      <c r="P527" s="286"/>
      <c r="Q527" s="204">
        <f t="shared" si="48"/>
        <v>97.37</v>
      </c>
      <c r="R527" s="204" t="str">
        <f t="shared" si="46"/>
        <v>NO</v>
      </c>
      <c r="S527" s="204" t="str">
        <f t="shared" si="47"/>
        <v>Inviable Sanitariamente</v>
      </c>
    </row>
    <row r="528" spans="1:19" ht="32.1" customHeight="1">
      <c r="A528" s="228"/>
      <c r="B528" s="298"/>
      <c r="C528" s="298"/>
      <c r="D528" s="380"/>
      <c r="E528" s="383"/>
      <c r="F528" s="383"/>
      <c r="G528" s="383"/>
      <c r="H528" s="383"/>
      <c r="I528" s="383"/>
      <c r="J528" s="383"/>
      <c r="K528" s="383"/>
      <c r="L528" s="383"/>
      <c r="M528" s="383"/>
      <c r="N528" s="383"/>
      <c r="O528" s="383"/>
      <c r="P528" s="383"/>
      <c r="Q528" s="399"/>
      <c r="R528" s="399"/>
      <c r="S528" s="400"/>
    </row>
    <row r="529" spans="1:19" ht="32.1" customHeight="1">
      <c r="A529" s="289"/>
      <c r="B529" s="289"/>
      <c r="C529" s="289"/>
      <c r="D529" s="289"/>
    </row>
    <row r="530" spans="1:19" ht="32.1" customHeight="1">
      <c r="A530" s="438" t="s">
        <v>4385</v>
      </c>
      <c r="B530" s="438" t="s">
        <v>4432</v>
      </c>
      <c r="C530" s="549" t="s">
        <v>4574</v>
      </c>
      <c r="D530" s="550"/>
      <c r="E530" s="550"/>
      <c r="F530" s="550"/>
      <c r="G530" s="550"/>
      <c r="H530" s="550"/>
      <c r="I530" s="550"/>
      <c r="J530" s="550"/>
      <c r="K530" s="550"/>
      <c r="L530" s="550"/>
      <c r="M530" s="550"/>
      <c r="N530" s="550"/>
      <c r="O530" s="550"/>
      <c r="P530" s="550"/>
      <c r="Q530" s="550"/>
      <c r="R530" s="550"/>
      <c r="S530" s="550"/>
    </row>
    <row r="531" spans="1:19" ht="32.1" customHeight="1">
      <c r="A531" s="442" t="s">
        <v>4313</v>
      </c>
      <c r="B531" s="444">
        <f>COUNTIF(E10:P527,"&lt;=5")</f>
        <v>107</v>
      </c>
      <c r="C531" s="549"/>
      <c r="D531" s="550"/>
      <c r="E531" s="550"/>
      <c r="F531" s="550"/>
      <c r="G531" s="550"/>
      <c r="H531" s="550"/>
      <c r="I531" s="550"/>
      <c r="J531" s="550"/>
      <c r="K531" s="550"/>
      <c r="L531" s="550"/>
      <c r="M531" s="550"/>
      <c r="N531" s="550"/>
      <c r="O531" s="550"/>
      <c r="P531" s="550"/>
      <c r="Q531" s="550"/>
      <c r="R531" s="550"/>
      <c r="S531" s="550"/>
    </row>
    <row r="532" spans="1:19" ht="32.1" customHeight="1">
      <c r="A532" s="428" t="s">
        <v>4314</v>
      </c>
      <c r="B532" s="441">
        <f>COUNTIFS(E10:P527,"&gt;5",E10:P527,"&lt;=14")</f>
        <v>1</v>
      </c>
      <c r="C532" s="549" t="s">
        <v>4555</v>
      </c>
      <c r="D532" s="550"/>
      <c r="E532" s="550"/>
      <c r="F532" s="550"/>
      <c r="G532" s="550"/>
      <c r="H532" s="550"/>
      <c r="I532" s="550"/>
      <c r="J532" s="550"/>
      <c r="K532" s="550"/>
      <c r="L532" s="550"/>
      <c r="M532" s="550"/>
      <c r="N532" s="550"/>
      <c r="O532" s="550"/>
      <c r="P532" s="550"/>
      <c r="Q532" s="550"/>
      <c r="R532" s="550"/>
      <c r="S532" s="550"/>
    </row>
    <row r="533" spans="1:19" ht="32.1" customHeight="1">
      <c r="A533" s="429" t="s">
        <v>4315</v>
      </c>
      <c r="B533" s="435">
        <f>COUNTIFS(E10:P527,"&gt;14",E10:P527,"&lt;=35")</f>
        <v>11</v>
      </c>
      <c r="D533" s="289"/>
    </row>
    <row r="534" spans="1:19" ht="32.1" customHeight="1">
      <c r="A534" s="430" t="s">
        <v>4316</v>
      </c>
      <c r="B534" s="435">
        <f>COUNTIFS(E10:P527,"&gt;35",E10:P527,"&lt;=80")</f>
        <v>89</v>
      </c>
      <c r="D534" s="289"/>
    </row>
    <row r="535" spans="1:19" ht="32.1" customHeight="1">
      <c r="A535" s="431" t="s">
        <v>4317</v>
      </c>
      <c r="B535" s="435">
        <f>COUNTIFS(E10:P527,"&gt;80",E10:P527,"&lt;=100")</f>
        <v>387</v>
      </c>
      <c r="D535" s="289"/>
    </row>
    <row r="536" spans="1:19" ht="32.1" customHeight="1">
      <c r="A536" s="451" t="s">
        <v>4318</v>
      </c>
      <c r="B536" s="452">
        <f>COUNT(E10:P527)</f>
        <v>595</v>
      </c>
      <c r="D536" s="289"/>
    </row>
    <row r="537" spans="1:19" ht="36.75" customHeight="1">
      <c r="A537" s="434" t="s">
        <v>4321</v>
      </c>
      <c r="B537" s="436">
        <f>B536-B531</f>
        <v>488</v>
      </c>
      <c r="C537" s="289"/>
      <c r="D537" s="289"/>
    </row>
    <row r="538" spans="1:19" ht="32.1" customHeight="1">
      <c r="A538" s="289"/>
      <c r="B538" s="289"/>
      <c r="C538" s="289"/>
      <c r="D538" s="289"/>
    </row>
    <row r="539" spans="1:19" ht="32.1" customHeight="1">
      <c r="A539" s="289"/>
      <c r="B539" s="289"/>
      <c r="C539" s="289"/>
    </row>
    <row r="540" spans="1:19" ht="32.1" customHeight="1">
      <c r="A540" s="289"/>
      <c r="B540" s="289"/>
      <c r="C540" s="289"/>
    </row>
    <row r="541" spans="1:19" ht="32.1" customHeight="1">
      <c r="A541" s="289"/>
      <c r="B541" s="289"/>
      <c r="C541" s="289"/>
    </row>
    <row r="542" spans="1:19" ht="32.1" customHeight="1">
      <c r="A542" s="289"/>
      <c r="B542" s="289"/>
      <c r="C542" s="289"/>
    </row>
    <row r="543" spans="1:19" ht="32.1" customHeight="1">
      <c r="A543" s="289"/>
      <c r="B543" s="289"/>
      <c r="C543" s="289"/>
    </row>
    <row r="544" spans="1:19" ht="32.1" customHeight="1">
      <c r="A544" s="289"/>
      <c r="B544" s="289"/>
      <c r="C544" s="289"/>
    </row>
    <row r="545" spans="1:4" ht="32.1" customHeight="1">
      <c r="A545" s="289"/>
      <c r="B545" s="289"/>
    </row>
    <row r="546" spans="1:4" ht="32.1" customHeight="1">
      <c r="A546" s="289"/>
      <c r="B546" s="289"/>
      <c r="C546" s="289"/>
      <c r="D546" s="289"/>
    </row>
    <row r="547" spans="1:4" ht="32.1" customHeight="1">
      <c r="A547" s="289"/>
      <c r="B547" s="289"/>
      <c r="C547" s="289"/>
      <c r="D547" s="289"/>
    </row>
    <row r="548" spans="1:4" ht="32.1" customHeight="1">
      <c r="A548" s="289"/>
      <c r="B548" s="289"/>
      <c r="C548" s="289"/>
      <c r="D548" s="289"/>
    </row>
    <row r="549" spans="1:4" ht="32.1" customHeight="1">
      <c r="A549" s="289"/>
      <c r="B549" s="289"/>
      <c r="C549" s="289"/>
      <c r="D549" s="289"/>
    </row>
    <row r="550" spans="1:4" ht="32.1" customHeight="1">
      <c r="A550" s="289"/>
      <c r="B550" s="289"/>
      <c r="C550" s="289"/>
      <c r="D550" s="289"/>
    </row>
    <row r="551" spans="1:4" ht="32.1" customHeight="1">
      <c r="A551" s="289"/>
      <c r="B551" s="289"/>
      <c r="C551" s="289"/>
      <c r="D551" s="289"/>
    </row>
    <row r="552" spans="1:4" ht="32.1" customHeight="1">
      <c r="A552" s="289"/>
      <c r="B552" s="289"/>
      <c r="C552" s="289"/>
      <c r="D552" s="289"/>
    </row>
    <row r="553" spans="1:4" ht="32.1" customHeight="1">
      <c r="A553" s="289"/>
      <c r="B553" s="289"/>
      <c r="C553" s="289"/>
      <c r="D553" s="289"/>
    </row>
    <row r="554" spans="1:4" ht="32.1" customHeight="1">
      <c r="A554" s="289"/>
      <c r="B554" s="289"/>
      <c r="C554" s="289"/>
      <c r="D554" s="289"/>
    </row>
    <row r="555" spans="1:4" ht="32.1" customHeight="1">
      <c r="A555" s="289"/>
      <c r="B555" s="289"/>
      <c r="C555" s="289"/>
      <c r="D555" s="289"/>
    </row>
    <row r="556" spans="1:4" ht="32.1" customHeight="1">
      <c r="A556" s="289"/>
      <c r="B556" s="289"/>
      <c r="C556" s="289"/>
      <c r="D556" s="289"/>
    </row>
    <row r="557" spans="1:4" ht="32.1" customHeight="1">
      <c r="A557" s="289"/>
      <c r="B557" s="289"/>
      <c r="C557" s="289"/>
      <c r="D557" s="289"/>
    </row>
    <row r="558" spans="1:4" ht="32.1" customHeight="1">
      <c r="A558" s="289"/>
      <c r="B558" s="289"/>
      <c r="C558" s="289"/>
      <c r="D558" s="289"/>
    </row>
    <row r="559" spans="1:4" ht="32.1" customHeight="1">
      <c r="A559" s="289"/>
      <c r="B559" s="289"/>
      <c r="C559" s="289"/>
      <c r="D559" s="289"/>
    </row>
    <row r="560" spans="1:4" ht="32.1" customHeight="1">
      <c r="A560" s="289"/>
      <c r="B560" s="289"/>
      <c r="C560" s="289"/>
      <c r="D560" s="289"/>
    </row>
    <row r="561" spans="1:4" ht="32.1" customHeight="1">
      <c r="A561" s="289"/>
      <c r="B561" s="289"/>
      <c r="C561" s="289"/>
      <c r="D561" s="289"/>
    </row>
    <row r="562" spans="1:4" ht="32.1" customHeight="1">
      <c r="A562" s="289"/>
      <c r="B562" s="289"/>
      <c r="C562" s="289"/>
      <c r="D562" s="289"/>
    </row>
    <row r="563" spans="1:4" ht="32.1" customHeight="1">
      <c r="A563" s="289"/>
      <c r="B563" s="289"/>
      <c r="C563" s="289"/>
      <c r="D563" s="289"/>
    </row>
    <row r="564" spans="1:4" ht="32.1" customHeight="1">
      <c r="A564" s="289"/>
      <c r="B564" s="289"/>
      <c r="C564" s="289"/>
      <c r="D564" s="289"/>
    </row>
    <row r="565" spans="1:4" ht="32.1" customHeight="1">
      <c r="A565" s="289"/>
      <c r="B565" s="289"/>
      <c r="C565" s="289"/>
      <c r="D565" s="289"/>
    </row>
    <row r="566" spans="1:4" ht="32.1" customHeight="1">
      <c r="A566" s="289"/>
      <c r="B566" s="289"/>
      <c r="C566" s="289"/>
      <c r="D566" s="289"/>
    </row>
    <row r="567" spans="1:4" ht="32.1" customHeight="1">
      <c r="A567" s="289"/>
      <c r="B567" s="289"/>
      <c r="C567" s="289"/>
      <c r="D567" s="289"/>
    </row>
    <row r="568" spans="1:4" ht="32.1" customHeight="1">
      <c r="A568" s="289"/>
      <c r="B568" s="289"/>
      <c r="C568" s="289"/>
      <c r="D568" s="289"/>
    </row>
    <row r="569" spans="1:4" ht="32.1" customHeight="1">
      <c r="A569" s="289"/>
      <c r="B569" s="289"/>
      <c r="C569" s="289"/>
      <c r="D569" s="289"/>
    </row>
    <row r="570" spans="1:4" ht="32.1" customHeight="1">
      <c r="A570" s="289"/>
      <c r="B570" s="289"/>
      <c r="C570" s="289"/>
      <c r="D570" s="289"/>
    </row>
    <row r="571" spans="1:4" ht="32.1" customHeight="1">
      <c r="A571" s="289"/>
      <c r="B571" s="289"/>
      <c r="C571" s="289"/>
      <c r="D571" s="289"/>
    </row>
    <row r="572" spans="1:4" ht="32.1" customHeight="1">
      <c r="A572" s="289"/>
      <c r="B572" s="289"/>
      <c r="C572" s="289"/>
      <c r="D572" s="289"/>
    </row>
    <row r="573" spans="1:4" ht="32.1" customHeight="1">
      <c r="A573" s="289"/>
      <c r="B573" s="289"/>
      <c r="C573" s="289"/>
      <c r="D573" s="289"/>
    </row>
    <row r="574" spans="1:4" ht="32.1" customHeight="1">
      <c r="A574" s="289"/>
      <c r="B574" s="289"/>
      <c r="C574" s="289"/>
      <c r="D574" s="289"/>
    </row>
    <row r="575" spans="1:4" ht="32.1" customHeight="1">
      <c r="A575" s="289"/>
      <c r="B575" s="289"/>
      <c r="C575" s="289"/>
      <c r="D575" s="289"/>
    </row>
    <row r="576" spans="1:4" ht="32.1" customHeight="1">
      <c r="A576" s="289"/>
      <c r="B576" s="289"/>
      <c r="C576" s="289"/>
      <c r="D576" s="289"/>
    </row>
    <row r="577" spans="1:4" ht="32.1" customHeight="1">
      <c r="A577" s="289"/>
      <c r="B577" s="289"/>
      <c r="C577" s="289"/>
      <c r="D577" s="289"/>
    </row>
    <row r="578" spans="1:4" ht="32.1" customHeight="1">
      <c r="A578" s="289"/>
      <c r="B578" s="289"/>
      <c r="C578" s="289"/>
      <c r="D578" s="289"/>
    </row>
    <row r="579" spans="1:4" ht="32.1" customHeight="1">
      <c r="A579" s="289"/>
      <c r="B579" s="289"/>
      <c r="C579" s="289"/>
      <c r="D579" s="289"/>
    </row>
    <row r="580" spans="1:4" ht="32.1" customHeight="1">
      <c r="A580" s="289"/>
      <c r="B580" s="289"/>
      <c r="C580" s="289"/>
      <c r="D580" s="289"/>
    </row>
    <row r="581" spans="1:4" ht="32.1" customHeight="1">
      <c r="A581" s="289"/>
      <c r="B581" s="289"/>
      <c r="C581" s="289"/>
      <c r="D581" s="289"/>
    </row>
    <row r="582" spans="1:4" ht="32.1" customHeight="1">
      <c r="A582" s="289"/>
      <c r="B582" s="289"/>
      <c r="C582" s="289"/>
      <c r="D582" s="289"/>
    </row>
    <row r="583" spans="1:4" ht="32.1" customHeight="1">
      <c r="A583" s="289"/>
      <c r="B583" s="289"/>
      <c r="C583" s="289"/>
      <c r="D583" s="289"/>
    </row>
    <row r="584" spans="1:4" ht="32.1" customHeight="1">
      <c r="A584" s="289"/>
      <c r="B584" s="289"/>
      <c r="C584" s="289"/>
      <c r="D584" s="289"/>
    </row>
    <row r="585" spans="1:4" ht="32.1" customHeight="1">
      <c r="A585" s="289"/>
      <c r="B585" s="289"/>
      <c r="C585" s="289"/>
      <c r="D585" s="289"/>
    </row>
    <row r="586" spans="1:4" ht="32.1" customHeight="1">
      <c r="A586" s="289"/>
      <c r="B586" s="289"/>
      <c r="C586" s="289"/>
      <c r="D586" s="289"/>
    </row>
    <row r="587" spans="1:4" ht="32.1" customHeight="1">
      <c r="A587" s="289"/>
      <c r="B587" s="289"/>
      <c r="C587" s="289"/>
      <c r="D587" s="289"/>
    </row>
    <row r="588" spans="1:4" ht="32.1" customHeight="1">
      <c r="A588" s="289"/>
      <c r="B588" s="289"/>
      <c r="C588" s="289"/>
      <c r="D588" s="289"/>
    </row>
    <row r="589" spans="1:4" ht="32.1" customHeight="1">
      <c r="A589" s="289"/>
      <c r="B589" s="289"/>
      <c r="C589" s="289"/>
      <c r="D589" s="289"/>
    </row>
    <row r="590" spans="1:4" ht="32.1" customHeight="1">
      <c r="A590" s="289"/>
      <c r="B590" s="289"/>
      <c r="C590" s="289"/>
      <c r="D590" s="289"/>
    </row>
    <row r="591" spans="1:4" ht="32.1" customHeight="1">
      <c r="A591" s="289"/>
      <c r="B591" s="289"/>
      <c r="C591" s="289"/>
      <c r="D591" s="289"/>
    </row>
    <row r="592" spans="1:4" ht="32.1" customHeight="1">
      <c r="A592" s="289"/>
      <c r="B592" s="289"/>
      <c r="C592" s="289"/>
      <c r="D592" s="289"/>
    </row>
    <row r="593" spans="1:4" ht="32.1" customHeight="1">
      <c r="A593" s="289"/>
      <c r="B593" s="289"/>
      <c r="C593" s="289"/>
      <c r="D593" s="289"/>
    </row>
    <row r="594" spans="1:4" ht="32.1" customHeight="1">
      <c r="A594" s="289"/>
      <c r="B594" s="289"/>
      <c r="C594" s="289"/>
      <c r="D594" s="289"/>
    </row>
    <row r="595" spans="1:4" ht="32.1" customHeight="1">
      <c r="A595" s="289"/>
      <c r="B595" s="289"/>
      <c r="C595" s="289"/>
      <c r="D595" s="289"/>
    </row>
    <row r="596" spans="1:4" ht="32.1" customHeight="1">
      <c r="A596" s="289"/>
      <c r="B596" s="289"/>
      <c r="C596" s="289"/>
      <c r="D596" s="289"/>
    </row>
    <row r="597" spans="1:4" ht="32.1" customHeight="1">
      <c r="A597" s="289"/>
      <c r="B597" s="289"/>
      <c r="C597" s="289"/>
      <c r="D597" s="289"/>
    </row>
    <row r="598" spans="1:4" ht="32.1" customHeight="1">
      <c r="A598" s="289"/>
      <c r="B598" s="289"/>
      <c r="C598" s="289"/>
      <c r="D598" s="289"/>
    </row>
    <row r="599" spans="1:4" ht="32.1" customHeight="1">
      <c r="A599" s="289"/>
      <c r="B599" s="289"/>
      <c r="C599" s="289"/>
      <c r="D599" s="289"/>
    </row>
    <row r="600" spans="1:4" ht="32.1" customHeight="1">
      <c r="A600" s="289"/>
      <c r="B600" s="289"/>
      <c r="C600" s="289"/>
      <c r="D600" s="289"/>
    </row>
    <row r="601" spans="1:4" ht="32.1" customHeight="1">
      <c r="A601" s="289"/>
      <c r="B601" s="289"/>
      <c r="C601" s="289"/>
      <c r="D601" s="289"/>
    </row>
    <row r="602" spans="1:4" ht="32.1" customHeight="1">
      <c r="A602" s="289"/>
      <c r="B602" s="289"/>
      <c r="C602" s="289"/>
      <c r="D602" s="289"/>
    </row>
    <row r="603" spans="1:4" ht="32.1" customHeight="1">
      <c r="A603" s="289"/>
      <c r="B603" s="289"/>
      <c r="C603" s="289"/>
      <c r="D603" s="289"/>
    </row>
    <row r="604" spans="1:4" ht="32.1" customHeight="1">
      <c r="A604" s="289"/>
      <c r="B604" s="289"/>
      <c r="C604" s="289"/>
      <c r="D604" s="289"/>
    </row>
    <row r="605" spans="1:4" ht="32.1" customHeight="1">
      <c r="A605" s="289"/>
      <c r="B605" s="289"/>
      <c r="C605" s="289"/>
      <c r="D605" s="289"/>
    </row>
    <row r="606" spans="1:4" ht="32.1" customHeight="1">
      <c r="A606" s="289"/>
      <c r="B606" s="289"/>
      <c r="C606" s="289"/>
      <c r="D606" s="289"/>
    </row>
    <row r="607" spans="1:4" ht="32.1" customHeight="1">
      <c r="A607" s="289"/>
      <c r="B607" s="289"/>
      <c r="C607" s="289"/>
      <c r="D607" s="289"/>
    </row>
    <row r="608" spans="1:4" ht="32.1" customHeight="1">
      <c r="A608" s="289"/>
      <c r="B608" s="289"/>
      <c r="C608" s="289"/>
      <c r="D608" s="289"/>
    </row>
    <row r="609" spans="1:4" ht="32.1" customHeight="1">
      <c r="A609" s="289"/>
      <c r="B609" s="289"/>
      <c r="C609" s="289"/>
      <c r="D609" s="289"/>
    </row>
    <row r="610" spans="1:4" ht="32.1" customHeight="1">
      <c r="A610" s="289"/>
      <c r="B610" s="289"/>
      <c r="C610" s="289"/>
      <c r="D610" s="289"/>
    </row>
    <row r="611" spans="1:4" ht="32.1" customHeight="1">
      <c r="A611" s="289"/>
      <c r="B611" s="289"/>
      <c r="C611" s="289"/>
      <c r="D611" s="289"/>
    </row>
    <row r="612" spans="1:4" ht="32.1" customHeight="1">
      <c r="A612" s="289"/>
      <c r="B612" s="289"/>
      <c r="C612" s="289"/>
      <c r="D612" s="289"/>
    </row>
    <row r="613" spans="1:4" ht="32.1" customHeight="1">
      <c r="A613" s="289"/>
      <c r="B613" s="289"/>
      <c r="C613" s="289"/>
      <c r="D613" s="289"/>
    </row>
    <row r="614" spans="1:4" ht="32.1" customHeight="1">
      <c r="A614" s="289"/>
      <c r="B614" s="289"/>
      <c r="C614" s="289"/>
      <c r="D614" s="289"/>
    </row>
    <row r="615" spans="1:4" ht="32.1" customHeight="1">
      <c r="A615" s="289"/>
      <c r="B615" s="289"/>
      <c r="C615" s="289"/>
      <c r="D615" s="289"/>
    </row>
    <row r="616" spans="1:4" ht="32.1" customHeight="1">
      <c r="A616" s="289"/>
      <c r="B616" s="289"/>
      <c r="C616" s="289"/>
      <c r="D616" s="289"/>
    </row>
    <row r="617" spans="1:4" ht="32.1" customHeight="1">
      <c r="A617" s="289"/>
      <c r="B617" s="289"/>
      <c r="C617" s="289"/>
      <c r="D617" s="289"/>
    </row>
    <row r="618" spans="1:4" ht="32.1" customHeight="1">
      <c r="A618" s="289"/>
      <c r="B618" s="289"/>
      <c r="C618" s="289"/>
      <c r="D618" s="289"/>
    </row>
    <row r="619" spans="1:4" ht="32.1" customHeight="1">
      <c r="A619" s="289"/>
      <c r="B619" s="289"/>
      <c r="C619" s="289"/>
      <c r="D619" s="289"/>
    </row>
    <row r="620" spans="1:4" ht="32.1" customHeight="1">
      <c r="A620" s="289"/>
      <c r="B620" s="289"/>
      <c r="C620" s="289"/>
      <c r="D620" s="289"/>
    </row>
    <row r="621" spans="1:4" ht="32.1" customHeight="1">
      <c r="A621" s="289"/>
      <c r="B621" s="289"/>
      <c r="C621" s="289"/>
      <c r="D621" s="289"/>
    </row>
    <row r="622" spans="1:4" ht="32.1" customHeight="1">
      <c r="A622" s="289"/>
      <c r="B622" s="289"/>
      <c r="C622" s="289"/>
      <c r="D622" s="289"/>
    </row>
    <row r="623" spans="1:4" ht="32.1" customHeight="1">
      <c r="A623" s="289"/>
      <c r="B623" s="289"/>
      <c r="C623" s="289"/>
      <c r="D623" s="289"/>
    </row>
    <row r="624" spans="1:4" ht="32.1" customHeight="1">
      <c r="A624" s="289"/>
      <c r="B624" s="289"/>
      <c r="C624" s="289"/>
      <c r="D624" s="289"/>
    </row>
    <row r="625" spans="1:4" ht="32.1" customHeight="1">
      <c r="A625" s="289"/>
      <c r="B625" s="289"/>
      <c r="C625" s="289"/>
      <c r="D625" s="289"/>
    </row>
    <row r="626" spans="1:4" ht="32.1" customHeight="1">
      <c r="A626" s="289"/>
      <c r="B626" s="289"/>
      <c r="C626" s="289"/>
      <c r="D626" s="289"/>
    </row>
    <row r="627" spans="1:4" ht="32.1" customHeight="1">
      <c r="A627" s="289"/>
      <c r="B627" s="289"/>
      <c r="C627" s="289"/>
      <c r="D627" s="289"/>
    </row>
    <row r="628" spans="1:4" ht="32.1" customHeight="1">
      <c r="A628" s="289"/>
      <c r="B628" s="289"/>
      <c r="C628" s="289"/>
      <c r="D628" s="289"/>
    </row>
    <row r="629" spans="1:4" ht="32.1" customHeight="1">
      <c r="A629" s="289"/>
      <c r="B629" s="289"/>
      <c r="C629" s="289"/>
      <c r="D629" s="289"/>
    </row>
    <row r="630" spans="1:4" ht="32.1" customHeight="1">
      <c r="A630" s="289"/>
      <c r="B630" s="289"/>
      <c r="C630" s="289"/>
      <c r="D630" s="289"/>
    </row>
    <row r="631" spans="1:4" ht="32.1" customHeight="1">
      <c r="A631" s="289"/>
      <c r="B631" s="289"/>
      <c r="C631" s="289"/>
      <c r="D631" s="289"/>
    </row>
    <row r="632" spans="1:4" ht="32.1" customHeight="1">
      <c r="A632" s="289"/>
      <c r="B632" s="289"/>
      <c r="C632" s="289"/>
      <c r="D632" s="289"/>
    </row>
    <row r="633" spans="1:4" ht="32.1" customHeight="1">
      <c r="A633" s="289"/>
      <c r="B633" s="289"/>
      <c r="C633" s="289"/>
      <c r="D633" s="289"/>
    </row>
    <row r="634" spans="1:4" ht="32.1" customHeight="1">
      <c r="A634" s="289"/>
      <c r="B634" s="289"/>
      <c r="C634" s="289"/>
      <c r="D634" s="289"/>
    </row>
    <row r="635" spans="1:4" ht="32.1" customHeight="1">
      <c r="A635" s="289"/>
      <c r="B635" s="289"/>
      <c r="C635" s="289"/>
      <c r="D635" s="289"/>
    </row>
    <row r="636" spans="1:4" ht="32.1" customHeight="1">
      <c r="A636" s="289"/>
      <c r="B636" s="289"/>
      <c r="C636" s="289"/>
      <c r="D636" s="289"/>
    </row>
    <row r="637" spans="1:4" ht="32.1" customHeight="1">
      <c r="A637" s="289"/>
      <c r="B637" s="289"/>
      <c r="C637" s="289"/>
      <c r="D637" s="289"/>
    </row>
    <row r="638" spans="1:4" ht="32.1" customHeight="1">
      <c r="A638" s="289"/>
      <c r="B638" s="289"/>
      <c r="C638" s="289"/>
      <c r="D638" s="289"/>
    </row>
    <row r="639" spans="1:4" ht="32.1" customHeight="1">
      <c r="A639" s="289"/>
      <c r="B639" s="289"/>
      <c r="C639" s="289"/>
      <c r="D639" s="289"/>
    </row>
    <row r="640" spans="1:4" ht="32.1" customHeight="1">
      <c r="A640" s="289"/>
      <c r="B640" s="289"/>
      <c r="C640" s="289"/>
      <c r="D640" s="289"/>
    </row>
    <row r="641" spans="1:4" ht="32.1" customHeight="1">
      <c r="A641" s="289"/>
      <c r="B641" s="289"/>
      <c r="C641" s="289"/>
      <c r="D641" s="289"/>
    </row>
    <row r="642" spans="1:4" ht="32.1" customHeight="1">
      <c r="A642" s="289"/>
      <c r="B642" s="289"/>
      <c r="C642" s="289"/>
      <c r="D642" s="289"/>
    </row>
    <row r="643" spans="1:4" ht="32.1" customHeight="1">
      <c r="A643" s="289"/>
      <c r="B643" s="289"/>
      <c r="C643" s="289"/>
      <c r="D643" s="289"/>
    </row>
    <row r="644" spans="1:4" ht="32.1" customHeight="1">
      <c r="A644" s="289"/>
      <c r="B644" s="289"/>
      <c r="C644" s="289"/>
      <c r="D644" s="289"/>
    </row>
    <row r="645" spans="1:4" ht="32.1" customHeight="1">
      <c r="A645" s="289"/>
      <c r="B645" s="289"/>
      <c r="C645" s="289"/>
      <c r="D645" s="289"/>
    </row>
    <row r="646" spans="1:4" ht="32.1" customHeight="1">
      <c r="A646" s="289"/>
      <c r="B646" s="289"/>
      <c r="C646" s="289"/>
      <c r="D646" s="289"/>
    </row>
    <row r="647" spans="1:4" ht="32.1" customHeight="1">
      <c r="A647" s="289"/>
      <c r="B647" s="289"/>
      <c r="C647" s="289"/>
      <c r="D647" s="289"/>
    </row>
    <row r="648" spans="1:4" ht="32.1" customHeight="1">
      <c r="A648" s="289"/>
      <c r="B648" s="289"/>
      <c r="C648" s="289"/>
      <c r="D648" s="289"/>
    </row>
    <row r="649" spans="1:4" ht="32.1" customHeight="1">
      <c r="A649" s="289"/>
      <c r="B649" s="289"/>
      <c r="C649" s="289"/>
      <c r="D649" s="289"/>
    </row>
    <row r="650" spans="1:4" ht="32.1" customHeight="1">
      <c r="A650" s="289"/>
      <c r="B650" s="289"/>
      <c r="C650" s="289"/>
      <c r="D650" s="289"/>
    </row>
    <row r="651" spans="1:4" ht="32.1" customHeight="1">
      <c r="A651" s="289"/>
      <c r="B651" s="289"/>
      <c r="C651" s="289"/>
      <c r="D651" s="289"/>
    </row>
    <row r="652" spans="1:4" ht="32.1" customHeight="1">
      <c r="A652" s="289"/>
      <c r="B652" s="289"/>
      <c r="C652" s="289"/>
      <c r="D652" s="289"/>
    </row>
    <row r="653" spans="1:4" ht="32.1" customHeight="1">
      <c r="A653" s="289"/>
      <c r="B653" s="289"/>
      <c r="C653" s="289"/>
      <c r="D653" s="289"/>
    </row>
    <row r="654" spans="1:4" ht="32.1" customHeight="1">
      <c r="A654" s="289"/>
      <c r="B654" s="289"/>
      <c r="C654" s="289"/>
      <c r="D654" s="289"/>
    </row>
    <row r="655" spans="1:4" ht="32.1" customHeight="1">
      <c r="A655" s="289"/>
      <c r="B655" s="289"/>
      <c r="C655" s="289"/>
      <c r="D655" s="289"/>
    </row>
    <row r="656" spans="1:4" ht="32.1" customHeight="1">
      <c r="A656" s="289"/>
      <c r="B656" s="289"/>
      <c r="C656" s="289"/>
      <c r="D656" s="289"/>
    </row>
    <row r="657" spans="1:4" ht="32.1" customHeight="1">
      <c r="A657" s="289"/>
      <c r="B657" s="289"/>
      <c r="C657" s="289"/>
      <c r="D657" s="289"/>
    </row>
    <row r="658" spans="1:4" ht="32.1" customHeight="1">
      <c r="A658" s="289"/>
      <c r="B658" s="289"/>
      <c r="C658" s="289"/>
      <c r="D658" s="289"/>
    </row>
    <row r="659" spans="1:4" ht="32.1" customHeight="1">
      <c r="A659" s="289"/>
      <c r="B659" s="289"/>
      <c r="C659" s="289"/>
      <c r="D659" s="289"/>
    </row>
    <row r="660" spans="1:4" ht="32.1" customHeight="1">
      <c r="A660" s="289"/>
      <c r="B660" s="289"/>
      <c r="C660" s="289"/>
      <c r="D660" s="289"/>
    </row>
    <row r="661" spans="1:4" ht="32.1" customHeight="1">
      <c r="A661" s="289"/>
      <c r="B661" s="289"/>
      <c r="C661" s="289"/>
      <c r="D661" s="289"/>
    </row>
    <row r="662" spans="1:4" ht="32.1" customHeight="1">
      <c r="A662" s="289"/>
      <c r="B662" s="289"/>
      <c r="C662" s="289"/>
      <c r="D662" s="289"/>
    </row>
    <row r="663" spans="1:4" ht="32.1" customHeight="1">
      <c r="A663" s="289"/>
      <c r="B663" s="289"/>
      <c r="C663" s="289"/>
      <c r="D663" s="289"/>
    </row>
    <row r="664" spans="1:4" ht="32.1" customHeight="1">
      <c r="A664" s="289"/>
      <c r="B664" s="289"/>
      <c r="C664" s="289"/>
      <c r="D664" s="289"/>
    </row>
    <row r="665" spans="1:4" ht="32.1" customHeight="1">
      <c r="A665" s="289"/>
      <c r="B665" s="289"/>
      <c r="C665" s="289"/>
      <c r="D665" s="289"/>
    </row>
    <row r="666" spans="1:4" ht="32.1" customHeight="1">
      <c r="A666" s="289"/>
      <c r="B666" s="289"/>
      <c r="C666" s="289"/>
      <c r="D666" s="289"/>
    </row>
    <row r="667" spans="1:4" ht="32.1" customHeight="1">
      <c r="A667" s="289"/>
      <c r="B667" s="289"/>
      <c r="C667" s="289"/>
      <c r="D667" s="289"/>
    </row>
    <row r="668" spans="1:4" ht="32.1" customHeight="1">
      <c r="A668" s="289"/>
      <c r="B668" s="289"/>
      <c r="C668" s="289"/>
      <c r="D668" s="289"/>
    </row>
    <row r="669" spans="1:4" ht="32.1" customHeight="1">
      <c r="A669" s="289"/>
      <c r="B669" s="289"/>
      <c r="C669" s="289"/>
      <c r="D669" s="289"/>
    </row>
    <row r="670" spans="1:4">
      <c r="A670" s="289"/>
      <c r="B670" s="289"/>
      <c r="C670" s="289"/>
      <c r="D670" s="289"/>
    </row>
    <row r="671" spans="1:4">
      <c r="A671" s="289"/>
      <c r="B671" s="289"/>
      <c r="C671" s="289"/>
      <c r="D671" s="289"/>
    </row>
    <row r="672" spans="1:4">
      <c r="A672" s="289"/>
      <c r="B672" s="289"/>
      <c r="C672" s="289"/>
      <c r="D672" s="289"/>
    </row>
    <row r="673" spans="1:4">
      <c r="A673" s="289"/>
      <c r="B673" s="289"/>
      <c r="C673" s="289"/>
      <c r="D673" s="289"/>
    </row>
    <row r="674" spans="1:4">
      <c r="A674" s="289"/>
      <c r="B674" s="289"/>
      <c r="C674" s="289"/>
      <c r="D674" s="289"/>
    </row>
    <row r="675" spans="1:4">
      <c r="A675" s="289"/>
      <c r="B675" s="289"/>
      <c r="C675" s="289"/>
      <c r="D675" s="289"/>
    </row>
    <row r="676" spans="1:4"/>
    <row r="677" spans="1:4"/>
    <row r="678" spans="1:4"/>
    <row r="679" spans="1:4"/>
    <row r="680" spans="1:4"/>
    <row r="681" spans="1:4"/>
    <row r="682" spans="1:4"/>
    <row r="683" spans="1:4"/>
    <row r="684" spans="1:4"/>
    <row r="685" spans="1:4"/>
    <row r="686" spans="1:4"/>
    <row r="687" spans="1:4"/>
    <row r="688" spans="1:4"/>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sheetData>
  <autoFilter ref="A9:W527">
    <sortState ref="A11:W506">
      <sortCondition ref="A9:A506"/>
    </sortState>
  </autoFilter>
  <customSheetViews>
    <customSheetView guid="{45C8AF51-29EC-46A5-AB7F-1F0634E55D82}" scale="60" hiddenRows="1" hiddenColumns="1">
      <pane xSplit="3" ySplit="9" topLeftCell="D10" activePane="bottomRight" state="frozenSplit"/>
      <selection pane="bottomRight" activeCell="B2" sqref="B2:D2"/>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9" topLeftCell="D335" activePane="bottomRight" state="frozenSplit"/>
      <selection pane="bottomRight" activeCell="C372" sqref="C372"/>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pane xSplit="3" ySplit="9" topLeftCell="D470" activePane="bottomRight" state="frozenSplit"/>
      <selection pane="bottomRight" activeCell="D488" sqref="D488"/>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9" topLeftCell="D10" activePane="bottomRight" state="frozenSplit"/>
      <selection pane="bottomRight" activeCell="D256" sqref="D256"/>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9:W506">
        <sortState ref="A11:W506">
          <sortCondition ref="A9:A506"/>
        </sortState>
      </autoFilter>
    </customSheetView>
  </customSheetViews>
  <mergeCells count="22">
    <mergeCell ref="A8:A9"/>
    <mergeCell ref="E8:P8"/>
    <mergeCell ref="Q8:Q9"/>
    <mergeCell ref="C530:S531"/>
    <mergeCell ref="C532:S532"/>
    <mergeCell ref="S8:S9"/>
    <mergeCell ref="R8:R9"/>
    <mergeCell ref="B8:B9"/>
    <mergeCell ref="C8:C9"/>
    <mergeCell ref="D8:D9"/>
    <mergeCell ref="S5:S6"/>
    <mergeCell ref="B1:D1"/>
    <mergeCell ref="B2:D2"/>
    <mergeCell ref="B4:D4"/>
    <mergeCell ref="B5:B6"/>
    <mergeCell ref="C5:C6"/>
    <mergeCell ref="D5:D6"/>
    <mergeCell ref="E5:G6"/>
    <mergeCell ref="H5:J6"/>
    <mergeCell ref="K5:M6"/>
    <mergeCell ref="N5:P6"/>
    <mergeCell ref="Q5:R6"/>
  </mergeCells>
  <phoneticPr fontId="2" type="noConversion"/>
  <conditionalFormatting sqref="E81:P91 E239:P256 E454:P458 E443:P451 E153:J164 E373:P397 E59:P71 E167:P174 E106:P137 E139:P152 E176:P176 E179:P236 E94:P95">
    <cfRule type="containsBlanks" dxfId="6120" priority="2823" stopIfTrue="1">
      <formula>LEN(TRIM(E59))=0</formula>
    </cfRule>
    <cfRule type="cellIs" dxfId="6119" priority="2824" stopIfTrue="1" operator="between">
      <formula>79.1</formula>
      <formula>100</formula>
    </cfRule>
    <cfRule type="cellIs" dxfId="6118" priority="2825" stopIfTrue="1" operator="between">
      <formula>34.1</formula>
      <formula>79</formula>
    </cfRule>
    <cfRule type="cellIs" dxfId="6117" priority="2826" stopIfTrue="1" operator="between">
      <formula>13.1</formula>
      <formula>34</formula>
    </cfRule>
    <cfRule type="cellIs" dxfId="6116" priority="2827" stopIfTrue="1" operator="between">
      <formula>5.1</formula>
      <formula>13</formula>
    </cfRule>
    <cfRule type="cellIs" dxfId="6115" priority="2828" stopIfTrue="1" operator="between">
      <formula>0</formula>
      <formula>5</formula>
    </cfRule>
    <cfRule type="containsBlanks" dxfId="6114" priority="2829" stopIfTrue="1">
      <formula>LEN(TRIM(E59))=0</formula>
    </cfRule>
  </conditionalFormatting>
  <conditionalFormatting sqref="E238:P238 E346:E371 E260:P263 O257:P257 M259:P259 E266:P266 O264:P264 N265:P265 E269:P281 N267:P267 E408:J410 E37:P40 E165:P166 E72:P80 Q11:Q91 Q106:Q137 Q139:Q174 Q176 Q179:Q281 E284:Q303 E306:Q313 Q315:Q528 E315:P315 Q94:Q95 F358:I359">
    <cfRule type="containsBlanks" dxfId="6113" priority="2641" stopIfTrue="1">
      <formula>LEN(TRIM(E11))=0</formula>
    </cfRule>
    <cfRule type="cellIs" dxfId="6112" priority="2642" stopIfTrue="1" operator="between">
      <formula>80.1</formula>
      <formula>100</formula>
    </cfRule>
    <cfRule type="cellIs" dxfId="6111" priority="2643" stopIfTrue="1" operator="between">
      <formula>35.1</formula>
      <formula>80</formula>
    </cfRule>
    <cfRule type="cellIs" dxfId="6110" priority="2644" stopIfTrue="1" operator="between">
      <formula>14.1</formula>
      <formula>35</formula>
    </cfRule>
    <cfRule type="cellIs" dxfId="6109" priority="2645" stopIfTrue="1" operator="between">
      <formula>5.1</formula>
      <formula>14</formula>
    </cfRule>
    <cfRule type="cellIs" dxfId="6108" priority="2646" stopIfTrue="1" operator="between">
      <formula>0</formula>
      <formula>5</formula>
    </cfRule>
    <cfRule type="containsBlanks" dxfId="6107" priority="2647" stopIfTrue="1">
      <formula>LEN(TRIM(E11))=0</formula>
    </cfRule>
  </conditionalFormatting>
  <conditionalFormatting sqref="E21:J36">
    <cfRule type="containsBlanks" dxfId="6106" priority="2600" stopIfTrue="1">
      <formula>LEN(TRIM(E21))=0</formula>
    </cfRule>
    <cfRule type="cellIs" dxfId="6105" priority="2601" stopIfTrue="1" operator="between">
      <formula>79.1</formula>
      <formula>100</formula>
    </cfRule>
    <cfRule type="cellIs" dxfId="6104" priority="2602" stopIfTrue="1" operator="between">
      <formula>34.1</formula>
      <formula>79</formula>
    </cfRule>
    <cfRule type="cellIs" dxfId="6103" priority="2603" stopIfTrue="1" operator="between">
      <formula>13.1</formula>
      <formula>34</formula>
    </cfRule>
    <cfRule type="cellIs" dxfId="6102" priority="2604" stopIfTrue="1" operator="between">
      <formula>5.1</formula>
      <formula>13</formula>
    </cfRule>
    <cfRule type="cellIs" dxfId="6101" priority="2605" stopIfTrue="1" operator="between">
      <formula>0</formula>
      <formula>5</formula>
    </cfRule>
    <cfRule type="containsBlanks" dxfId="6100" priority="2606" stopIfTrue="1">
      <formula>LEN(TRIM(E21))=0</formula>
    </cfRule>
  </conditionalFormatting>
  <conditionalFormatting sqref="E237:P237">
    <cfRule type="containsBlanks" dxfId="6099" priority="2565" stopIfTrue="1">
      <formula>LEN(TRIM(E237))=0</formula>
    </cfRule>
    <cfRule type="cellIs" dxfId="6098" priority="2566" stopIfTrue="1" operator="between">
      <formula>79.1</formula>
      <formula>100</formula>
    </cfRule>
    <cfRule type="cellIs" dxfId="6097" priority="2567" stopIfTrue="1" operator="between">
      <formula>34.1</formula>
      <formula>79</formula>
    </cfRule>
    <cfRule type="cellIs" dxfId="6096" priority="2568" stopIfTrue="1" operator="between">
      <formula>13.1</formula>
      <formula>34</formula>
    </cfRule>
    <cfRule type="cellIs" dxfId="6095" priority="2569" stopIfTrue="1" operator="between">
      <formula>5.1</formula>
      <formula>13</formula>
    </cfRule>
    <cfRule type="cellIs" dxfId="6094" priority="2570" stopIfTrue="1" operator="between">
      <formula>0</formula>
      <formula>5</formula>
    </cfRule>
    <cfRule type="containsBlanks" dxfId="6093" priority="2571" stopIfTrue="1">
      <formula>LEN(TRIM(E237))=0</formula>
    </cfRule>
  </conditionalFormatting>
  <conditionalFormatting sqref="E153:P153 E161:P164">
    <cfRule type="containsBlanks" dxfId="6092" priority="2579" stopIfTrue="1">
      <formula>LEN(TRIM(E153))=0</formula>
    </cfRule>
    <cfRule type="cellIs" dxfId="6091" priority="2580" stopIfTrue="1" operator="between">
      <formula>79.1</formula>
      <formula>100</formula>
    </cfRule>
    <cfRule type="cellIs" dxfId="6090" priority="2581" stopIfTrue="1" operator="between">
      <formula>34.1</formula>
      <formula>79</formula>
    </cfRule>
    <cfRule type="cellIs" dxfId="6089" priority="2582" stopIfTrue="1" operator="between">
      <formula>13.1</formula>
      <formula>34</formula>
    </cfRule>
    <cfRule type="cellIs" dxfId="6088" priority="2583" stopIfTrue="1" operator="between">
      <formula>5.1</formula>
      <formula>13</formula>
    </cfRule>
    <cfRule type="cellIs" dxfId="6087" priority="2584" stopIfTrue="1" operator="between">
      <formula>0</formula>
      <formula>5</formula>
    </cfRule>
    <cfRule type="containsBlanks" dxfId="6086" priority="2585" stopIfTrue="1">
      <formula>LEN(TRIM(E153))=0</formula>
    </cfRule>
  </conditionalFormatting>
  <conditionalFormatting sqref="E372">
    <cfRule type="containsBlanks" dxfId="6085" priority="2537" stopIfTrue="1">
      <formula>LEN(TRIM(E372))=0</formula>
    </cfRule>
    <cfRule type="cellIs" dxfId="6084" priority="2538" stopIfTrue="1" operator="between">
      <formula>79.1</formula>
      <formula>100</formula>
    </cfRule>
    <cfRule type="cellIs" dxfId="6083" priority="2539" stopIfTrue="1" operator="between">
      <formula>34.1</formula>
      <formula>79</formula>
    </cfRule>
    <cfRule type="cellIs" dxfId="6082" priority="2540" stopIfTrue="1" operator="between">
      <formula>13.1</formula>
      <formula>34</formula>
    </cfRule>
    <cfRule type="cellIs" dxfId="6081" priority="2541" stopIfTrue="1" operator="between">
      <formula>5.1</formula>
      <formula>13</formula>
    </cfRule>
    <cfRule type="cellIs" dxfId="6080" priority="2542" stopIfTrue="1" operator="between">
      <formula>0</formula>
      <formula>5</formula>
    </cfRule>
    <cfRule type="containsBlanks" dxfId="6079" priority="2543" stopIfTrue="1">
      <formula>LEN(TRIM(E372))=0</formula>
    </cfRule>
  </conditionalFormatting>
  <conditionalFormatting sqref="N414:P414 P434 E430:P430 E425:P425 E416:P416 E420:P422 O419:P419 M428:P428 O417:P417 O429:P429 P431 O426:P426 P423">
    <cfRule type="containsBlanks" dxfId="6078" priority="2530" stopIfTrue="1">
      <formula>LEN(TRIM(E414))=0</formula>
    </cfRule>
    <cfRule type="cellIs" dxfId="6077" priority="2531" stopIfTrue="1" operator="between">
      <formula>79.1</formula>
      <formula>100</formula>
    </cfRule>
    <cfRule type="cellIs" dxfId="6076" priority="2532" stopIfTrue="1" operator="between">
      <formula>34.1</formula>
      <formula>79</formula>
    </cfRule>
    <cfRule type="cellIs" dxfId="6075" priority="2533" stopIfTrue="1" operator="between">
      <formula>13.1</formula>
      <formula>34</formula>
    </cfRule>
    <cfRule type="cellIs" dxfId="6074" priority="2534" stopIfTrue="1" operator="between">
      <formula>5.1</formula>
      <formula>13</formula>
    </cfRule>
    <cfRule type="cellIs" dxfId="6073" priority="2535" stopIfTrue="1" operator="between">
      <formula>0</formula>
      <formula>5</formula>
    </cfRule>
    <cfRule type="containsBlanks" dxfId="6072" priority="2536" stopIfTrue="1">
      <formula>LEN(TRIM(E414))=0</formula>
    </cfRule>
  </conditionalFormatting>
  <conditionalFormatting sqref="I452:J453">
    <cfRule type="containsBlanks" dxfId="6071" priority="2523" stopIfTrue="1">
      <formula>LEN(TRIM(I452))=0</formula>
    </cfRule>
    <cfRule type="cellIs" dxfId="6070" priority="2524" stopIfTrue="1" operator="between">
      <formula>79.1</formula>
      <formula>100</formula>
    </cfRule>
    <cfRule type="cellIs" dxfId="6069" priority="2525" stopIfTrue="1" operator="between">
      <formula>34.1</formula>
      <formula>79</formula>
    </cfRule>
    <cfRule type="cellIs" dxfId="6068" priority="2526" stopIfTrue="1" operator="between">
      <formula>13.1</formula>
      <formula>34</formula>
    </cfRule>
    <cfRule type="cellIs" dxfId="6067" priority="2527" stopIfTrue="1" operator="between">
      <formula>5.1</formula>
      <formula>13</formula>
    </cfRule>
    <cfRule type="cellIs" dxfId="6066" priority="2528" stopIfTrue="1" operator="between">
      <formula>0</formula>
      <formula>5</formula>
    </cfRule>
    <cfRule type="containsBlanks" dxfId="6065" priority="2529" stopIfTrue="1">
      <formula>LEN(TRIM(I452))=0</formula>
    </cfRule>
  </conditionalFormatting>
  <conditionalFormatting sqref="M461:P461 M477:P478 J460:P460 E473:P474 N471:P471 K470:P470 K466:P466 P464 K463:P463 J462:P462 E476:P476 N475:P475 J465:P465 E469:P469 I467:P467 P468 M472:P472 E479:P527">
    <cfRule type="containsBlanks" dxfId="6064" priority="2516" stopIfTrue="1">
      <formula>LEN(TRIM(E460))=0</formula>
    </cfRule>
    <cfRule type="cellIs" dxfId="6063" priority="2517" stopIfTrue="1" operator="between">
      <formula>79.1</formula>
      <formula>100</formula>
    </cfRule>
    <cfRule type="cellIs" dxfId="6062" priority="2518" stopIfTrue="1" operator="between">
      <formula>34.1</formula>
      <formula>79</formula>
    </cfRule>
    <cfRule type="cellIs" dxfId="6061" priority="2519" stopIfTrue="1" operator="between">
      <formula>13.1</formula>
      <formula>34</formula>
    </cfRule>
    <cfRule type="cellIs" dxfId="6060" priority="2520" stopIfTrue="1" operator="between">
      <formula>5.1</formula>
      <formula>13</formula>
    </cfRule>
    <cfRule type="cellIs" dxfId="6059" priority="2521" stopIfTrue="1" operator="between">
      <formula>0</formula>
      <formula>5</formula>
    </cfRule>
    <cfRule type="containsBlanks" dxfId="6058" priority="2522" stopIfTrue="1">
      <formula>LEN(TRIM(E460))=0</formula>
    </cfRule>
  </conditionalFormatting>
  <conditionalFormatting sqref="F42 H42:P42">
    <cfRule type="containsBlanks" dxfId="6057" priority="2479" stopIfTrue="1">
      <formula>LEN(TRIM(F42))=0</formula>
    </cfRule>
    <cfRule type="cellIs" dxfId="6056" priority="2480" stopIfTrue="1" operator="between">
      <formula>80.1</formula>
      <formula>100</formula>
    </cfRule>
    <cfRule type="cellIs" dxfId="6055" priority="2481" stopIfTrue="1" operator="between">
      <formula>35.1</formula>
      <formula>80</formula>
    </cfRule>
    <cfRule type="cellIs" dxfId="6054" priority="2482" stopIfTrue="1" operator="between">
      <formula>14.1</formula>
      <formula>35</formula>
    </cfRule>
    <cfRule type="cellIs" dxfId="6053" priority="2483" stopIfTrue="1" operator="between">
      <formula>5.1</formula>
      <formula>14</formula>
    </cfRule>
    <cfRule type="cellIs" dxfId="6052" priority="2484" stopIfTrue="1" operator="between">
      <formula>0</formula>
      <formula>5</formula>
    </cfRule>
    <cfRule type="containsBlanks" dxfId="6051" priority="2485" stopIfTrue="1">
      <formula>LEN(TRIM(F42))=0</formula>
    </cfRule>
  </conditionalFormatting>
  <conditionalFormatting sqref="E42">
    <cfRule type="containsBlanks" dxfId="6050" priority="2472" stopIfTrue="1">
      <formula>LEN(TRIM(E42))=0</formula>
    </cfRule>
    <cfRule type="cellIs" dxfId="6049" priority="2473" stopIfTrue="1" operator="between">
      <formula>80.1</formula>
      <formula>100</formula>
    </cfRule>
    <cfRule type="cellIs" dxfId="6048" priority="2474" stopIfTrue="1" operator="between">
      <formula>35.1</formula>
      <formula>80</formula>
    </cfRule>
    <cfRule type="cellIs" dxfId="6047" priority="2475" stopIfTrue="1" operator="between">
      <formula>14.1</formula>
      <formula>35</formula>
    </cfRule>
    <cfRule type="cellIs" dxfId="6046" priority="2476" stopIfTrue="1" operator="between">
      <formula>5.1</formula>
      <formula>14</formula>
    </cfRule>
    <cfRule type="cellIs" dxfId="6045" priority="2477" stopIfTrue="1" operator="between">
      <formula>0</formula>
      <formula>5</formula>
    </cfRule>
    <cfRule type="containsBlanks" dxfId="6044" priority="2478" stopIfTrue="1">
      <formula>LEN(TRIM(E42))=0</formula>
    </cfRule>
  </conditionalFormatting>
  <conditionalFormatting sqref="F49:P49">
    <cfRule type="containsBlanks" dxfId="6043" priority="2457" stopIfTrue="1">
      <formula>LEN(TRIM(F49))=0</formula>
    </cfRule>
    <cfRule type="cellIs" dxfId="6042" priority="2458" stopIfTrue="1" operator="between">
      <formula>80.1</formula>
      <formula>100</formula>
    </cfRule>
    <cfRule type="cellIs" dxfId="6041" priority="2459" stopIfTrue="1" operator="between">
      <formula>35.1</formula>
      <formula>80</formula>
    </cfRule>
    <cfRule type="cellIs" dxfId="6040" priority="2460" stopIfTrue="1" operator="between">
      <formula>14.1</formula>
      <formula>35</formula>
    </cfRule>
    <cfRule type="cellIs" dxfId="6039" priority="2461" stopIfTrue="1" operator="between">
      <formula>5.1</formula>
      <formula>14</formula>
    </cfRule>
    <cfRule type="cellIs" dxfId="6038" priority="2462" stopIfTrue="1" operator="between">
      <formula>0</formula>
      <formula>5</formula>
    </cfRule>
    <cfRule type="containsBlanks" dxfId="6037" priority="2463" stopIfTrue="1">
      <formula>LEN(TRIM(F49))=0</formula>
    </cfRule>
  </conditionalFormatting>
  <conditionalFormatting sqref="E49">
    <cfRule type="containsBlanks" dxfId="6036" priority="2450" stopIfTrue="1">
      <formula>LEN(TRIM(E49))=0</formula>
    </cfRule>
    <cfRule type="cellIs" dxfId="6035" priority="2451" stopIfTrue="1" operator="between">
      <formula>80.1</formula>
      <formula>100</formula>
    </cfRule>
    <cfRule type="cellIs" dxfId="6034" priority="2452" stopIfTrue="1" operator="between">
      <formula>35.1</formula>
      <formula>80</formula>
    </cfRule>
    <cfRule type="cellIs" dxfId="6033" priority="2453" stopIfTrue="1" operator="between">
      <formula>14.1</formula>
      <formula>35</formula>
    </cfRule>
    <cfRule type="cellIs" dxfId="6032" priority="2454" stopIfTrue="1" operator="between">
      <formula>5.1</formula>
      <formula>14</formula>
    </cfRule>
    <cfRule type="cellIs" dxfId="6031" priority="2455" stopIfTrue="1" operator="between">
      <formula>0</formula>
      <formula>5</formula>
    </cfRule>
    <cfRule type="containsBlanks" dxfId="6030" priority="2456" stopIfTrue="1">
      <formula>LEN(TRIM(E49))=0</formula>
    </cfRule>
  </conditionalFormatting>
  <conditionalFormatting sqref="F50:P50">
    <cfRule type="containsBlanks" dxfId="6029" priority="2413" stopIfTrue="1">
      <formula>LEN(TRIM(F50))=0</formula>
    </cfRule>
    <cfRule type="cellIs" dxfId="6028" priority="2414" stopIfTrue="1" operator="between">
      <formula>80.1</formula>
      <formula>100</formula>
    </cfRule>
    <cfRule type="cellIs" dxfId="6027" priority="2415" stopIfTrue="1" operator="between">
      <formula>35.1</formula>
      <formula>80</formula>
    </cfRule>
    <cfRule type="cellIs" dxfId="6026" priority="2416" stopIfTrue="1" operator="between">
      <formula>14.1</formula>
      <formula>35</formula>
    </cfRule>
    <cfRule type="cellIs" dxfId="6025" priority="2417" stopIfTrue="1" operator="between">
      <formula>5.1</formula>
      <formula>14</formula>
    </cfRule>
    <cfRule type="cellIs" dxfId="6024" priority="2418" stopIfTrue="1" operator="between">
      <formula>0</formula>
      <formula>5</formula>
    </cfRule>
    <cfRule type="containsBlanks" dxfId="6023" priority="2419" stopIfTrue="1">
      <formula>LEN(TRIM(F50))=0</formula>
    </cfRule>
  </conditionalFormatting>
  <conditionalFormatting sqref="E50">
    <cfRule type="containsBlanks" dxfId="6022" priority="2406" stopIfTrue="1">
      <formula>LEN(TRIM(E50))=0</formula>
    </cfRule>
    <cfRule type="cellIs" dxfId="6021" priority="2407" stopIfTrue="1" operator="between">
      <formula>80.1</formula>
      <formula>100</formula>
    </cfRule>
    <cfRule type="cellIs" dxfId="6020" priority="2408" stopIfTrue="1" operator="between">
      <formula>35.1</formula>
      <formula>80</formula>
    </cfRule>
    <cfRule type="cellIs" dxfId="6019" priority="2409" stopIfTrue="1" operator="between">
      <formula>14.1</formula>
      <formula>35</formula>
    </cfRule>
    <cfRule type="cellIs" dxfId="6018" priority="2410" stopIfTrue="1" operator="between">
      <formula>5.1</formula>
      <formula>14</formula>
    </cfRule>
    <cfRule type="cellIs" dxfId="6017" priority="2411" stopIfTrue="1" operator="between">
      <formula>0</formula>
      <formula>5</formula>
    </cfRule>
    <cfRule type="containsBlanks" dxfId="6016" priority="2412" stopIfTrue="1">
      <formula>LEN(TRIM(E50))=0</formula>
    </cfRule>
  </conditionalFormatting>
  <conditionalFormatting sqref="F51:P51">
    <cfRule type="containsBlanks" dxfId="6015" priority="2369" stopIfTrue="1">
      <formula>LEN(TRIM(F51))=0</formula>
    </cfRule>
    <cfRule type="cellIs" dxfId="6014" priority="2370" stopIfTrue="1" operator="between">
      <formula>80.1</formula>
      <formula>100</formula>
    </cfRule>
    <cfRule type="cellIs" dxfId="6013" priority="2371" stopIfTrue="1" operator="between">
      <formula>35.1</formula>
      <formula>80</formula>
    </cfRule>
    <cfRule type="cellIs" dxfId="6012" priority="2372" stopIfTrue="1" operator="between">
      <formula>14.1</formula>
      <formula>35</formula>
    </cfRule>
    <cfRule type="cellIs" dxfId="6011" priority="2373" stopIfTrue="1" operator="between">
      <formula>5.1</formula>
      <formula>14</formula>
    </cfRule>
    <cfRule type="cellIs" dxfId="6010" priority="2374" stopIfTrue="1" operator="between">
      <formula>0</formula>
      <formula>5</formula>
    </cfRule>
    <cfRule type="containsBlanks" dxfId="6009" priority="2375" stopIfTrue="1">
      <formula>LEN(TRIM(F51))=0</formula>
    </cfRule>
  </conditionalFormatting>
  <conditionalFormatting sqref="E51">
    <cfRule type="containsBlanks" dxfId="6008" priority="2362" stopIfTrue="1">
      <formula>LEN(TRIM(E51))=0</formula>
    </cfRule>
    <cfRule type="cellIs" dxfId="6007" priority="2363" stopIfTrue="1" operator="between">
      <formula>80.1</formula>
      <formula>100</formula>
    </cfRule>
    <cfRule type="cellIs" dxfId="6006" priority="2364" stopIfTrue="1" operator="between">
      <formula>35.1</formula>
      <formula>80</formula>
    </cfRule>
    <cfRule type="cellIs" dxfId="6005" priority="2365" stopIfTrue="1" operator="between">
      <formula>14.1</formula>
      <formula>35</formula>
    </cfRule>
    <cfRule type="cellIs" dxfId="6004" priority="2366" stopIfTrue="1" operator="between">
      <formula>5.1</formula>
      <formula>14</formula>
    </cfRule>
    <cfRule type="cellIs" dxfId="6003" priority="2367" stopIfTrue="1" operator="between">
      <formula>0</formula>
      <formula>5</formula>
    </cfRule>
    <cfRule type="containsBlanks" dxfId="6002" priority="2368" stopIfTrue="1">
      <formula>LEN(TRIM(E51))=0</formula>
    </cfRule>
  </conditionalFormatting>
  <conditionalFormatting sqref="F47:P47">
    <cfRule type="containsBlanks" dxfId="6001" priority="2303" stopIfTrue="1">
      <formula>LEN(TRIM(F47))=0</formula>
    </cfRule>
    <cfRule type="cellIs" dxfId="6000" priority="2304" stopIfTrue="1" operator="between">
      <formula>80.1</formula>
      <formula>100</formula>
    </cfRule>
    <cfRule type="cellIs" dxfId="5999" priority="2305" stopIfTrue="1" operator="between">
      <formula>35.1</formula>
      <formula>80</formula>
    </cfRule>
    <cfRule type="cellIs" dxfId="5998" priority="2306" stopIfTrue="1" operator="between">
      <formula>14.1</formula>
      <formula>35</formula>
    </cfRule>
    <cfRule type="cellIs" dxfId="5997" priority="2307" stopIfTrue="1" operator="between">
      <formula>5.1</formula>
      <formula>14</formula>
    </cfRule>
    <cfRule type="cellIs" dxfId="5996" priority="2308" stopIfTrue="1" operator="between">
      <formula>0</formula>
      <formula>5</formula>
    </cfRule>
    <cfRule type="containsBlanks" dxfId="5995" priority="2309" stopIfTrue="1">
      <formula>LEN(TRIM(F47))=0</formula>
    </cfRule>
  </conditionalFormatting>
  <conditionalFormatting sqref="E47">
    <cfRule type="containsBlanks" dxfId="5994" priority="2296" stopIfTrue="1">
      <formula>LEN(TRIM(E47))=0</formula>
    </cfRule>
    <cfRule type="cellIs" dxfId="5993" priority="2297" stopIfTrue="1" operator="between">
      <formula>80.1</formula>
      <formula>100</formula>
    </cfRule>
    <cfRule type="cellIs" dxfId="5992" priority="2298" stopIfTrue="1" operator="between">
      <formula>35.1</formula>
      <formula>80</formula>
    </cfRule>
    <cfRule type="cellIs" dxfId="5991" priority="2299" stopIfTrue="1" operator="between">
      <formula>14.1</formula>
      <formula>35</formula>
    </cfRule>
    <cfRule type="cellIs" dxfId="5990" priority="2300" stopIfTrue="1" operator="between">
      <formula>5.1</formula>
      <formula>14</formula>
    </cfRule>
    <cfRule type="cellIs" dxfId="5989" priority="2301" stopIfTrue="1" operator="between">
      <formula>0</formula>
      <formula>5</formula>
    </cfRule>
    <cfRule type="containsBlanks" dxfId="5988" priority="2302" stopIfTrue="1">
      <formula>LEN(TRIM(E47))=0</formula>
    </cfRule>
  </conditionalFormatting>
  <conditionalFormatting sqref="F48:P48">
    <cfRule type="containsBlanks" dxfId="5987" priority="2281" stopIfTrue="1">
      <formula>LEN(TRIM(F48))=0</formula>
    </cfRule>
    <cfRule type="cellIs" dxfId="5986" priority="2282" stopIfTrue="1" operator="between">
      <formula>80.1</formula>
      <formula>100</formula>
    </cfRule>
    <cfRule type="cellIs" dxfId="5985" priority="2283" stopIfTrue="1" operator="between">
      <formula>35.1</formula>
      <formula>80</formula>
    </cfRule>
    <cfRule type="cellIs" dxfId="5984" priority="2284" stopIfTrue="1" operator="between">
      <formula>14.1</formula>
      <formula>35</formula>
    </cfRule>
    <cfRule type="cellIs" dxfId="5983" priority="2285" stopIfTrue="1" operator="between">
      <formula>5.1</formula>
      <formula>14</formula>
    </cfRule>
    <cfRule type="cellIs" dxfId="5982" priority="2286" stopIfTrue="1" operator="between">
      <formula>0</formula>
      <formula>5</formula>
    </cfRule>
    <cfRule type="containsBlanks" dxfId="5981" priority="2287" stopIfTrue="1">
      <formula>LEN(TRIM(F48))=0</formula>
    </cfRule>
  </conditionalFormatting>
  <conditionalFormatting sqref="E48">
    <cfRule type="containsBlanks" dxfId="5980" priority="2274" stopIfTrue="1">
      <formula>LEN(TRIM(E48))=0</formula>
    </cfRule>
    <cfRule type="cellIs" dxfId="5979" priority="2275" stopIfTrue="1" operator="between">
      <formula>80.1</formula>
      <formula>100</formula>
    </cfRule>
    <cfRule type="cellIs" dxfId="5978" priority="2276" stopIfTrue="1" operator="between">
      <formula>35.1</formula>
      <formula>80</formula>
    </cfRule>
    <cfRule type="cellIs" dxfId="5977" priority="2277" stopIfTrue="1" operator="between">
      <formula>14.1</formula>
      <formula>35</formula>
    </cfRule>
    <cfRule type="cellIs" dxfId="5976" priority="2278" stopIfTrue="1" operator="between">
      <formula>5.1</formula>
      <formula>14</formula>
    </cfRule>
    <cfRule type="cellIs" dxfId="5975" priority="2279" stopIfTrue="1" operator="between">
      <formula>0</formula>
      <formula>5</formula>
    </cfRule>
    <cfRule type="containsBlanks" dxfId="5974" priority="2280" stopIfTrue="1">
      <formula>LEN(TRIM(E48))=0</formula>
    </cfRule>
  </conditionalFormatting>
  <conditionalFormatting sqref="F43:P43">
    <cfRule type="containsBlanks" dxfId="5973" priority="2259" stopIfTrue="1">
      <formula>LEN(TRIM(F43))=0</formula>
    </cfRule>
    <cfRule type="cellIs" dxfId="5972" priority="2260" stopIfTrue="1" operator="between">
      <formula>80.1</formula>
      <formula>100</formula>
    </cfRule>
    <cfRule type="cellIs" dxfId="5971" priority="2261" stopIfTrue="1" operator="between">
      <formula>35.1</formula>
      <formula>80</formula>
    </cfRule>
    <cfRule type="cellIs" dxfId="5970" priority="2262" stopIfTrue="1" operator="between">
      <formula>14.1</formula>
      <formula>35</formula>
    </cfRule>
    <cfRule type="cellIs" dxfId="5969" priority="2263" stopIfTrue="1" operator="between">
      <formula>5.1</formula>
      <formula>14</formula>
    </cfRule>
    <cfRule type="cellIs" dxfId="5968" priority="2264" stopIfTrue="1" operator="between">
      <formula>0</formula>
      <formula>5</formula>
    </cfRule>
    <cfRule type="containsBlanks" dxfId="5967" priority="2265" stopIfTrue="1">
      <formula>LEN(TRIM(F43))=0</formula>
    </cfRule>
  </conditionalFormatting>
  <conditionalFormatting sqref="E43">
    <cfRule type="containsBlanks" dxfId="5966" priority="2252" stopIfTrue="1">
      <formula>LEN(TRIM(E43))=0</formula>
    </cfRule>
    <cfRule type="cellIs" dxfId="5965" priority="2253" stopIfTrue="1" operator="between">
      <formula>80.1</formula>
      <formula>100</formula>
    </cfRule>
    <cfRule type="cellIs" dxfId="5964" priority="2254" stopIfTrue="1" operator="between">
      <formula>35.1</formula>
      <formula>80</formula>
    </cfRule>
    <cfRule type="cellIs" dxfId="5963" priority="2255" stopIfTrue="1" operator="between">
      <formula>14.1</formula>
      <formula>35</formula>
    </cfRule>
    <cfRule type="cellIs" dxfId="5962" priority="2256" stopIfTrue="1" operator="between">
      <formula>5.1</formula>
      <formula>14</formula>
    </cfRule>
    <cfRule type="cellIs" dxfId="5961" priority="2257" stopIfTrue="1" operator="between">
      <formula>0</formula>
      <formula>5</formula>
    </cfRule>
    <cfRule type="containsBlanks" dxfId="5960" priority="2258" stopIfTrue="1">
      <formula>LEN(TRIM(E43))=0</formula>
    </cfRule>
  </conditionalFormatting>
  <conditionalFormatting sqref="F41:P41">
    <cfRule type="containsBlanks" dxfId="5959" priority="2215" stopIfTrue="1">
      <formula>LEN(TRIM(F41))=0</formula>
    </cfRule>
    <cfRule type="cellIs" dxfId="5958" priority="2216" stopIfTrue="1" operator="between">
      <formula>80.1</formula>
      <formula>100</formula>
    </cfRule>
    <cfRule type="cellIs" dxfId="5957" priority="2217" stopIfTrue="1" operator="between">
      <formula>35.1</formula>
      <formula>80</formula>
    </cfRule>
    <cfRule type="cellIs" dxfId="5956" priority="2218" stopIfTrue="1" operator="between">
      <formula>14.1</formula>
      <formula>35</formula>
    </cfRule>
    <cfRule type="cellIs" dxfId="5955" priority="2219" stopIfTrue="1" operator="between">
      <formula>5.1</formula>
      <formula>14</formula>
    </cfRule>
    <cfRule type="cellIs" dxfId="5954" priority="2220" stopIfTrue="1" operator="between">
      <formula>0</formula>
      <formula>5</formula>
    </cfRule>
    <cfRule type="containsBlanks" dxfId="5953" priority="2221" stopIfTrue="1">
      <formula>LEN(TRIM(F41))=0</formula>
    </cfRule>
  </conditionalFormatting>
  <conditionalFormatting sqref="E41">
    <cfRule type="containsBlanks" dxfId="5952" priority="2208" stopIfTrue="1">
      <formula>LEN(TRIM(E41))=0</formula>
    </cfRule>
    <cfRule type="cellIs" dxfId="5951" priority="2209" stopIfTrue="1" operator="between">
      <formula>80.1</formula>
      <formula>100</formula>
    </cfRule>
    <cfRule type="cellIs" dxfId="5950" priority="2210" stopIfTrue="1" operator="between">
      <formula>35.1</formula>
      <formula>80</formula>
    </cfRule>
    <cfRule type="cellIs" dxfId="5949" priority="2211" stopIfTrue="1" operator="between">
      <formula>14.1</formula>
      <formula>35</formula>
    </cfRule>
    <cfRule type="cellIs" dxfId="5948" priority="2212" stopIfTrue="1" operator="between">
      <formula>5.1</formula>
      <formula>14</formula>
    </cfRule>
    <cfRule type="cellIs" dxfId="5947" priority="2213" stopIfTrue="1" operator="between">
      <formula>0</formula>
      <formula>5</formula>
    </cfRule>
    <cfRule type="containsBlanks" dxfId="5946" priority="2214" stopIfTrue="1">
      <formula>LEN(TRIM(E41))=0</formula>
    </cfRule>
  </conditionalFormatting>
  <conditionalFormatting sqref="F154:P154">
    <cfRule type="containsBlanks" dxfId="5945" priority="2171" stopIfTrue="1">
      <formula>LEN(TRIM(F154))=0</formula>
    </cfRule>
    <cfRule type="cellIs" dxfId="5944" priority="2172" stopIfTrue="1" operator="between">
      <formula>80.1</formula>
      <formula>100</formula>
    </cfRule>
    <cfRule type="cellIs" dxfId="5943" priority="2173" stopIfTrue="1" operator="between">
      <formula>35.1</formula>
      <formula>80</formula>
    </cfRule>
    <cfRule type="cellIs" dxfId="5942" priority="2174" stopIfTrue="1" operator="between">
      <formula>14.1</formula>
      <formula>35</formula>
    </cfRule>
    <cfRule type="cellIs" dxfId="5941" priority="2175" stopIfTrue="1" operator="between">
      <formula>5.1</formula>
      <formula>14</formula>
    </cfRule>
    <cfRule type="cellIs" dxfId="5940" priority="2176" stopIfTrue="1" operator="between">
      <formula>0</formula>
      <formula>5</formula>
    </cfRule>
    <cfRule type="containsBlanks" dxfId="5939" priority="2177" stopIfTrue="1">
      <formula>LEN(TRIM(F154))=0</formula>
    </cfRule>
  </conditionalFormatting>
  <conditionalFormatting sqref="E154">
    <cfRule type="containsBlanks" dxfId="5938" priority="2164" stopIfTrue="1">
      <formula>LEN(TRIM(E154))=0</formula>
    </cfRule>
    <cfRule type="cellIs" dxfId="5937" priority="2165" stopIfTrue="1" operator="between">
      <formula>80.1</formula>
      <formula>100</formula>
    </cfRule>
    <cfRule type="cellIs" dxfId="5936" priority="2166" stopIfTrue="1" operator="between">
      <formula>35.1</formula>
      <formula>80</formula>
    </cfRule>
    <cfRule type="cellIs" dxfId="5935" priority="2167" stopIfTrue="1" operator="between">
      <formula>14.1</formula>
      <formula>35</formula>
    </cfRule>
    <cfRule type="cellIs" dxfId="5934" priority="2168" stopIfTrue="1" operator="between">
      <formula>5.1</formula>
      <formula>14</formula>
    </cfRule>
    <cfRule type="cellIs" dxfId="5933" priority="2169" stopIfTrue="1" operator="between">
      <formula>0</formula>
      <formula>5</formula>
    </cfRule>
    <cfRule type="containsBlanks" dxfId="5932" priority="2170" stopIfTrue="1">
      <formula>LEN(TRIM(E154))=0</formula>
    </cfRule>
  </conditionalFormatting>
  <conditionalFormatting sqref="F155:P155">
    <cfRule type="containsBlanks" dxfId="5931" priority="2149" stopIfTrue="1">
      <formula>LEN(TRIM(F155))=0</formula>
    </cfRule>
    <cfRule type="cellIs" dxfId="5930" priority="2150" stopIfTrue="1" operator="between">
      <formula>80.1</formula>
      <formula>100</formula>
    </cfRule>
    <cfRule type="cellIs" dxfId="5929" priority="2151" stopIfTrue="1" operator="between">
      <formula>35.1</formula>
      <formula>80</formula>
    </cfRule>
    <cfRule type="cellIs" dxfId="5928" priority="2152" stopIfTrue="1" operator="between">
      <formula>14.1</formula>
      <formula>35</formula>
    </cfRule>
    <cfRule type="cellIs" dxfId="5927" priority="2153" stopIfTrue="1" operator="between">
      <formula>5.1</formula>
      <formula>14</formula>
    </cfRule>
    <cfRule type="cellIs" dxfId="5926" priority="2154" stopIfTrue="1" operator="between">
      <formula>0</formula>
      <formula>5</formula>
    </cfRule>
    <cfRule type="containsBlanks" dxfId="5925" priority="2155" stopIfTrue="1">
      <formula>LEN(TRIM(F155))=0</formula>
    </cfRule>
  </conditionalFormatting>
  <conditionalFormatting sqref="E155">
    <cfRule type="containsBlanks" dxfId="5924" priority="2142" stopIfTrue="1">
      <formula>LEN(TRIM(E155))=0</formula>
    </cfRule>
    <cfRule type="cellIs" dxfId="5923" priority="2143" stopIfTrue="1" operator="between">
      <formula>80.1</formula>
      <formula>100</formula>
    </cfRule>
    <cfRule type="cellIs" dxfId="5922" priority="2144" stopIfTrue="1" operator="between">
      <formula>35.1</formula>
      <formula>80</formula>
    </cfRule>
    <cfRule type="cellIs" dxfId="5921" priority="2145" stopIfTrue="1" operator="between">
      <formula>14.1</formula>
      <formula>35</formula>
    </cfRule>
    <cfRule type="cellIs" dxfId="5920" priority="2146" stopIfTrue="1" operator="between">
      <formula>5.1</formula>
      <formula>14</formula>
    </cfRule>
    <cfRule type="cellIs" dxfId="5919" priority="2147" stopIfTrue="1" operator="between">
      <formula>0</formula>
      <formula>5</formula>
    </cfRule>
    <cfRule type="containsBlanks" dxfId="5918" priority="2148" stopIfTrue="1">
      <formula>LEN(TRIM(E155))=0</formula>
    </cfRule>
  </conditionalFormatting>
  <conditionalFormatting sqref="F156:P156">
    <cfRule type="containsBlanks" dxfId="5917" priority="2127" stopIfTrue="1">
      <formula>LEN(TRIM(F156))=0</formula>
    </cfRule>
    <cfRule type="cellIs" dxfId="5916" priority="2128" stopIfTrue="1" operator="between">
      <formula>80.1</formula>
      <formula>100</formula>
    </cfRule>
    <cfRule type="cellIs" dxfId="5915" priority="2129" stopIfTrue="1" operator="between">
      <formula>35.1</formula>
      <formula>80</formula>
    </cfRule>
    <cfRule type="cellIs" dxfId="5914" priority="2130" stopIfTrue="1" operator="between">
      <formula>14.1</formula>
      <formula>35</formula>
    </cfRule>
    <cfRule type="cellIs" dxfId="5913" priority="2131" stopIfTrue="1" operator="between">
      <formula>5.1</formula>
      <formula>14</formula>
    </cfRule>
    <cfRule type="cellIs" dxfId="5912" priority="2132" stopIfTrue="1" operator="between">
      <formula>0</formula>
      <formula>5</formula>
    </cfRule>
    <cfRule type="containsBlanks" dxfId="5911" priority="2133" stopIfTrue="1">
      <formula>LEN(TRIM(F156))=0</formula>
    </cfRule>
  </conditionalFormatting>
  <conditionalFormatting sqref="E156">
    <cfRule type="containsBlanks" dxfId="5910" priority="2120" stopIfTrue="1">
      <formula>LEN(TRIM(E156))=0</formula>
    </cfRule>
    <cfRule type="cellIs" dxfId="5909" priority="2121" stopIfTrue="1" operator="between">
      <formula>80.1</formula>
      <formula>100</formula>
    </cfRule>
    <cfRule type="cellIs" dxfId="5908" priority="2122" stopIfTrue="1" operator="between">
      <formula>35.1</formula>
      <formula>80</formula>
    </cfRule>
    <cfRule type="cellIs" dxfId="5907" priority="2123" stopIfTrue="1" operator="between">
      <formula>14.1</formula>
      <formula>35</formula>
    </cfRule>
    <cfRule type="cellIs" dxfId="5906" priority="2124" stopIfTrue="1" operator="between">
      <formula>5.1</formula>
      <formula>14</formula>
    </cfRule>
    <cfRule type="cellIs" dxfId="5905" priority="2125" stopIfTrue="1" operator="between">
      <formula>0</formula>
      <formula>5</formula>
    </cfRule>
    <cfRule type="containsBlanks" dxfId="5904" priority="2126" stopIfTrue="1">
      <formula>LEN(TRIM(E156))=0</formula>
    </cfRule>
  </conditionalFormatting>
  <conditionalFormatting sqref="F157:P157">
    <cfRule type="containsBlanks" dxfId="5903" priority="2105" stopIfTrue="1">
      <formula>LEN(TRIM(F157))=0</formula>
    </cfRule>
    <cfRule type="cellIs" dxfId="5902" priority="2106" stopIfTrue="1" operator="between">
      <formula>80.1</formula>
      <formula>100</formula>
    </cfRule>
    <cfRule type="cellIs" dxfId="5901" priority="2107" stopIfTrue="1" operator="between">
      <formula>35.1</formula>
      <formula>80</formula>
    </cfRule>
    <cfRule type="cellIs" dxfId="5900" priority="2108" stopIfTrue="1" operator="between">
      <formula>14.1</formula>
      <formula>35</formula>
    </cfRule>
    <cfRule type="cellIs" dxfId="5899" priority="2109" stopIfTrue="1" operator="between">
      <formula>5.1</formula>
      <formula>14</formula>
    </cfRule>
    <cfRule type="cellIs" dxfId="5898" priority="2110" stopIfTrue="1" operator="between">
      <formula>0</formula>
      <formula>5</formula>
    </cfRule>
    <cfRule type="containsBlanks" dxfId="5897" priority="2111" stopIfTrue="1">
      <formula>LEN(TRIM(F157))=0</formula>
    </cfRule>
  </conditionalFormatting>
  <conditionalFormatting sqref="E157">
    <cfRule type="containsBlanks" dxfId="5896" priority="2098" stopIfTrue="1">
      <formula>LEN(TRIM(E157))=0</formula>
    </cfRule>
    <cfRule type="cellIs" dxfId="5895" priority="2099" stopIfTrue="1" operator="between">
      <formula>80.1</formula>
      <formula>100</formula>
    </cfRule>
    <cfRule type="cellIs" dxfId="5894" priority="2100" stopIfTrue="1" operator="between">
      <formula>35.1</formula>
      <formula>80</formula>
    </cfRule>
    <cfRule type="cellIs" dxfId="5893" priority="2101" stopIfTrue="1" operator="between">
      <formula>14.1</formula>
      <formula>35</formula>
    </cfRule>
    <cfRule type="cellIs" dxfId="5892" priority="2102" stopIfTrue="1" operator="between">
      <formula>5.1</formula>
      <formula>14</formula>
    </cfRule>
    <cfRule type="cellIs" dxfId="5891" priority="2103" stopIfTrue="1" operator="between">
      <formula>0</formula>
      <formula>5</formula>
    </cfRule>
    <cfRule type="containsBlanks" dxfId="5890" priority="2104" stopIfTrue="1">
      <formula>LEN(TRIM(E157))=0</formula>
    </cfRule>
  </conditionalFormatting>
  <conditionalFormatting sqref="F158:P158">
    <cfRule type="containsBlanks" dxfId="5889" priority="2083" stopIfTrue="1">
      <formula>LEN(TRIM(F158))=0</formula>
    </cfRule>
    <cfRule type="cellIs" dxfId="5888" priority="2084" stopIfTrue="1" operator="between">
      <formula>80.1</formula>
      <formula>100</formula>
    </cfRule>
    <cfRule type="cellIs" dxfId="5887" priority="2085" stopIfTrue="1" operator="between">
      <formula>35.1</formula>
      <formula>80</formula>
    </cfRule>
    <cfRule type="cellIs" dxfId="5886" priority="2086" stopIfTrue="1" operator="between">
      <formula>14.1</formula>
      <formula>35</formula>
    </cfRule>
    <cfRule type="cellIs" dxfId="5885" priority="2087" stopIfTrue="1" operator="between">
      <formula>5.1</formula>
      <formula>14</formula>
    </cfRule>
    <cfRule type="cellIs" dxfId="5884" priority="2088" stopIfTrue="1" operator="between">
      <formula>0</formula>
      <formula>5</formula>
    </cfRule>
    <cfRule type="containsBlanks" dxfId="5883" priority="2089" stopIfTrue="1">
      <formula>LEN(TRIM(F158))=0</formula>
    </cfRule>
  </conditionalFormatting>
  <conditionalFormatting sqref="E158">
    <cfRule type="containsBlanks" dxfId="5882" priority="2076" stopIfTrue="1">
      <formula>LEN(TRIM(E158))=0</formula>
    </cfRule>
    <cfRule type="cellIs" dxfId="5881" priority="2077" stopIfTrue="1" operator="between">
      <formula>80.1</formula>
      <formula>100</formula>
    </cfRule>
    <cfRule type="cellIs" dxfId="5880" priority="2078" stopIfTrue="1" operator="between">
      <formula>35.1</formula>
      <formula>80</formula>
    </cfRule>
    <cfRule type="cellIs" dxfId="5879" priority="2079" stopIfTrue="1" operator="between">
      <formula>14.1</formula>
      <formula>35</formula>
    </cfRule>
    <cfRule type="cellIs" dxfId="5878" priority="2080" stopIfTrue="1" operator="between">
      <formula>5.1</formula>
      <formula>14</formula>
    </cfRule>
    <cfRule type="cellIs" dxfId="5877" priority="2081" stopIfTrue="1" operator="between">
      <formula>0</formula>
      <formula>5</formula>
    </cfRule>
    <cfRule type="containsBlanks" dxfId="5876" priority="2082" stopIfTrue="1">
      <formula>LEN(TRIM(E158))=0</formula>
    </cfRule>
  </conditionalFormatting>
  <conditionalFormatting sqref="F160:P160">
    <cfRule type="containsBlanks" dxfId="5875" priority="2061" stopIfTrue="1">
      <formula>LEN(TRIM(F160))=0</formula>
    </cfRule>
    <cfRule type="cellIs" dxfId="5874" priority="2062" stopIfTrue="1" operator="between">
      <formula>80.1</formula>
      <formula>100</formula>
    </cfRule>
    <cfRule type="cellIs" dxfId="5873" priority="2063" stopIfTrue="1" operator="between">
      <formula>35.1</formula>
      <formula>80</formula>
    </cfRule>
    <cfRule type="cellIs" dxfId="5872" priority="2064" stopIfTrue="1" operator="between">
      <formula>14.1</formula>
      <formula>35</formula>
    </cfRule>
    <cfRule type="cellIs" dxfId="5871" priority="2065" stopIfTrue="1" operator="between">
      <formula>5.1</formula>
      <formula>14</formula>
    </cfRule>
    <cfRule type="cellIs" dxfId="5870" priority="2066" stopIfTrue="1" operator="between">
      <formula>0</formula>
      <formula>5</formula>
    </cfRule>
    <cfRule type="containsBlanks" dxfId="5869" priority="2067" stopIfTrue="1">
      <formula>LEN(TRIM(F160))=0</formula>
    </cfRule>
  </conditionalFormatting>
  <conditionalFormatting sqref="E160">
    <cfRule type="containsBlanks" dxfId="5868" priority="2054" stopIfTrue="1">
      <formula>LEN(TRIM(E160))=0</formula>
    </cfRule>
    <cfRule type="cellIs" dxfId="5867" priority="2055" stopIfTrue="1" operator="between">
      <formula>80.1</formula>
      <formula>100</formula>
    </cfRule>
    <cfRule type="cellIs" dxfId="5866" priority="2056" stopIfTrue="1" operator="between">
      <formula>35.1</formula>
      <formula>80</formula>
    </cfRule>
    <cfRule type="cellIs" dxfId="5865" priority="2057" stopIfTrue="1" operator="between">
      <formula>14.1</formula>
      <formula>35</formula>
    </cfRule>
    <cfRule type="cellIs" dxfId="5864" priority="2058" stopIfTrue="1" operator="between">
      <formula>5.1</formula>
      <formula>14</formula>
    </cfRule>
    <cfRule type="cellIs" dxfId="5863" priority="2059" stopIfTrue="1" operator="between">
      <formula>0</formula>
      <formula>5</formula>
    </cfRule>
    <cfRule type="containsBlanks" dxfId="5862" priority="2060" stopIfTrue="1">
      <formula>LEN(TRIM(E160))=0</formula>
    </cfRule>
  </conditionalFormatting>
  <conditionalFormatting sqref="F159:P159">
    <cfRule type="containsBlanks" dxfId="5861" priority="2039" stopIfTrue="1">
      <formula>LEN(TRIM(F159))=0</formula>
    </cfRule>
    <cfRule type="cellIs" dxfId="5860" priority="2040" stopIfTrue="1" operator="between">
      <formula>80.1</formula>
      <formula>100</formula>
    </cfRule>
    <cfRule type="cellIs" dxfId="5859" priority="2041" stopIfTrue="1" operator="between">
      <formula>35.1</formula>
      <formula>80</formula>
    </cfRule>
    <cfRule type="cellIs" dxfId="5858" priority="2042" stopIfTrue="1" operator="between">
      <formula>14.1</formula>
      <formula>35</formula>
    </cfRule>
    <cfRule type="cellIs" dxfId="5857" priority="2043" stopIfTrue="1" operator="between">
      <formula>5.1</formula>
      <formula>14</formula>
    </cfRule>
    <cfRule type="cellIs" dxfId="5856" priority="2044" stopIfTrue="1" operator="between">
      <formula>0</formula>
      <formula>5</formula>
    </cfRule>
    <cfRule type="containsBlanks" dxfId="5855" priority="2045" stopIfTrue="1">
      <formula>LEN(TRIM(F159))=0</formula>
    </cfRule>
  </conditionalFormatting>
  <conditionalFormatting sqref="E159">
    <cfRule type="containsBlanks" dxfId="5854" priority="2032" stopIfTrue="1">
      <formula>LEN(TRIM(E159))=0</formula>
    </cfRule>
    <cfRule type="cellIs" dxfId="5853" priority="2033" stopIfTrue="1" operator="between">
      <formula>80.1</formula>
      <formula>100</formula>
    </cfRule>
    <cfRule type="cellIs" dxfId="5852" priority="2034" stopIfTrue="1" operator="between">
      <formula>35.1</formula>
      <formula>80</formula>
    </cfRule>
    <cfRule type="cellIs" dxfId="5851" priority="2035" stopIfTrue="1" operator="between">
      <formula>14.1</formula>
      <formula>35</formula>
    </cfRule>
    <cfRule type="cellIs" dxfId="5850" priority="2036" stopIfTrue="1" operator="between">
      <formula>5.1</formula>
      <formula>14</formula>
    </cfRule>
    <cfRule type="cellIs" dxfId="5849" priority="2037" stopIfTrue="1" operator="between">
      <formula>0</formula>
      <formula>5</formula>
    </cfRule>
    <cfRule type="containsBlanks" dxfId="5848" priority="2038" stopIfTrue="1">
      <formula>LEN(TRIM(E159))=0</formula>
    </cfRule>
  </conditionalFormatting>
  <conditionalFormatting sqref="P411">
    <cfRule type="containsBlanks" dxfId="5847" priority="1951" stopIfTrue="1">
      <formula>LEN(TRIM(P411))=0</formula>
    </cfRule>
    <cfRule type="cellIs" dxfId="5846" priority="1952" stopIfTrue="1" operator="between">
      <formula>80.1</formula>
      <formula>100</formula>
    </cfRule>
    <cfRule type="cellIs" dxfId="5845" priority="1953" stopIfTrue="1" operator="between">
      <formula>35.1</formula>
      <formula>80</formula>
    </cfRule>
    <cfRule type="cellIs" dxfId="5844" priority="1954" stopIfTrue="1" operator="between">
      <formula>14.1</formula>
      <formula>35</formula>
    </cfRule>
    <cfRule type="cellIs" dxfId="5843" priority="1955" stopIfTrue="1" operator="between">
      <formula>5.1</formula>
      <formula>14</formula>
    </cfRule>
    <cfRule type="cellIs" dxfId="5842" priority="1956" stopIfTrue="1" operator="between">
      <formula>0</formula>
      <formula>5</formula>
    </cfRule>
    <cfRule type="containsBlanks" dxfId="5841" priority="1957" stopIfTrue="1">
      <formula>LEN(TRIM(P411))=0</formula>
    </cfRule>
  </conditionalFormatting>
  <conditionalFormatting sqref="E430:J430 E425:J425 E416:J416 E420:J422">
    <cfRule type="containsBlanks" dxfId="5840" priority="1944" stopIfTrue="1">
      <formula>LEN(TRIM(E416))=0</formula>
    </cfRule>
    <cfRule type="cellIs" dxfId="5839" priority="1945" stopIfTrue="1" operator="between">
      <formula>80.1</formula>
      <formula>100</formula>
    </cfRule>
    <cfRule type="cellIs" dxfId="5838" priority="1946" stopIfTrue="1" operator="between">
      <formula>35.1</formula>
      <formula>80</formula>
    </cfRule>
    <cfRule type="cellIs" dxfId="5837" priority="1947" stopIfTrue="1" operator="between">
      <formula>14.1</formula>
      <formula>35</formula>
    </cfRule>
    <cfRule type="cellIs" dxfId="5836" priority="1948" stopIfTrue="1" operator="between">
      <formula>5.1</formula>
      <formula>14</formula>
    </cfRule>
    <cfRule type="cellIs" dxfId="5835" priority="1949" stopIfTrue="1" operator="between">
      <formula>0</formula>
      <formula>5</formula>
    </cfRule>
    <cfRule type="containsBlanks" dxfId="5834" priority="1950" stopIfTrue="1">
      <formula>LEN(TRIM(E416))=0</formula>
    </cfRule>
  </conditionalFormatting>
  <conditionalFormatting sqref="O406:P406">
    <cfRule type="containsBlanks" dxfId="5833" priority="1929" stopIfTrue="1">
      <formula>LEN(TRIM(O406))=0</formula>
    </cfRule>
    <cfRule type="cellIs" dxfId="5832" priority="1930" stopIfTrue="1" operator="between">
      <formula>80.1</formula>
      <formula>100</formula>
    </cfRule>
    <cfRule type="cellIs" dxfId="5831" priority="1931" stopIfTrue="1" operator="between">
      <formula>35.1</formula>
      <formula>80</formula>
    </cfRule>
    <cfRule type="cellIs" dxfId="5830" priority="1932" stopIfTrue="1" operator="between">
      <formula>14.1</formula>
      <formula>35</formula>
    </cfRule>
    <cfRule type="cellIs" dxfId="5829" priority="1933" stopIfTrue="1" operator="between">
      <formula>5.1</formula>
      <formula>14</formula>
    </cfRule>
    <cfRule type="cellIs" dxfId="5828" priority="1934" stopIfTrue="1" operator="between">
      <formula>0</formula>
      <formula>5</formula>
    </cfRule>
    <cfRule type="containsBlanks" dxfId="5827" priority="1935" stopIfTrue="1">
      <formula>LEN(TRIM(O406))=0</formula>
    </cfRule>
  </conditionalFormatting>
  <conditionalFormatting sqref="P405">
    <cfRule type="containsBlanks" dxfId="5826" priority="1709" stopIfTrue="1">
      <formula>LEN(TRIM(P405))=0</formula>
    </cfRule>
    <cfRule type="cellIs" dxfId="5825" priority="1710" stopIfTrue="1" operator="between">
      <formula>80.1</formula>
      <formula>100</formula>
    </cfRule>
    <cfRule type="cellIs" dxfId="5824" priority="1711" stopIfTrue="1" operator="between">
      <formula>35.1</formula>
      <formula>80</formula>
    </cfRule>
    <cfRule type="cellIs" dxfId="5823" priority="1712" stopIfTrue="1" operator="between">
      <formula>14.1</formula>
      <formula>35</formula>
    </cfRule>
    <cfRule type="cellIs" dxfId="5822" priority="1713" stopIfTrue="1" operator="between">
      <formula>5.1</formula>
      <formula>14</formula>
    </cfRule>
    <cfRule type="cellIs" dxfId="5821" priority="1714" stopIfTrue="1" operator="between">
      <formula>0</formula>
      <formula>5</formula>
    </cfRule>
    <cfRule type="containsBlanks" dxfId="5820" priority="1715" stopIfTrue="1">
      <formula>LEN(TRIM(P405))=0</formula>
    </cfRule>
  </conditionalFormatting>
  <conditionalFormatting sqref="K402:P402">
    <cfRule type="containsBlanks" dxfId="5819" priority="1621" stopIfTrue="1">
      <formula>LEN(TRIM(K402))=0</formula>
    </cfRule>
    <cfRule type="cellIs" dxfId="5818" priority="1622" stopIfTrue="1" operator="between">
      <formula>80.1</formula>
      <formula>100</formula>
    </cfRule>
    <cfRule type="cellIs" dxfId="5817" priority="1623" stopIfTrue="1" operator="between">
      <formula>35.1</formula>
      <formula>80</formula>
    </cfRule>
    <cfRule type="cellIs" dxfId="5816" priority="1624" stopIfTrue="1" operator="between">
      <formula>14.1</formula>
      <formula>35</formula>
    </cfRule>
    <cfRule type="cellIs" dxfId="5815" priority="1625" stopIfTrue="1" operator="between">
      <formula>5.1</formula>
      <formula>14</formula>
    </cfRule>
    <cfRule type="cellIs" dxfId="5814" priority="1626" stopIfTrue="1" operator="between">
      <formula>0</formula>
      <formula>5</formula>
    </cfRule>
    <cfRule type="containsBlanks" dxfId="5813" priority="1627" stopIfTrue="1">
      <formula>LEN(TRIM(K402))=0</formula>
    </cfRule>
  </conditionalFormatting>
  <conditionalFormatting sqref="P404">
    <cfRule type="containsBlanks" dxfId="5812" priority="1731" stopIfTrue="1">
      <formula>LEN(TRIM(P404))=0</formula>
    </cfRule>
    <cfRule type="cellIs" dxfId="5811" priority="1732" stopIfTrue="1" operator="between">
      <formula>80.1</formula>
      <formula>100</formula>
    </cfRule>
    <cfRule type="cellIs" dxfId="5810" priority="1733" stopIfTrue="1" operator="between">
      <formula>35.1</formula>
      <formula>80</formula>
    </cfRule>
    <cfRule type="cellIs" dxfId="5809" priority="1734" stopIfTrue="1" operator="between">
      <formula>14.1</formula>
      <formula>35</formula>
    </cfRule>
    <cfRule type="cellIs" dxfId="5808" priority="1735" stopIfTrue="1" operator="between">
      <formula>5.1</formula>
      <formula>14</formula>
    </cfRule>
    <cfRule type="cellIs" dxfId="5807" priority="1736" stopIfTrue="1" operator="between">
      <formula>0</formula>
      <formula>5</formula>
    </cfRule>
    <cfRule type="containsBlanks" dxfId="5806" priority="1737" stopIfTrue="1">
      <formula>LEN(TRIM(P404))=0</formula>
    </cfRule>
  </conditionalFormatting>
  <conditionalFormatting sqref="K408:P410">
    <cfRule type="containsBlanks" dxfId="5805" priority="1599" stopIfTrue="1">
      <formula>LEN(TRIM(K408))=0</formula>
    </cfRule>
    <cfRule type="cellIs" dxfId="5804" priority="1600" stopIfTrue="1" operator="between">
      <formula>80.1</formula>
      <formula>100</formula>
    </cfRule>
    <cfRule type="cellIs" dxfId="5803" priority="1601" stopIfTrue="1" operator="between">
      <formula>35.1</formula>
      <formula>80</formula>
    </cfRule>
    <cfRule type="cellIs" dxfId="5802" priority="1602" stopIfTrue="1" operator="between">
      <formula>14.1</formula>
      <formula>35</formula>
    </cfRule>
    <cfRule type="cellIs" dxfId="5801" priority="1603" stopIfTrue="1" operator="between">
      <formula>5.1</formula>
      <formula>14</formula>
    </cfRule>
    <cfRule type="cellIs" dxfId="5800" priority="1604" stopIfTrue="1" operator="between">
      <formula>0</formula>
      <formula>5</formula>
    </cfRule>
    <cfRule type="containsBlanks" dxfId="5799" priority="1605" stopIfTrue="1">
      <formula>LEN(TRIM(K408))=0</formula>
    </cfRule>
  </conditionalFormatting>
  <conditionalFormatting sqref="K400:P401 P399">
    <cfRule type="containsBlanks" dxfId="5798" priority="1643" stopIfTrue="1">
      <formula>LEN(TRIM(K399))=0</formula>
    </cfRule>
    <cfRule type="cellIs" dxfId="5797" priority="1644" stopIfTrue="1" operator="between">
      <formula>80.1</formula>
      <formula>100</formula>
    </cfRule>
    <cfRule type="cellIs" dxfId="5796" priority="1645" stopIfTrue="1" operator="between">
      <formula>35.1</formula>
      <formula>80</formula>
    </cfRule>
    <cfRule type="cellIs" dxfId="5795" priority="1646" stopIfTrue="1" operator="between">
      <formula>14.1</formula>
      <formula>35</formula>
    </cfRule>
    <cfRule type="cellIs" dxfId="5794" priority="1647" stopIfTrue="1" operator="between">
      <formula>5.1</formula>
      <formula>14</formula>
    </cfRule>
    <cfRule type="cellIs" dxfId="5793" priority="1648" stopIfTrue="1" operator="between">
      <formula>0</formula>
      <formula>5</formula>
    </cfRule>
    <cfRule type="containsBlanks" dxfId="5792" priority="1649" stopIfTrue="1">
      <formula>LEN(TRIM(K399))=0</formula>
    </cfRule>
  </conditionalFormatting>
  <conditionalFormatting sqref="E52:P57">
    <cfRule type="containsBlanks" dxfId="5791" priority="1550" stopIfTrue="1">
      <formula>LEN(TRIM(E52))=0</formula>
    </cfRule>
    <cfRule type="cellIs" dxfId="5790" priority="1551" stopIfTrue="1" operator="between">
      <formula>79.1</formula>
      <formula>100</formula>
    </cfRule>
    <cfRule type="cellIs" dxfId="5789" priority="1552" stopIfTrue="1" operator="between">
      <formula>34.1</formula>
      <formula>79</formula>
    </cfRule>
    <cfRule type="cellIs" dxfId="5788" priority="1553" stopIfTrue="1" operator="between">
      <formula>13.1</formula>
      <formula>34</formula>
    </cfRule>
    <cfRule type="cellIs" dxfId="5787" priority="1554" stopIfTrue="1" operator="between">
      <formula>5.1</formula>
      <formula>13</formula>
    </cfRule>
    <cfRule type="cellIs" dxfId="5786" priority="1555" stopIfTrue="1" operator="between">
      <formula>0</formula>
      <formula>5</formula>
    </cfRule>
    <cfRule type="containsBlanks" dxfId="5785" priority="1556" stopIfTrue="1">
      <formula>LEN(TRIM(E52))=0</formula>
    </cfRule>
  </conditionalFormatting>
  <conditionalFormatting sqref="G42">
    <cfRule type="containsBlanks" dxfId="5784" priority="1515" stopIfTrue="1">
      <formula>LEN(TRIM(G42))=0</formula>
    </cfRule>
    <cfRule type="cellIs" dxfId="5783" priority="1516" stopIfTrue="1" operator="between">
      <formula>79.1</formula>
      <formula>100</formula>
    </cfRule>
    <cfRule type="cellIs" dxfId="5782" priority="1517" stopIfTrue="1" operator="between">
      <formula>34.1</formula>
      <formula>79</formula>
    </cfRule>
    <cfRule type="cellIs" dxfId="5781" priority="1518" stopIfTrue="1" operator="between">
      <formula>13.1</formula>
      <formula>34</formula>
    </cfRule>
    <cfRule type="cellIs" dxfId="5780" priority="1519" stopIfTrue="1" operator="between">
      <formula>5.1</formula>
      <formula>13</formula>
    </cfRule>
    <cfRule type="cellIs" dxfId="5779" priority="1520" stopIfTrue="1" operator="between">
      <formula>0</formula>
      <formula>5</formula>
    </cfRule>
    <cfRule type="containsBlanks" dxfId="5778" priority="1521" stopIfTrue="1">
      <formula>LEN(TRIM(G42))=0</formula>
    </cfRule>
  </conditionalFormatting>
  <conditionalFormatting sqref="E58:P58">
    <cfRule type="containsBlanks" dxfId="5777" priority="1543" stopIfTrue="1">
      <formula>LEN(TRIM(E58))=0</formula>
    </cfRule>
    <cfRule type="cellIs" dxfId="5776" priority="1544" stopIfTrue="1" operator="between">
      <formula>79.1</formula>
      <formula>100</formula>
    </cfRule>
    <cfRule type="cellIs" dxfId="5775" priority="1545" stopIfTrue="1" operator="between">
      <formula>34.1</formula>
      <formula>79</formula>
    </cfRule>
    <cfRule type="cellIs" dxfId="5774" priority="1546" stopIfTrue="1" operator="between">
      <formula>13.1</formula>
      <formula>34</formula>
    </cfRule>
    <cfRule type="cellIs" dxfId="5773" priority="1547" stopIfTrue="1" operator="between">
      <formula>5.1</formula>
      <formula>13</formula>
    </cfRule>
    <cfRule type="cellIs" dxfId="5772" priority="1548" stopIfTrue="1" operator="between">
      <formula>0</formula>
      <formula>5</formula>
    </cfRule>
    <cfRule type="containsBlanks" dxfId="5771" priority="1549" stopIfTrue="1">
      <formula>LEN(TRIM(E58))=0</formula>
    </cfRule>
  </conditionalFormatting>
  <conditionalFormatting sqref="N330">
    <cfRule type="containsBlanks" dxfId="5770" priority="1424" stopIfTrue="1">
      <formula>LEN(TRIM(N330))=0</formula>
    </cfRule>
    <cfRule type="cellIs" dxfId="5769" priority="1425" stopIfTrue="1" operator="between">
      <formula>79.1</formula>
      <formula>100</formula>
    </cfRule>
    <cfRule type="cellIs" dxfId="5768" priority="1426" stopIfTrue="1" operator="between">
      <formula>34.1</formula>
      <formula>79</formula>
    </cfRule>
    <cfRule type="cellIs" dxfId="5767" priority="1427" stopIfTrue="1" operator="between">
      <formula>13.1</formula>
      <formula>34</formula>
    </cfRule>
    <cfRule type="cellIs" dxfId="5766" priority="1428" stopIfTrue="1" operator="between">
      <formula>5.1</formula>
      <formula>13</formula>
    </cfRule>
    <cfRule type="cellIs" dxfId="5765" priority="1429" stopIfTrue="1" operator="between">
      <formula>0</formula>
      <formula>5</formula>
    </cfRule>
    <cfRule type="containsBlanks" dxfId="5764" priority="1430" stopIfTrue="1">
      <formula>LEN(TRIM(N330))=0</formula>
    </cfRule>
  </conditionalFormatting>
  <conditionalFormatting sqref="E44:P45">
    <cfRule type="containsBlanks" dxfId="5763" priority="1529" stopIfTrue="1">
      <formula>LEN(TRIM(E44))=0</formula>
    </cfRule>
    <cfRule type="cellIs" dxfId="5762" priority="1530" stopIfTrue="1" operator="between">
      <formula>79.1</formula>
      <formula>100</formula>
    </cfRule>
    <cfRule type="cellIs" dxfId="5761" priority="1531" stopIfTrue="1" operator="between">
      <formula>34.1</formula>
      <formula>79</formula>
    </cfRule>
    <cfRule type="cellIs" dxfId="5760" priority="1532" stopIfTrue="1" operator="between">
      <formula>13.1</formula>
      <formula>34</formula>
    </cfRule>
    <cfRule type="cellIs" dxfId="5759" priority="1533" stopIfTrue="1" operator="between">
      <formula>5.1</formula>
      <formula>13</formula>
    </cfRule>
    <cfRule type="cellIs" dxfId="5758" priority="1534" stopIfTrue="1" operator="between">
      <formula>0</formula>
      <formula>5</formula>
    </cfRule>
    <cfRule type="containsBlanks" dxfId="5757" priority="1535" stopIfTrue="1">
      <formula>LEN(TRIM(E44))=0</formula>
    </cfRule>
  </conditionalFormatting>
  <conditionalFormatting sqref="E46:P46">
    <cfRule type="containsBlanks" dxfId="5756" priority="1522" stopIfTrue="1">
      <formula>LEN(TRIM(E46))=0</formula>
    </cfRule>
    <cfRule type="cellIs" dxfId="5755" priority="1523" stopIfTrue="1" operator="between">
      <formula>79.1</formula>
      <formula>100</formula>
    </cfRule>
    <cfRule type="cellIs" dxfId="5754" priority="1524" stopIfTrue="1" operator="between">
      <formula>34.1</formula>
      <formula>79</formula>
    </cfRule>
    <cfRule type="cellIs" dxfId="5753" priority="1525" stopIfTrue="1" operator="between">
      <formula>13.1</formula>
      <formula>34</formula>
    </cfRule>
    <cfRule type="cellIs" dxfId="5752" priority="1526" stopIfTrue="1" operator="between">
      <formula>5.1</formula>
      <formula>13</formula>
    </cfRule>
    <cfRule type="cellIs" dxfId="5751" priority="1527" stopIfTrue="1" operator="between">
      <formula>0</formula>
      <formula>5</formula>
    </cfRule>
    <cfRule type="containsBlanks" dxfId="5750" priority="1528" stopIfTrue="1">
      <formula>LEN(TRIM(E46))=0</formula>
    </cfRule>
  </conditionalFormatting>
  <conditionalFormatting sqref="E343 E316:P316 M317:P317 E317:K317 E325:H325 E328:H328 E334:H335 E336:I336 E337:G338 I337:J338 E329:F330 O330:P330 G330:M330 H329:P329 J325:P325 G343:P343 J334:P335 J328:P328 E344:P344 E318:P324 E326:P327 E331:P333 K336:P338 E339:P342 E345:M345 O345:P345 N345:N346">
    <cfRule type="containsBlanks" dxfId="5749" priority="1466" stopIfTrue="1">
      <formula>LEN(TRIM(E316))=0</formula>
    </cfRule>
    <cfRule type="cellIs" dxfId="5748" priority="1467" stopIfTrue="1" operator="between">
      <formula>79.1</formula>
      <formula>100</formula>
    </cfRule>
    <cfRule type="cellIs" dxfId="5747" priority="1468" stopIfTrue="1" operator="between">
      <formula>34.1</formula>
      <formula>79</formula>
    </cfRule>
    <cfRule type="cellIs" dxfId="5746" priority="1469" stopIfTrue="1" operator="between">
      <formula>13.1</formula>
      <formula>34</formula>
    </cfRule>
    <cfRule type="cellIs" dxfId="5745" priority="1470" stopIfTrue="1" operator="between">
      <formula>5.1</formula>
      <formula>13</formula>
    </cfRule>
    <cfRule type="cellIs" dxfId="5744" priority="1471" stopIfTrue="1" operator="between">
      <formula>0</formula>
      <formula>5</formula>
    </cfRule>
    <cfRule type="containsBlanks" dxfId="5743" priority="1472" stopIfTrue="1">
      <formula>LEN(TRIM(E316))=0</formula>
    </cfRule>
  </conditionalFormatting>
  <conditionalFormatting sqref="J336">
    <cfRule type="containsBlanks" dxfId="5742" priority="1459" stopIfTrue="1">
      <formula>LEN(TRIM(J336))=0</formula>
    </cfRule>
    <cfRule type="cellIs" dxfId="5741" priority="1460" stopIfTrue="1" operator="between">
      <formula>79.1</formula>
      <formula>100</formula>
    </cfRule>
    <cfRule type="cellIs" dxfId="5740" priority="1461" stopIfTrue="1" operator="between">
      <formula>34.1</formula>
      <formula>79</formula>
    </cfRule>
    <cfRule type="cellIs" dxfId="5739" priority="1462" stopIfTrue="1" operator="between">
      <formula>13.1</formula>
      <formula>34</formula>
    </cfRule>
    <cfRule type="cellIs" dxfId="5738" priority="1463" stopIfTrue="1" operator="between">
      <formula>5.1</formula>
      <formula>13</formula>
    </cfRule>
    <cfRule type="cellIs" dxfId="5737" priority="1464" stopIfTrue="1" operator="between">
      <formula>0</formula>
      <formula>5</formula>
    </cfRule>
    <cfRule type="containsBlanks" dxfId="5736" priority="1465" stopIfTrue="1">
      <formula>LEN(TRIM(J336))=0</formula>
    </cfRule>
  </conditionalFormatting>
  <conditionalFormatting sqref="I334">
    <cfRule type="containsBlanks" dxfId="5735" priority="1452" stopIfTrue="1">
      <formula>LEN(TRIM(I334))=0</formula>
    </cfRule>
    <cfRule type="cellIs" dxfId="5734" priority="1453" stopIfTrue="1" operator="between">
      <formula>79.1</formula>
      <formula>100</formula>
    </cfRule>
    <cfRule type="cellIs" dxfId="5733" priority="1454" stopIfTrue="1" operator="between">
      <formula>34.1</formula>
      <formula>79</formula>
    </cfRule>
    <cfRule type="cellIs" dxfId="5732" priority="1455" stopIfTrue="1" operator="between">
      <formula>13.1</formula>
      <formula>34</formula>
    </cfRule>
    <cfRule type="cellIs" dxfId="5731" priority="1456" stopIfTrue="1" operator="between">
      <formula>5.1</formula>
      <formula>13</formula>
    </cfRule>
    <cfRule type="cellIs" dxfId="5730" priority="1457" stopIfTrue="1" operator="between">
      <formula>0</formula>
      <formula>5</formula>
    </cfRule>
    <cfRule type="containsBlanks" dxfId="5729" priority="1458" stopIfTrue="1">
      <formula>LEN(TRIM(I334))=0</formula>
    </cfRule>
  </conditionalFormatting>
  <conditionalFormatting sqref="H337">
    <cfRule type="containsBlanks" dxfId="5728" priority="1445" stopIfTrue="1">
      <formula>LEN(TRIM(H337))=0</formula>
    </cfRule>
    <cfRule type="cellIs" dxfId="5727" priority="1446" stopIfTrue="1" operator="between">
      <formula>79.1</formula>
      <formula>100</formula>
    </cfRule>
    <cfRule type="cellIs" dxfId="5726" priority="1447" stopIfTrue="1" operator="between">
      <formula>34.1</formula>
      <formula>79</formula>
    </cfRule>
    <cfRule type="cellIs" dxfId="5725" priority="1448" stopIfTrue="1" operator="between">
      <formula>13.1</formula>
      <formula>34</formula>
    </cfRule>
    <cfRule type="cellIs" dxfId="5724" priority="1449" stopIfTrue="1" operator="between">
      <formula>5.1</formula>
      <formula>13</formula>
    </cfRule>
    <cfRule type="cellIs" dxfId="5723" priority="1450" stopIfTrue="1" operator="between">
      <formula>0</formula>
      <formula>5</formula>
    </cfRule>
    <cfRule type="containsBlanks" dxfId="5722" priority="1451" stopIfTrue="1">
      <formula>LEN(TRIM(H337))=0</formula>
    </cfRule>
  </conditionalFormatting>
  <conditionalFormatting sqref="I325">
    <cfRule type="containsBlanks" dxfId="5721" priority="1438" stopIfTrue="1">
      <formula>LEN(TRIM(I325))=0</formula>
    </cfRule>
    <cfRule type="cellIs" dxfId="5720" priority="1439" stopIfTrue="1" operator="between">
      <formula>79.1</formula>
      <formula>100</formula>
    </cfRule>
    <cfRule type="cellIs" dxfId="5719" priority="1440" stopIfTrue="1" operator="between">
      <formula>34.1</formula>
      <formula>79</formula>
    </cfRule>
    <cfRule type="cellIs" dxfId="5718" priority="1441" stopIfTrue="1" operator="between">
      <formula>13.1</formula>
      <formula>34</formula>
    </cfRule>
    <cfRule type="cellIs" dxfId="5717" priority="1442" stopIfTrue="1" operator="between">
      <formula>5.1</formula>
      <formula>13</formula>
    </cfRule>
    <cfRule type="cellIs" dxfId="5716" priority="1443" stopIfTrue="1" operator="between">
      <formula>0</formula>
      <formula>5</formula>
    </cfRule>
    <cfRule type="containsBlanks" dxfId="5715" priority="1444" stopIfTrue="1">
      <formula>LEN(TRIM(I325))=0</formula>
    </cfRule>
  </conditionalFormatting>
  <conditionalFormatting sqref="L317">
    <cfRule type="containsBlanks" dxfId="5714" priority="1431" stopIfTrue="1">
      <formula>LEN(TRIM(L317))=0</formula>
    </cfRule>
    <cfRule type="cellIs" dxfId="5713" priority="1432" stopIfTrue="1" operator="between">
      <formula>79.1</formula>
      <formula>100</formula>
    </cfRule>
    <cfRule type="cellIs" dxfId="5712" priority="1433" stopIfTrue="1" operator="between">
      <formula>34.1</formula>
      <formula>79</formula>
    </cfRule>
    <cfRule type="cellIs" dxfId="5711" priority="1434" stopIfTrue="1" operator="between">
      <formula>13.1</formula>
      <formula>34</formula>
    </cfRule>
    <cfRule type="cellIs" dxfId="5710" priority="1435" stopIfTrue="1" operator="between">
      <formula>5.1</formula>
      <formula>13</formula>
    </cfRule>
    <cfRule type="cellIs" dxfId="5709" priority="1436" stopIfTrue="1" operator="between">
      <formula>0</formula>
      <formula>5</formula>
    </cfRule>
    <cfRule type="containsBlanks" dxfId="5708" priority="1437" stopIfTrue="1">
      <formula>LEN(TRIM(L317))=0</formula>
    </cfRule>
  </conditionalFormatting>
  <conditionalFormatting sqref="E401:J402 E400:F400 H400:J400">
    <cfRule type="containsBlanks" dxfId="5707" priority="1403" stopIfTrue="1">
      <formula>LEN(TRIM(E400))=0</formula>
    </cfRule>
    <cfRule type="cellIs" dxfId="5706" priority="1404" stopIfTrue="1" operator="between">
      <formula>80.1</formula>
      <formula>100</formula>
    </cfRule>
    <cfRule type="cellIs" dxfId="5705" priority="1405" stopIfTrue="1" operator="between">
      <formula>35.1</formula>
      <formula>80</formula>
    </cfRule>
    <cfRule type="cellIs" dxfId="5704" priority="1406" stopIfTrue="1" operator="between">
      <formula>14.1</formula>
      <formula>35</formula>
    </cfRule>
    <cfRule type="cellIs" dxfId="5703" priority="1407" stopIfTrue="1" operator="between">
      <formula>5.1</formula>
      <formula>14</formula>
    </cfRule>
    <cfRule type="cellIs" dxfId="5702" priority="1408" stopIfTrue="1" operator="between">
      <formula>0</formula>
      <formula>5</formula>
    </cfRule>
    <cfRule type="containsBlanks" dxfId="5701" priority="1409" stopIfTrue="1">
      <formula>LEN(TRIM(E400))=0</formula>
    </cfRule>
  </conditionalFormatting>
  <conditionalFormatting sqref="K452:P453 O459:P459">
    <cfRule type="containsBlanks" dxfId="5700" priority="1389" stopIfTrue="1">
      <formula>LEN(TRIM(K452))=0</formula>
    </cfRule>
    <cfRule type="cellIs" dxfId="5699" priority="1390" stopIfTrue="1" operator="between">
      <formula>79.1</formula>
      <formula>100</formula>
    </cfRule>
    <cfRule type="cellIs" dxfId="5698" priority="1391" stopIfTrue="1" operator="between">
      <formula>34.1</formula>
      <formula>79</formula>
    </cfRule>
    <cfRule type="cellIs" dxfId="5697" priority="1392" stopIfTrue="1" operator="between">
      <formula>13.1</formula>
      <formula>34</formula>
    </cfRule>
    <cfRule type="cellIs" dxfId="5696" priority="1393" stopIfTrue="1" operator="between">
      <formula>5.1</formula>
      <formula>13</formula>
    </cfRule>
    <cfRule type="cellIs" dxfId="5695" priority="1394" stopIfTrue="1" operator="between">
      <formula>0</formula>
      <formula>5</formula>
    </cfRule>
    <cfRule type="containsBlanks" dxfId="5694" priority="1395" stopIfTrue="1">
      <formula>LEN(TRIM(K452))=0</formula>
    </cfRule>
  </conditionalFormatting>
  <conditionalFormatting sqref="K21:P36">
    <cfRule type="containsBlanks" dxfId="5693" priority="1396" stopIfTrue="1">
      <formula>LEN(TRIM(K21))=0</formula>
    </cfRule>
    <cfRule type="cellIs" dxfId="5692" priority="1397" stopIfTrue="1" operator="between">
      <formula>79.1</formula>
      <formula>100</formula>
    </cfRule>
    <cfRule type="cellIs" dxfId="5691" priority="1398" stopIfTrue="1" operator="between">
      <formula>34.1</formula>
      <formula>79</formula>
    </cfRule>
    <cfRule type="cellIs" dxfId="5690" priority="1399" stopIfTrue="1" operator="between">
      <formula>13.1</formula>
      <formula>34</formula>
    </cfRule>
    <cfRule type="cellIs" dxfId="5689" priority="1400" stopIfTrue="1" operator="between">
      <formula>5.1</formula>
      <formula>13</formula>
    </cfRule>
    <cfRule type="cellIs" dxfId="5688" priority="1401" stopIfTrue="1" operator="between">
      <formula>0</formula>
      <formula>5</formula>
    </cfRule>
    <cfRule type="containsBlanks" dxfId="5687" priority="1402" stopIfTrue="1">
      <formula>LEN(TRIM(K21))=0</formula>
    </cfRule>
  </conditionalFormatting>
  <conditionalFormatting sqref="Q347">
    <cfRule type="containsBlanks" dxfId="5686" priority="1204" stopIfTrue="1">
      <formula>LEN(TRIM(Q347))=0</formula>
    </cfRule>
    <cfRule type="cellIs" dxfId="5685" priority="1205" stopIfTrue="1" operator="between">
      <formula>80.1</formula>
      <formula>100</formula>
    </cfRule>
    <cfRule type="cellIs" dxfId="5684" priority="1206" stopIfTrue="1" operator="between">
      <formula>35.1</formula>
      <formula>80</formula>
    </cfRule>
    <cfRule type="cellIs" dxfId="5683" priority="1207" stopIfTrue="1" operator="between">
      <formula>14.1</formula>
      <formula>35</formula>
    </cfRule>
    <cfRule type="cellIs" dxfId="5682" priority="1208" stopIfTrue="1" operator="between">
      <formula>5.1</formula>
      <formula>14</formula>
    </cfRule>
    <cfRule type="cellIs" dxfId="5681" priority="1209" stopIfTrue="1" operator="between">
      <formula>0</formula>
      <formula>5</formula>
    </cfRule>
    <cfRule type="containsBlanks" dxfId="5680" priority="1210" stopIfTrue="1">
      <formula>LEN(TRIM(Q347))=0</formula>
    </cfRule>
  </conditionalFormatting>
  <conditionalFormatting sqref="F346:M346 F365:Q365 F361:P364 F366:P372 F356:Q357 F355:P355 F348:Q354 F347:P347 O346:Q346 F360:Q360 J358:Q359">
    <cfRule type="containsBlanks" dxfId="5679" priority="1303" stopIfTrue="1">
      <formula>LEN(TRIM(F346))=0</formula>
    </cfRule>
    <cfRule type="cellIs" dxfId="5678" priority="1304" stopIfTrue="1" operator="between">
      <formula>80.1</formula>
      <formula>100</formula>
    </cfRule>
    <cfRule type="cellIs" dxfId="5677" priority="1305" stopIfTrue="1" operator="between">
      <formula>35.1</formula>
      <formula>80</formula>
    </cfRule>
    <cfRule type="cellIs" dxfId="5676" priority="1306" stopIfTrue="1" operator="between">
      <formula>14.1</formula>
      <formula>35</formula>
    </cfRule>
    <cfRule type="cellIs" dxfId="5675" priority="1307" stopIfTrue="1" operator="between">
      <formula>5.1</formula>
      <formula>14</formula>
    </cfRule>
    <cfRule type="cellIs" dxfId="5674" priority="1308" stopIfTrue="1" operator="between">
      <formula>0</formula>
      <formula>5</formula>
    </cfRule>
    <cfRule type="containsBlanks" dxfId="5673" priority="1309" stopIfTrue="1">
      <formula>LEN(TRIM(F346))=0</formula>
    </cfRule>
  </conditionalFormatting>
  <conditionalFormatting sqref="Q361">
    <cfRule type="containsBlanks" dxfId="5672" priority="1296" stopIfTrue="1">
      <formula>LEN(TRIM(Q361))=0</formula>
    </cfRule>
    <cfRule type="cellIs" dxfId="5671" priority="1297" stopIfTrue="1" operator="between">
      <formula>80.1</formula>
      <formula>100</formula>
    </cfRule>
    <cfRule type="cellIs" dxfId="5670" priority="1298" stopIfTrue="1" operator="between">
      <formula>35.1</formula>
      <formula>80</formula>
    </cfRule>
    <cfRule type="cellIs" dxfId="5669" priority="1299" stopIfTrue="1" operator="between">
      <formula>14.1</formula>
      <formula>35</formula>
    </cfRule>
    <cfRule type="cellIs" dxfId="5668" priority="1300" stopIfTrue="1" operator="between">
      <formula>5.1</formula>
      <formula>14</formula>
    </cfRule>
    <cfRule type="cellIs" dxfId="5667" priority="1301" stopIfTrue="1" operator="between">
      <formula>0</formula>
      <formula>5</formula>
    </cfRule>
    <cfRule type="containsBlanks" dxfId="5666" priority="1302" stopIfTrue="1">
      <formula>LEN(TRIM(Q361))=0</formula>
    </cfRule>
  </conditionalFormatting>
  <conditionalFormatting sqref="Q362">
    <cfRule type="containsBlanks" dxfId="5665" priority="1289" stopIfTrue="1">
      <formula>LEN(TRIM(Q362))=0</formula>
    </cfRule>
    <cfRule type="cellIs" dxfId="5664" priority="1290" stopIfTrue="1" operator="between">
      <formula>80.1</formula>
      <formula>100</formula>
    </cfRule>
    <cfRule type="cellIs" dxfId="5663" priority="1291" stopIfTrue="1" operator="between">
      <formula>35.1</formula>
      <formula>80</formula>
    </cfRule>
    <cfRule type="cellIs" dxfId="5662" priority="1292" stopIfTrue="1" operator="between">
      <formula>14.1</formula>
      <formula>35</formula>
    </cfRule>
    <cfRule type="cellIs" dxfId="5661" priority="1293" stopIfTrue="1" operator="between">
      <formula>5.1</formula>
      <formula>14</formula>
    </cfRule>
    <cfRule type="cellIs" dxfId="5660" priority="1294" stopIfTrue="1" operator="between">
      <formula>0</formula>
      <formula>5</formula>
    </cfRule>
    <cfRule type="containsBlanks" dxfId="5659" priority="1295" stopIfTrue="1">
      <formula>LEN(TRIM(Q362))=0</formula>
    </cfRule>
  </conditionalFormatting>
  <conditionalFormatting sqref="Q363">
    <cfRule type="containsBlanks" dxfId="5658" priority="1282" stopIfTrue="1">
      <formula>LEN(TRIM(Q363))=0</formula>
    </cfRule>
    <cfRule type="cellIs" dxfId="5657" priority="1283" stopIfTrue="1" operator="between">
      <formula>80.1</formula>
      <formula>100</formula>
    </cfRule>
    <cfRule type="cellIs" dxfId="5656" priority="1284" stopIfTrue="1" operator="between">
      <formula>35.1</formula>
      <formula>80</formula>
    </cfRule>
    <cfRule type="cellIs" dxfId="5655" priority="1285" stopIfTrue="1" operator="between">
      <formula>14.1</formula>
      <formula>35</formula>
    </cfRule>
    <cfRule type="cellIs" dxfId="5654" priority="1286" stopIfTrue="1" operator="between">
      <formula>5.1</formula>
      <formula>14</formula>
    </cfRule>
    <cfRule type="cellIs" dxfId="5653" priority="1287" stopIfTrue="1" operator="between">
      <formula>0</formula>
      <formula>5</formula>
    </cfRule>
    <cfRule type="containsBlanks" dxfId="5652" priority="1288" stopIfTrue="1">
      <formula>LEN(TRIM(Q363))=0</formula>
    </cfRule>
  </conditionalFormatting>
  <conditionalFormatting sqref="Q364">
    <cfRule type="containsBlanks" dxfId="5651" priority="1275" stopIfTrue="1">
      <formula>LEN(TRIM(Q364))=0</formula>
    </cfRule>
    <cfRule type="cellIs" dxfId="5650" priority="1276" stopIfTrue="1" operator="between">
      <formula>80.1</formula>
      <formula>100</formula>
    </cfRule>
    <cfRule type="cellIs" dxfId="5649" priority="1277" stopIfTrue="1" operator="between">
      <formula>35.1</formula>
      <formula>80</formula>
    </cfRule>
    <cfRule type="cellIs" dxfId="5648" priority="1278" stopIfTrue="1" operator="between">
      <formula>14.1</formula>
      <formula>35</formula>
    </cfRule>
    <cfRule type="cellIs" dxfId="5647" priority="1279" stopIfTrue="1" operator="between">
      <formula>5.1</formula>
      <formula>14</formula>
    </cfRule>
    <cfRule type="cellIs" dxfId="5646" priority="1280" stopIfTrue="1" operator="between">
      <formula>0</formula>
      <formula>5</formula>
    </cfRule>
    <cfRule type="containsBlanks" dxfId="5645" priority="1281" stopIfTrue="1">
      <formula>LEN(TRIM(Q364))=0</formula>
    </cfRule>
  </conditionalFormatting>
  <conditionalFormatting sqref="Q366">
    <cfRule type="containsBlanks" dxfId="5644" priority="1268" stopIfTrue="1">
      <formula>LEN(TRIM(Q366))=0</formula>
    </cfRule>
    <cfRule type="cellIs" dxfId="5643" priority="1269" stopIfTrue="1" operator="between">
      <formula>80.1</formula>
      <formula>100</formula>
    </cfRule>
    <cfRule type="cellIs" dxfId="5642" priority="1270" stopIfTrue="1" operator="between">
      <formula>35.1</formula>
      <formula>80</formula>
    </cfRule>
    <cfRule type="cellIs" dxfId="5641" priority="1271" stopIfTrue="1" operator="between">
      <formula>14.1</formula>
      <formula>35</formula>
    </cfRule>
    <cfRule type="cellIs" dxfId="5640" priority="1272" stopIfTrue="1" operator="between">
      <formula>5.1</formula>
      <formula>14</formula>
    </cfRule>
    <cfRule type="cellIs" dxfId="5639" priority="1273" stopIfTrue="1" operator="between">
      <formula>0</formula>
      <formula>5</formula>
    </cfRule>
    <cfRule type="containsBlanks" dxfId="5638" priority="1274" stopIfTrue="1">
      <formula>LEN(TRIM(Q366))=0</formula>
    </cfRule>
  </conditionalFormatting>
  <conditionalFormatting sqref="Q367">
    <cfRule type="containsBlanks" dxfId="5637" priority="1261" stopIfTrue="1">
      <formula>LEN(TRIM(Q367))=0</formula>
    </cfRule>
    <cfRule type="cellIs" dxfId="5636" priority="1262" stopIfTrue="1" operator="between">
      <formula>80.1</formula>
      <formula>100</formula>
    </cfRule>
    <cfRule type="cellIs" dxfId="5635" priority="1263" stopIfTrue="1" operator="between">
      <formula>35.1</formula>
      <formula>80</formula>
    </cfRule>
    <cfRule type="cellIs" dxfId="5634" priority="1264" stopIfTrue="1" operator="between">
      <formula>14.1</formula>
      <formula>35</formula>
    </cfRule>
    <cfRule type="cellIs" dxfId="5633" priority="1265" stopIfTrue="1" operator="between">
      <formula>5.1</formula>
      <formula>14</formula>
    </cfRule>
    <cfRule type="cellIs" dxfId="5632" priority="1266" stopIfTrue="1" operator="between">
      <formula>0</formula>
      <formula>5</formula>
    </cfRule>
    <cfRule type="containsBlanks" dxfId="5631" priority="1267" stopIfTrue="1">
      <formula>LEN(TRIM(Q367))=0</formula>
    </cfRule>
  </conditionalFormatting>
  <conditionalFormatting sqref="Q368">
    <cfRule type="containsBlanks" dxfId="5630" priority="1254" stopIfTrue="1">
      <formula>LEN(TRIM(Q368))=0</formula>
    </cfRule>
    <cfRule type="cellIs" dxfId="5629" priority="1255" stopIfTrue="1" operator="between">
      <formula>80.1</formula>
      <formula>100</formula>
    </cfRule>
    <cfRule type="cellIs" dxfId="5628" priority="1256" stopIfTrue="1" operator="between">
      <formula>35.1</formula>
      <formula>80</formula>
    </cfRule>
    <cfRule type="cellIs" dxfId="5627" priority="1257" stopIfTrue="1" operator="between">
      <formula>14.1</formula>
      <formula>35</formula>
    </cfRule>
    <cfRule type="cellIs" dxfId="5626" priority="1258" stopIfTrue="1" operator="between">
      <formula>5.1</formula>
      <formula>14</formula>
    </cfRule>
    <cfRule type="cellIs" dxfId="5625" priority="1259" stopIfTrue="1" operator="between">
      <formula>0</formula>
      <formula>5</formula>
    </cfRule>
    <cfRule type="containsBlanks" dxfId="5624" priority="1260" stopIfTrue="1">
      <formula>LEN(TRIM(Q368))=0</formula>
    </cfRule>
  </conditionalFormatting>
  <conditionalFormatting sqref="Q369">
    <cfRule type="containsBlanks" dxfId="5623" priority="1247" stopIfTrue="1">
      <formula>LEN(TRIM(Q369))=0</formula>
    </cfRule>
    <cfRule type="cellIs" dxfId="5622" priority="1248" stopIfTrue="1" operator="between">
      <formula>80.1</formula>
      <formula>100</formula>
    </cfRule>
    <cfRule type="cellIs" dxfId="5621" priority="1249" stopIfTrue="1" operator="between">
      <formula>35.1</formula>
      <formula>80</formula>
    </cfRule>
    <cfRule type="cellIs" dxfId="5620" priority="1250" stopIfTrue="1" operator="between">
      <formula>14.1</formula>
      <formula>35</formula>
    </cfRule>
    <cfRule type="cellIs" dxfId="5619" priority="1251" stopIfTrue="1" operator="between">
      <formula>5.1</formula>
      <formula>14</formula>
    </cfRule>
    <cfRule type="cellIs" dxfId="5618" priority="1252" stopIfTrue="1" operator="between">
      <formula>0</formula>
      <formula>5</formula>
    </cfRule>
    <cfRule type="containsBlanks" dxfId="5617" priority="1253" stopIfTrue="1">
      <formula>LEN(TRIM(Q369))=0</formula>
    </cfRule>
  </conditionalFormatting>
  <conditionalFormatting sqref="Q370">
    <cfRule type="containsBlanks" dxfId="5616" priority="1240" stopIfTrue="1">
      <formula>LEN(TRIM(Q370))=0</formula>
    </cfRule>
    <cfRule type="cellIs" dxfId="5615" priority="1241" stopIfTrue="1" operator="between">
      <formula>80.1</formula>
      <formula>100</formula>
    </cfRule>
    <cfRule type="cellIs" dxfId="5614" priority="1242" stopIfTrue="1" operator="between">
      <formula>35.1</formula>
      <formula>80</formula>
    </cfRule>
    <cfRule type="cellIs" dxfId="5613" priority="1243" stopIfTrue="1" operator="between">
      <formula>14.1</formula>
      <formula>35</formula>
    </cfRule>
    <cfRule type="cellIs" dxfId="5612" priority="1244" stopIfTrue="1" operator="between">
      <formula>5.1</formula>
      <formula>14</formula>
    </cfRule>
    <cfRule type="cellIs" dxfId="5611" priority="1245" stopIfTrue="1" operator="between">
      <formula>0</formula>
      <formula>5</formula>
    </cfRule>
    <cfRule type="containsBlanks" dxfId="5610" priority="1246" stopIfTrue="1">
      <formula>LEN(TRIM(Q370))=0</formula>
    </cfRule>
  </conditionalFormatting>
  <conditionalFormatting sqref="Q355">
    <cfRule type="containsBlanks" dxfId="5609" priority="1219" stopIfTrue="1">
      <formula>LEN(TRIM(Q355))=0</formula>
    </cfRule>
    <cfRule type="cellIs" dxfId="5608" priority="1220" stopIfTrue="1" operator="between">
      <formula>80.1</formula>
      <formula>100</formula>
    </cfRule>
    <cfRule type="cellIs" dxfId="5607" priority="1221" stopIfTrue="1" operator="between">
      <formula>35.1</formula>
      <formula>80</formula>
    </cfRule>
    <cfRule type="cellIs" dxfId="5606" priority="1222" stopIfTrue="1" operator="between">
      <formula>14.1</formula>
      <formula>35</formula>
    </cfRule>
    <cfRule type="cellIs" dxfId="5605" priority="1223" stopIfTrue="1" operator="between">
      <formula>5.1</formula>
      <formula>14</formula>
    </cfRule>
    <cfRule type="cellIs" dxfId="5604" priority="1224" stopIfTrue="1" operator="between">
      <formula>0</formula>
      <formula>5</formula>
    </cfRule>
    <cfRule type="containsBlanks" dxfId="5603" priority="1225" stopIfTrue="1">
      <formula>LEN(TRIM(Q355))=0</formula>
    </cfRule>
  </conditionalFormatting>
  <conditionalFormatting sqref="Q372">
    <cfRule type="containsBlanks" dxfId="5602" priority="1211" stopIfTrue="1">
      <formula>LEN(TRIM(Q372))=0</formula>
    </cfRule>
    <cfRule type="cellIs" dxfId="5601" priority="1212" stopIfTrue="1" operator="between">
      <formula>80.1</formula>
      <formula>100</formula>
    </cfRule>
    <cfRule type="cellIs" dxfId="5600" priority="1213" stopIfTrue="1" operator="between">
      <formula>35.1</formula>
      <formula>80</formula>
    </cfRule>
    <cfRule type="cellIs" dxfId="5599" priority="1214" stopIfTrue="1" operator="between">
      <formula>14.1</formula>
      <formula>35</formula>
    </cfRule>
    <cfRule type="cellIs" dxfId="5598" priority="1215" stopIfTrue="1" operator="between">
      <formula>5.1</formula>
      <formula>14</formula>
    </cfRule>
    <cfRule type="cellIs" dxfId="5597" priority="1216" stopIfTrue="1" operator="between">
      <formula>0</formula>
      <formula>5</formula>
    </cfRule>
    <cfRule type="containsBlanks" dxfId="5596" priority="1217" stopIfTrue="1">
      <formula>LEN(TRIM(Q372))=0</formula>
    </cfRule>
  </conditionalFormatting>
  <conditionalFormatting sqref="Q371">
    <cfRule type="containsBlanks" dxfId="5595" priority="1197" stopIfTrue="1">
      <formula>LEN(TRIM(Q371))=0</formula>
    </cfRule>
    <cfRule type="cellIs" dxfId="5594" priority="1198" stopIfTrue="1" operator="between">
      <formula>80.1</formula>
      <formula>100</formula>
    </cfRule>
    <cfRule type="cellIs" dxfId="5593" priority="1199" stopIfTrue="1" operator="between">
      <formula>35.1</formula>
      <formula>80</formula>
    </cfRule>
    <cfRule type="cellIs" dxfId="5592" priority="1200" stopIfTrue="1" operator="between">
      <formula>14.1</formula>
      <formula>35</formula>
    </cfRule>
    <cfRule type="cellIs" dxfId="5591" priority="1201" stopIfTrue="1" operator="between">
      <formula>5.1</formula>
      <formula>14</formula>
    </cfRule>
    <cfRule type="cellIs" dxfId="5590" priority="1202" stopIfTrue="1" operator="between">
      <formula>0</formula>
      <formula>5</formula>
    </cfRule>
    <cfRule type="containsBlanks" dxfId="5589" priority="1203" stopIfTrue="1">
      <formula>LEN(TRIM(Q371))=0</formula>
    </cfRule>
  </conditionalFormatting>
  <conditionalFormatting sqref="E412:P412">
    <cfRule type="containsBlanks" dxfId="5588" priority="1190" stopIfTrue="1">
      <formula>LEN(TRIM(E412))=0</formula>
    </cfRule>
    <cfRule type="cellIs" dxfId="5587" priority="1191" stopIfTrue="1" operator="between">
      <formula>79.1</formula>
      <formula>100</formula>
    </cfRule>
    <cfRule type="cellIs" dxfId="5586" priority="1192" stopIfTrue="1" operator="between">
      <formula>34.1</formula>
      <formula>79</formula>
    </cfRule>
    <cfRule type="cellIs" dxfId="5585" priority="1193" stopIfTrue="1" operator="between">
      <formula>13.1</formula>
      <formula>34</formula>
    </cfRule>
    <cfRule type="cellIs" dxfId="5584" priority="1194" stopIfTrue="1" operator="between">
      <formula>5.1</formula>
      <formula>13</formula>
    </cfRule>
    <cfRule type="cellIs" dxfId="5583" priority="1195" stopIfTrue="1" operator="between">
      <formula>0</formula>
      <formula>5</formula>
    </cfRule>
    <cfRule type="containsBlanks" dxfId="5582" priority="1196" stopIfTrue="1">
      <formula>LEN(TRIM(E412))=0</formula>
    </cfRule>
  </conditionalFormatting>
  <conditionalFormatting sqref="E432:P432">
    <cfRule type="containsBlanks" dxfId="5581" priority="1183" stopIfTrue="1">
      <formula>LEN(TRIM(E432))=0</formula>
    </cfRule>
    <cfRule type="cellIs" dxfId="5580" priority="1184" stopIfTrue="1" operator="between">
      <formula>79.1</formula>
      <formula>100</formula>
    </cfRule>
    <cfRule type="cellIs" dxfId="5579" priority="1185" stopIfTrue="1" operator="between">
      <formula>34.1</formula>
      <formula>79</formula>
    </cfRule>
    <cfRule type="cellIs" dxfId="5578" priority="1186" stopIfTrue="1" operator="between">
      <formula>13.1</formula>
      <formula>34</formula>
    </cfRule>
    <cfRule type="cellIs" dxfId="5577" priority="1187" stopIfTrue="1" operator="between">
      <formula>5.1</formula>
      <formula>13</formula>
    </cfRule>
    <cfRule type="cellIs" dxfId="5576" priority="1188" stopIfTrue="1" operator="between">
      <formula>0</formula>
      <formula>5</formula>
    </cfRule>
    <cfRule type="containsBlanks" dxfId="5575" priority="1189" stopIfTrue="1">
      <formula>LEN(TRIM(E432))=0</formula>
    </cfRule>
  </conditionalFormatting>
  <conditionalFormatting sqref="E427:P427">
    <cfRule type="containsBlanks" dxfId="5574" priority="1176" stopIfTrue="1">
      <formula>LEN(TRIM(E427))=0</formula>
    </cfRule>
    <cfRule type="cellIs" dxfId="5573" priority="1177" stopIfTrue="1" operator="between">
      <formula>79.1</formula>
      <formula>100</formula>
    </cfRule>
    <cfRule type="cellIs" dxfId="5572" priority="1178" stopIfTrue="1" operator="between">
      <formula>34.1</formula>
      <formula>79</formula>
    </cfRule>
    <cfRule type="cellIs" dxfId="5571" priority="1179" stopIfTrue="1" operator="between">
      <formula>13.1</formula>
      <formula>34</formula>
    </cfRule>
    <cfRule type="cellIs" dxfId="5570" priority="1180" stopIfTrue="1" operator="between">
      <formula>5.1</formula>
      <formula>13</formula>
    </cfRule>
    <cfRule type="cellIs" dxfId="5569" priority="1181" stopIfTrue="1" operator="between">
      <formula>0</formula>
      <formula>5</formula>
    </cfRule>
    <cfRule type="containsBlanks" dxfId="5568" priority="1182" stopIfTrue="1">
      <formula>LEN(TRIM(E427))=0</formula>
    </cfRule>
  </conditionalFormatting>
  <conditionalFormatting sqref="E413:P413">
    <cfRule type="containsBlanks" dxfId="5567" priority="1169" stopIfTrue="1">
      <formula>LEN(TRIM(E413))=0</formula>
    </cfRule>
    <cfRule type="cellIs" dxfId="5566" priority="1170" stopIfTrue="1" operator="between">
      <formula>79.1</formula>
      <formula>100</formula>
    </cfRule>
    <cfRule type="cellIs" dxfId="5565" priority="1171" stopIfTrue="1" operator="between">
      <formula>34.1</formula>
      <formula>79</formula>
    </cfRule>
    <cfRule type="cellIs" dxfId="5564" priority="1172" stopIfTrue="1" operator="between">
      <formula>13.1</formula>
      <formula>34</formula>
    </cfRule>
    <cfRule type="cellIs" dxfId="5563" priority="1173" stopIfTrue="1" operator="between">
      <formula>5.1</formula>
      <formula>13</formula>
    </cfRule>
    <cfRule type="cellIs" dxfId="5562" priority="1174" stopIfTrue="1" operator="between">
      <formula>0</formula>
      <formula>5</formula>
    </cfRule>
    <cfRule type="containsBlanks" dxfId="5561" priority="1175" stopIfTrue="1">
      <formula>LEN(TRIM(E413))=0</formula>
    </cfRule>
  </conditionalFormatting>
  <conditionalFormatting sqref="E407:P407">
    <cfRule type="containsBlanks" dxfId="5560" priority="1162" stopIfTrue="1">
      <formula>LEN(TRIM(E407))=0</formula>
    </cfRule>
    <cfRule type="cellIs" dxfId="5559" priority="1163" stopIfTrue="1" operator="between">
      <formula>79.1</formula>
      <formula>100</formula>
    </cfRule>
    <cfRule type="cellIs" dxfId="5558" priority="1164" stopIfTrue="1" operator="between">
      <formula>34.1</formula>
      <formula>79</formula>
    </cfRule>
    <cfRule type="cellIs" dxfId="5557" priority="1165" stopIfTrue="1" operator="between">
      <formula>13.1</formula>
      <formula>34</formula>
    </cfRule>
    <cfRule type="cellIs" dxfId="5556" priority="1166" stopIfTrue="1" operator="between">
      <formula>5.1</formula>
      <formula>13</formula>
    </cfRule>
    <cfRule type="cellIs" dxfId="5555" priority="1167" stopIfTrue="1" operator="between">
      <formula>0</formula>
      <formula>5</formula>
    </cfRule>
    <cfRule type="containsBlanks" dxfId="5554" priority="1168" stopIfTrue="1">
      <formula>LEN(TRIM(E407))=0</formula>
    </cfRule>
  </conditionalFormatting>
  <conditionalFormatting sqref="E424:P424">
    <cfRule type="containsBlanks" dxfId="5553" priority="1155" stopIfTrue="1">
      <formula>LEN(TRIM(E424))=0</formula>
    </cfRule>
    <cfRule type="cellIs" dxfId="5552" priority="1156" stopIfTrue="1" operator="between">
      <formula>79.1</formula>
      <formula>100</formula>
    </cfRule>
    <cfRule type="cellIs" dxfId="5551" priority="1157" stopIfTrue="1" operator="between">
      <formula>34.1</formula>
      <formula>79</formula>
    </cfRule>
    <cfRule type="cellIs" dxfId="5550" priority="1158" stopIfTrue="1" operator="between">
      <formula>13.1</formula>
      <formula>34</formula>
    </cfRule>
    <cfRule type="cellIs" dxfId="5549" priority="1159" stopIfTrue="1" operator="between">
      <formula>5.1</formula>
      <formula>13</formula>
    </cfRule>
    <cfRule type="cellIs" dxfId="5548" priority="1160" stopIfTrue="1" operator="between">
      <formula>0</formula>
      <formula>5</formula>
    </cfRule>
    <cfRule type="containsBlanks" dxfId="5547" priority="1161" stopIfTrue="1">
      <formula>LEN(TRIM(E424))=0</formula>
    </cfRule>
  </conditionalFormatting>
  <conditionalFormatting sqref="E433:P433">
    <cfRule type="containsBlanks" dxfId="5546" priority="1148" stopIfTrue="1">
      <formula>LEN(TRIM(E433))=0</formula>
    </cfRule>
    <cfRule type="cellIs" dxfId="5545" priority="1149" stopIfTrue="1" operator="between">
      <formula>79.1</formula>
      <formula>100</formula>
    </cfRule>
    <cfRule type="cellIs" dxfId="5544" priority="1150" stopIfTrue="1" operator="between">
      <formula>34.1</formula>
      <formula>79</formula>
    </cfRule>
    <cfRule type="cellIs" dxfId="5543" priority="1151" stopIfTrue="1" operator="between">
      <formula>13.1</formula>
      <formula>34</formula>
    </cfRule>
    <cfRule type="cellIs" dxfId="5542" priority="1152" stopIfTrue="1" operator="between">
      <formula>5.1</formula>
      <formula>13</formula>
    </cfRule>
    <cfRule type="cellIs" dxfId="5541" priority="1153" stopIfTrue="1" operator="between">
      <formula>0</formula>
      <formula>5</formula>
    </cfRule>
    <cfRule type="containsBlanks" dxfId="5540" priority="1154" stopIfTrue="1">
      <formula>LEN(TRIM(E433))=0</formula>
    </cfRule>
  </conditionalFormatting>
  <conditionalFormatting sqref="E415:P415">
    <cfRule type="containsBlanks" dxfId="5539" priority="1141" stopIfTrue="1">
      <formula>LEN(TRIM(E415))=0</formula>
    </cfRule>
    <cfRule type="cellIs" dxfId="5538" priority="1142" stopIfTrue="1" operator="between">
      <formula>79.1</formula>
      <formula>100</formula>
    </cfRule>
    <cfRule type="cellIs" dxfId="5537" priority="1143" stopIfTrue="1" operator="between">
      <formula>34.1</formula>
      <formula>79</formula>
    </cfRule>
    <cfRule type="cellIs" dxfId="5536" priority="1144" stopIfTrue="1" operator="between">
      <formula>13.1</formula>
      <formula>34</formula>
    </cfRule>
    <cfRule type="cellIs" dxfId="5535" priority="1145" stopIfTrue="1" operator="between">
      <formula>5.1</formula>
      <formula>13</formula>
    </cfRule>
    <cfRule type="cellIs" dxfId="5534" priority="1146" stopIfTrue="1" operator="between">
      <formula>0</formula>
      <formula>5</formula>
    </cfRule>
    <cfRule type="containsBlanks" dxfId="5533" priority="1147" stopIfTrue="1">
      <formula>LEN(TRIM(E415))=0</formula>
    </cfRule>
  </conditionalFormatting>
  <conditionalFormatting sqref="E418:P418">
    <cfRule type="containsBlanks" dxfId="5532" priority="1134" stopIfTrue="1">
      <formula>LEN(TRIM(E418))=0</formula>
    </cfRule>
    <cfRule type="cellIs" dxfId="5531" priority="1135" stopIfTrue="1" operator="between">
      <formula>79.1</formula>
      <formula>100</formula>
    </cfRule>
    <cfRule type="cellIs" dxfId="5530" priority="1136" stopIfTrue="1" operator="between">
      <formula>34.1</formula>
      <formula>79</formula>
    </cfRule>
    <cfRule type="cellIs" dxfId="5529" priority="1137" stopIfTrue="1" operator="between">
      <formula>13.1</formula>
      <formula>34</formula>
    </cfRule>
    <cfRule type="cellIs" dxfId="5528" priority="1138" stopIfTrue="1" operator="between">
      <formula>5.1</formula>
      <formula>13</formula>
    </cfRule>
    <cfRule type="cellIs" dxfId="5527" priority="1139" stopIfTrue="1" operator="between">
      <formula>0</formula>
      <formula>5</formula>
    </cfRule>
    <cfRule type="containsBlanks" dxfId="5526" priority="1140" stopIfTrue="1">
      <formula>LEN(TRIM(E418))=0</formula>
    </cfRule>
  </conditionalFormatting>
  <conditionalFormatting sqref="E403:P403">
    <cfRule type="containsBlanks" dxfId="5525" priority="1127" stopIfTrue="1">
      <formula>LEN(TRIM(E403))=0</formula>
    </cfRule>
    <cfRule type="cellIs" dxfId="5524" priority="1128" stopIfTrue="1" operator="between">
      <formula>79.1</formula>
      <formula>100</formula>
    </cfRule>
    <cfRule type="cellIs" dxfId="5523" priority="1129" stopIfTrue="1" operator="between">
      <formula>34.1</formula>
      <formula>79</formula>
    </cfRule>
    <cfRule type="cellIs" dxfId="5522" priority="1130" stopIfTrue="1" operator="between">
      <formula>13.1</formula>
      <formula>34</formula>
    </cfRule>
    <cfRule type="cellIs" dxfId="5521" priority="1131" stopIfTrue="1" operator="between">
      <formula>5.1</formula>
      <formula>13</formula>
    </cfRule>
    <cfRule type="cellIs" dxfId="5520" priority="1132" stopIfTrue="1" operator="between">
      <formula>0</formula>
      <formula>5</formula>
    </cfRule>
    <cfRule type="containsBlanks" dxfId="5519" priority="1133" stopIfTrue="1">
      <formula>LEN(TRIM(E403))=0</formula>
    </cfRule>
  </conditionalFormatting>
  <conditionalFormatting sqref="E406:H406 J406:N406">
    <cfRule type="containsBlanks" dxfId="5518" priority="1120" stopIfTrue="1">
      <formula>LEN(TRIM(E406))=0</formula>
    </cfRule>
    <cfRule type="cellIs" dxfId="5517" priority="1121" stopIfTrue="1" operator="between">
      <formula>79.1</formula>
      <formula>100</formula>
    </cfRule>
    <cfRule type="cellIs" dxfId="5516" priority="1122" stopIfTrue="1" operator="between">
      <formula>34.1</formula>
      <formula>79</formula>
    </cfRule>
    <cfRule type="cellIs" dxfId="5515" priority="1123" stopIfTrue="1" operator="between">
      <formula>13.1</formula>
      <formula>34</formula>
    </cfRule>
    <cfRule type="cellIs" dxfId="5514" priority="1124" stopIfTrue="1" operator="between">
      <formula>5.1</formula>
      <formula>13</formula>
    </cfRule>
    <cfRule type="cellIs" dxfId="5513" priority="1125" stopIfTrue="1" operator="between">
      <formula>0</formula>
      <formula>5</formula>
    </cfRule>
    <cfRule type="containsBlanks" dxfId="5512" priority="1126" stopIfTrue="1">
      <formula>LEN(TRIM(E406))=0</formula>
    </cfRule>
  </conditionalFormatting>
  <conditionalFormatting sqref="E405:O405 I406">
    <cfRule type="containsBlanks" dxfId="5511" priority="1113" stopIfTrue="1">
      <formula>LEN(TRIM(E405))=0</formula>
    </cfRule>
    <cfRule type="cellIs" dxfId="5510" priority="1114" stopIfTrue="1" operator="between">
      <formula>79.1</formula>
      <formula>100</formula>
    </cfRule>
    <cfRule type="cellIs" dxfId="5509" priority="1115" stopIfTrue="1" operator="between">
      <formula>34.1</formula>
      <formula>79</formula>
    </cfRule>
    <cfRule type="cellIs" dxfId="5508" priority="1116" stopIfTrue="1" operator="between">
      <formula>13.1</formula>
      <formula>34</formula>
    </cfRule>
    <cfRule type="cellIs" dxfId="5507" priority="1117" stopIfTrue="1" operator="between">
      <formula>5.1</formula>
      <formula>13</formula>
    </cfRule>
    <cfRule type="cellIs" dxfId="5506" priority="1118" stopIfTrue="1" operator="between">
      <formula>0</formula>
      <formula>5</formula>
    </cfRule>
    <cfRule type="containsBlanks" dxfId="5505" priority="1119" stopIfTrue="1">
      <formula>LEN(TRIM(E405))=0</formula>
    </cfRule>
  </conditionalFormatting>
  <conditionalFormatting sqref="E398:P398">
    <cfRule type="containsBlanks" dxfId="5504" priority="1106" stopIfTrue="1">
      <formula>LEN(TRIM(E398))=0</formula>
    </cfRule>
    <cfRule type="cellIs" dxfId="5503" priority="1107" stopIfTrue="1" operator="between">
      <formula>79.1</formula>
      <formula>100</formula>
    </cfRule>
    <cfRule type="cellIs" dxfId="5502" priority="1108" stopIfTrue="1" operator="between">
      <formula>34.1</formula>
      <formula>79</formula>
    </cfRule>
    <cfRule type="cellIs" dxfId="5501" priority="1109" stopIfTrue="1" operator="between">
      <formula>13.1</formula>
      <formula>34</formula>
    </cfRule>
    <cfRule type="cellIs" dxfId="5500" priority="1110" stopIfTrue="1" operator="between">
      <formula>5.1</formula>
      <formula>13</formula>
    </cfRule>
    <cfRule type="cellIs" dxfId="5499" priority="1111" stopIfTrue="1" operator="between">
      <formula>0</formula>
      <formula>5</formula>
    </cfRule>
    <cfRule type="containsBlanks" dxfId="5498" priority="1112" stopIfTrue="1">
      <formula>LEN(TRIM(E398))=0</formula>
    </cfRule>
  </conditionalFormatting>
  <conditionalFormatting sqref="E419:N419">
    <cfRule type="containsBlanks" dxfId="5497" priority="1099" stopIfTrue="1">
      <formula>LEN(TRIM(E419))=0</formula>
    </cfRule>
    <cfRule type="cellIs" dxfId="5496" priority="1100" stopIfTrue="1" operator="between">
      <formula>79.1</formula>
      <formula>100</formula>
    </cfRule>
    <cfRule type="cellIs" dxfId="5495" priority="1101" stopIfTrue="1" operator="between">
      <formula>34.1</formula>
      <formula>79</formula>
    </cfRule>
    <cfRule type="cellIs" dxfId="5494" priority="1102" stopIfTrue="1" operator="between">
      <formula>13.1</formula>
      <formula>34</formula>
    </cfRule>
    <cfRule type="cellIs" dxfId="5493" priority="1103" stopIfTrue="1" operator="between">
      <formula>5.1</formula>
      <formula>13</formula>
    </cfRule>
    <cfRule type="cellIs" dxfId="5492" priority="1104" stopIfTrue="1" operator="between">
      <formula>0</formula>
      <formula>5</formula>
    </cfRule>
    <cfRule type="containsBlanks" dxfId="5491" priority="1105" stopIfTrue="1">
      <formula>LEN(TRIM(E419))=0</formula>
    </cfRule>
  </conditionalFormatting>
  <conditionalFormatting sqref="E434:O434">
    <cfRule type="containsBlanks" dxfId="5490" priority="1092" stopIfTrue="1">
      <formula>LEN(TRIM(E434))=0</formula>
    </cfRule>
    <cfRule type="cellIs" dxfId="5489" priority="1093" stopIfTrue="1" operator="between">
      <formula>79.1</formula>
      <formula>100</formula>
    </cfRule>
    <cfRule type="cellIs" dxfId="5488" priority="1094" stopIfTrue="1" operator="between">
      <formula>34.1</formula>
      <formula>79</formula>
    </cfRule>
    <cfRule type="cellIs" dxfId="5487" priority="1095" stopIfTrue="1" operator="between">
      <formula>13.1</formula>
      <formula>34</formula>
    </cfRule>
    <cfRule type="cellIs" dxfId="5486" priority="1096" stopIfTrue="1" operator="between">
      <formula>5.1</formula>
      <formula>13</formula>
    </cfRule>
    <cfRule type="cellIs" dxfId="5485" priority="1097" stopIfTrue="1" operator="between">
      <formula>0</formula>
      <formula>5</formula>
    </cfRule>
    <cfRule type="containsBlanks" dxfId="5484" priority="1098" stopIfTrue="1">
      <formula>LEN(TRIM(E434))=0</formula>
    </cfRule>
  </conditionalFormatting>
  <conditionalFormatting sqref="E414:M414">
    <cfRule type="containsBlanks" dxfId="5483" priority="1085" stopIfTrue="1">
      <formula>LEN(TRIM(E414))=0</formula>
    </cfRule>
    <cfRule type="cellIs" dxfId="5482" priority="1086" stopIfTrue="1" operator="between">
      <formula>79.1</formula>
      <formula>100</formula>
    </cfRule>
    <cfRule type="cellIs" dxfId="5481" priority="1087" stopIfTrue="1" operator="between">
      <formula>34.1</formula>
      <formula>79</formula>
    </cfRule>
    <cfRule type="cellIs" dxfId="5480" priority="1088" stopIfTrue="1" operator="between">
      <formula>13.1</formula>
      <formula>34</formula>
    </cfRule>
    <cfRule type="cellIs" dxfId="5479" priority="1089" stopIfTrue="1" operator="between">
      <formula>5.1</formula>
      <formula>13</formula>
    </cfRule>
    <cfRule type="cellIs" dxfId="5478" priority="1090" stopIfTrue="1" operator="between">
      <formula>0</formula>
      <formula>5</formula>
    </cfRule>
    <cfRule type="containsBlanks" dxfId="5477" priority="1091" stopIfTrue="1">
      <formula>LEN(TRIM(E414))=0</formula>
    </cfRule>
  </conditionalFormatting>
  <conditionalFormatting sqref="E428:L428">
    <cfRule type="containsBlanks" dxfId="5476" priority="1078" stopIfTrue="1">
      <formula>LEN(TRIM(E428))=0</formula>
    </cfRule>
    <cfRule type="cellIs" dxfId="5475" priority="1079" stopIfTrue="1" operator="between">
      <formula>79.1</formula>
      <formula>100</formula>
    </cfRule>
    <cfRule type="cellIs" dxfId="5474" priority="1080" stopIfTrue="1" operator="between">
      <formula>34.1</formula>
      <formula>79</formula>
    </cfRule>
    <cfRule type="cellIs" dxfId="5473" priority="1081" stopIfTrue="1" operator="between">
      <formula>13.1</formula>
      <formula>34</formula>
    </cfRule>
    <cfRule type="cellIs" dxfId="5472" priority="1082" stopIfTrue="1" operator="between">
      <formula>5.1</formula>
      <formula>13</formula>
    </cfRule>
    <cfRule type="cellIs" dxfId="5471" priority="1083" stopIfTrue="1" operator="between">
      <formula>0</formula>
      <formula>5</formula>
    </cfRule>
    <cfRule type="containsBlanks" dxfId="5470" priority="1084" stopIfTrue="1">
      <formula>LEN(TRIM(E428))=0</formula>
    </cfRule>
  </conditionalFormatting>
  <conditionalFormatting sqref="E417:N417">
    <cfRule type="containsBlanks" dxfId="5469" priority="1071" stopIfTrue="1">
      <formula>LEN(TRIM(E417))=0</formula>
    </cfRule>
    <cfRule type="cellIs" dxfId="5468" priority="1072" stopIfTrue="1" operator="between">
      <formula>79.1</formula>
      <formula>100</formula>
    </cfRule>
    <cfRule type="cellIs" dxfId="5467" priority="1073" stopIfTrue="1" operator="between">
      <formula>34.1</formula>
      <formula>79</formula>
    </cfRule>
    <cfRule type="cellIs" dxfId="5466" priority="1074" stopIfTrue="1" operator="between">
      <formula>13.1</formula>
      <formula>34</formula>
    </cfRule>
    <cfRule type="cellIs" dxfId="5465" priority="1075" stopIfTrue="1" operator="between">
      <formula>5.1</formula>
      <formula>13</formula>
    </cfRule>
    <cfRule type="cellIs" dxfId="5464" priority="1076" stopIfTrue="1" operator="between">
      <formula>0</formula>
      <formula>5</formula>
    </cfRule>
    <cfRule type="containsBlanks" dxfId="5463" priority="1077" stopIfTrue="1">
      <formula>LEN(TRIM(E417))=0</formula>
    </cfRule>
  </conditionalFormatting>
  <conditionalFormatting sqref="E429:N429">
    <cfRule type="containsBlanks" dxfId="5462" priority="1064" stopIfTrue="1">
      <formula>LEN(TRIM(E429))=0</formula>
    </cfRule>
    <cfRule type="cellIs" dxfId="5461" priority="1065" stopIfTrue="1" operator="between">
      <formula>79.1</formula>
      <formula>100</formula>
    </cfRule>
    <cfRule type="cellIs" dxfId="5460" priority="1066" stopIfTrue="1" operator="between">
      <formula>34.1</formula>
      <formula>79</formula>
    </cfRule>
    <cfRule type="cellIs" dxfId="5459" priority="1067" stopIfTrue="1" operator="between">
      <formula>13.1</formula>
      <formula>34</formula>
    </cfRule>
    <cfRule type="cellIs" dxfId="5458" priority="1068" stopIfTrue="1" operator="between">
      <formula>5.1</formula>
      <formula>13</formula>
    </cfRule>
    <cfRule type="cellIs" dxfId="5457" priority="1069" stopIfTrue="1" operator="between">
      <formula>0</formula>
      <formula>5</formula>
    </cfRule>
    <cfRule type="containsBlanks" dxfId="5456" priority="1070" stopIfTrue="1">
      <formula>LEN(TRIM(E429))=0</formula>
    </cfRule>
  </conditionalFormatting>
  <conditionalFormatting sqref="E411:O411">
    <cfRule type="containsBlanks" dxfId="5455" priority="1057" stopIfTrue="1">
      <formula>LEN(TRIM(E411))=0</formula>
    </cfRule>
    <cfRule type="cellIs" dxfId="5454" priority="1058" stopIfTrue="1" operator="between">
      <formula>79.1</formula>
      <formula>100</formula>
    </cfRule>
    <cfRule type="cellIs" dxfId="5453" priority="1059" stopIfTrue="1" operator="between">
      <formula>34.1</formula>
      <formula>79</formula>
    </cfRule>
    <cfRule type="cellIs" dxfId="5452" priority="1060" stopIfTrue="1" operator="between">
      <formula>13.1</formula>
      <formula>34</formula>
    </cfRule>
    <cfRule type="cellIs" dxfId="5451" priority="1061" stopIfTrue="1" operator="between">
      <formula>5.1</formula>
      <formula>13</formula>
    </cfRule>
    <cfRule type="cellIs" dxfId="5450" priority="1062" stopIfTrue="1" operator="between">
      <formula>0</formula>
      <formula>5</formula>
    </cfRule>
    <cfRule type="containsBlanks" dxfId="5449" priority="1063" stopIfTrue="1">
      <formula>LEN(TRIM(E411))=0</formula>
    </cfRule>
  </conditionalFormatting>
  <conditionalFormatting sqref="E431:O431">
    <cfRule type="containsBlanks" dxfId="5448" priority="1050" stopIfTrue="1">
      <formula>LEN(TRIM(E431))=0</formula>
    </cfRule>
    <cfRule type="cellIs" dxfId="5447" priority="1051" stopIfTrue="1" operator="between">
      <formula>79.1</formula>
      <formula>100</formula>
    </cfRule>
    <cfRule type="cellIs" dxfId="5446" priority="1052" stopIfTrue="1" operator="between">
      <formula>34.1</formula>
      <formula>79</formula>
    </cfRule>
    <cfRule type="cellIs" dxfId="5445" priority="1053" stopIfTrue="1" operator="between">
      <formula>13.1</formula>
      <formula>34</formula>
    </cfRule>
    <cfRule type="cellIs" dxfId="5444" priority="1054" stopIfTrue="1" operator="between">
      <formula>5.1</formula>
      <formula>13</formula>
    </cfRule>
    <cfRule type="cellIs" dxfId="5443" priority="1055" stopIfTrue="1" operator="between">
      <formula>0</formula>
      <formula>5</formula>
    </cfRule>
    <cfRule type="containsBlanks" dxfId="5442" priority="1056" stopIfTrue="1">
      <formula>LEN(TRIM(E431))=0</formula>
    </cfRule>
  </conditionalFormatting>
  <conditionalFormatting sqref="E426:N426">
    <cfRule type="containsBlanks" dxfId="5441" priority="1043" stopIfTrue="1">
      <formula>LEN(TRIM(E426))=0</formula>
    </cfRule>
    <cfRule type="cellIs" dxfId="5440" priority="1044" stopIfTrue="1" operator="between">
      <formula>79.1</formula>
      <formula>100</formula>
    </cfRule>
    <cfRule type="cellIs" dxfId="5439" priority="1045" stopIfTrue="1" operator="between">
      <formula>34.1</formula>
      <formula>79</formula>
    </cfRule>
    <cfRule type="cellIs" dxfId="5438" priority="1046" stopIfTrue="1" operator="between">
      <formula>13.1</formula>
      <formula>34</formula>
    </cfRule>
    <cfRule type="cellIs" dxfId="5437" priority="1047" stopIfTrue="1" operator="between">
      <formula>5.1</formula>
      <formula>13</formula>
    </cfRule>
    <cfRule type="cellIs" dxfId="5436" priority="1048" stopIfTrue="1" operator="between">
      <formula>0</formula>
      <formula>5</formula>
    </cfRule>
    <cfRule type="containsBlanks" dxfId="5435" priority="1049" stopIfTrue="1">
      <formula>LEN(TRIM(E426))=0</formula>
    </cfRule>
  </conditionalFormatting>
  <conditionalFormatting sqref="E423:O423">
    <cfRule type="containsBlanks" dxfId="5434" priority="1036" stopIfTrue="1">
      <formula>LEN(TRIM(E423))=0</formula>
    </cfRule>
    <cfRule type="cellIs" dxfId="5433" priority="1037" stopIfTrue="1" operator="between">
      <formula>79.1</formula>
      <formula>100</formula>
    </cfRule>
    <cfRule type="cellIs" dxfId="5432" priority="1038" stopIfTrue="1" operator="between">
      <formula>34.1</formula>
      <formula>79</formula>
    </cfRule>
    <cfRule type="cellIs" dxfId="5431" priority="1039" stopIfTrue="1" operator="between">
      <formula>13.1</formula>
      <formula>34</formula>
    </cfRule>
    <cfRule type="cellIs" dxfId="5430" priority="1040" stopIfTrue="1" operator="between">
      <formula>5.1</formula>
      <formula>13</formula>
    </cfRule>
    <cfRule type="cellIs" dxfId="5429" priority="1041" stopIfTrue="1" operator="between">
      <formula>0</formula>
      <formula>5</formula>
    </cfRule>
    <cfRule type="containsBlanks" dxfId="5428" priority="1042" stopIfTrue="1">
      <formula>LEN(TRIM(E423))=0</formula>
    </cfRule>
  </conditionalFormatting>
  <conditionalFormatting sqref="E404:O404">
    <cfRule type="containsBlanks" dxfId="5427" priority="1029" stopIfTrue="1">
      <formula>LEN(TRIM(E404))=0</formula>
    </cfRule>
    <cfRule type="cellIs" dxfId="5426" priority="1030" stopIfTrue="1" operator="between">
      <formula>79.1</formula>
      <formula>100</formula>
    </cfRule>
    <cfRule type="cellIs" dxfId="5425" priority="1031" stopIfTrue="1" operator="between">
      <formula>34.1</formula>
      <formula>79</formula>
    </cfRule>
    <cfRule type="cellIs" dxfId="5424" priority="1032" stopIfTrue="1" operator="between">
      <formula>13.1</formula>
      <formula>34</formula>
    </cfRule>
    <cfRule type="cellIs" dxfId="5423" priority="1033" stopIfTrue="1" operator="between">
      <formula>5.1</formula>
      <formula>13</formula>
    </cfRule>
    <cfRule type="cellIs" dxfId="5422" priority="1034" stopIfTrue="1" operator="between">
      <formula>0</formula>
      <formula>5</formula>
    </cfRule>
    <cfRule type="containsBlanks" dxfId="5421" priority="1035" stopIfTrue="1">
      <formula>LEN(TRIM(E404))=0</formula>
    </cfRule>
  </conditionalFormatting>
  <conditionalFormatting sqref="E399:O399 G400">
    <cfRule type="containsBlanks" dxfId="5420" priority="1022" stopIfTrue="1">
      <formula>LEN(TRIM(E399))=0</formula>
    </cfRule>
    <cfRule type="cellIs" dxfId="5419" priority="1023" stopIfTrue="1" operator="between">
      <formula>79.1</formula>
      <formula>100</formula>
    </cfRule>
    <cfRule type="cellIs" dxfId="5418" priority="1024" stopIfTrue="1" operator="between">
      <formula>34.1</formula>
      <formula>79</formula>
    </cfRule>
    <cfRule type="cellIs" dxfId="5417" priority="1025" stopIfTrue="1" operator="between">
      <formula>13.1</formula>
      <formula>34</formula>
    </cfRule>
    <cfRule type="cellIs" dxfId="5416" priority="1026" stopIfTrue="1" operator="between">
      <formula>5.1</formula>
      <formula>13</formula>
    </cfRule>
    <cfRule type="cellIs" dxfId="5415" priority="1027" stopIfTrue="1" operator="between">
      <formula>0</formula>
      <formula>5</formula>
    </cfRule>
    <cfRule type="containsBlanks" dxfId="5414" priority="1028" stopIfTrue="1">
      <formula>LEN(TRIM(E399))=0</formula>
    </cfRule>
  </conditionalFormatting>
  <conditionalFormatting sqref="E452:H453">
    <cfRule type="containsBlanks" dxfId="5413" priority="987" stopIfTrue="1">
      <formula>LEN(TRIM(E452))=0</formula>
    </cfRule>
    <cfRule type="cellIs" dxfId="5412" priority="988" stopIfTrue="1" operator="between">
      <formula>79.1</formula>
      <formula>100</formula>
    </cfRule>
    <cfRule type="cellIs" dxfId="5411" priority="989" stopIfTrue="1" operator="between">
      <formula>34.1</formula>
      <formula>79</formula>
    </cfRule>
    <cfRule type="cellIs" dxfId="5410" priority="990" stopIfTrue="1" operator="between">
      <formula>13.1</formula>
      <formula>34</formula>
    </cfRule>
    <cfRule type="cellIs" dxfId="5409" priority="991" stopIfTrue="1" operator="between">
      <formula>5.1</formula>
      <formula>13</formula>
    </cfRule>
    <cfRule type="cellIs" dxfId="5408" priority="992" stopIfTrue="1" operator="between">
      <formula>0</formula>
      <formula>5</formula>
    </cfRule>
    <cfRule type="containsBlanks" dxfId="5407" priority="993" stopIfTrue="1">
      <formula>LEN(TRIM(E452))=0</formula>
    </cfRule>
  </conditionalFormatting>
  <conditionalFormatting sqref="E435:P435">
    <cfRule type="containsBlanks" dxfId="5406" priority="1015" stopIfTrue="1">
      <formula>LEN(TRIM(E435))=0</formula>
    </cfRule>
    <cfRule type="cellIs" dxfId="5405" priority="1016" stopIfTrue="1" operator="between">
      <formula>79.1</formula>
      <formula>100</formula>
    </cfRule>
    <cfRule type="cellIs" dxfId="5404" priority="1017" stopIfTrue="1" operator="between">
      <formula>34.1</formula>
      <formula>79</formula>
    </cfRule>
    <cfRule type="cellIs" dxfId="5403" priority="1018" stopIfTrue="1" operator="between">
      <formula>13.1</formula>
      <formula>34</formula>
    </cfRule>
    <cfRule type="cellIs" dxfId="5402" priority="1019" stopIfTrue="1" operator="between">
      <formula>5.1</formula>
      <formula>13</formula>
    </cfRule>
    <cfRule type="cellIs" dxfId="5401" priority="1020" stopIfTrue="1" operator="between">
      <formula>0</formula>
      <formula>5</formula>
    </cfRule>
    <cfRule type="containsBlanks" dxfId="5400" priority="1021" stopIfTrue="1">
      <formula>LEN(TRIM(E435))=0</formula>
    </cfRule>
  </conditionalFormatting>
  <conditionalFormatting sqref="E436:P442">
    <cfRule type="containsBlanks" dxfId="5399" priority="1008" stopIfTrue="1">
      <formula>LEN(TRIM(E436))=0</formula>
    </cfRule>
    <cfRule type="cellIs" dxfId="5398" priority="1009" stopIfTrue="1" operator="between">
      <formula>79.1</formula>
      <formula>100</formula>
    </cfRule>
    <cfRule type="cellIs" dxfId="5397" priority="1010" stopIfTrue="1" operator="between">
      <formula>34.1</formula>
      <formula>79</formula>
    </cfRule>
    <cfRule type="cellIs" dxfId="5396" priority="1011" stopIfTrue="1" operator="between">
      <formula>13.1</formula>
      <formula>34</formula>
    </cfRule>
    <cfRule type="cellIs" dxfId="5395" priority="1012" stopIfTrue="1" operator="between">
      <formula>5.1</formula>
      <formula>13</formula>
    </cfRule>
    <cfRule type="cellIs" dxfId="5394" priority="1013" stopIfTrue="1" operator="between">
      <formula>0</formula>
      <formula>5</formula>
    </cfRule>
    <cfRule type="containsBlanks" dxfId="5393" priority="1014" stopIfTrue="1">
      <formula>LEN(TRIM(E436))=0</formula>
    </cfRule>
  </conditionalFormatting>
  <conditionalFormatting sqref="E459:N459">
    <cfRule type="containsBlanks" dxfId="5392" priority="980" stopIfTrue="1">
      <formula>LEN(TRIM(E459))=0</formula>
    </cfRule>
    <cfRule type="cellIs" dxfId="5391" priority="981" stopIfTrue="1" operator="between">
      <formula>79.1</formula>
      <formula>100</formula>
    </cfRule>
    <cfRule type="cellIs" dxfId="5390" priority="982" stopIfTrue="1" operator="between">
      <formula>34.1</formula>
      <formula>79</formula>
    </cfRule>
    <cfRule type="cellIs" dxfId="5389" priority="983" stopIfTrue="1" operator="between">
      <formula>13.1</formula>
      <formula>34</formula>
    </cfRule>
    <cfRule type="cellIs" dxfId="5388" priority="984" stopIfTrue="1" operator="between">
      <formula>5.1</formula>
      <formula>13</formula>
    </cfRule>
    <cfRule type="cellIs" dxfId="5387" priority="985" stopIfTrue="1" operator="between">
      <formula>0</formula>
      <formula>5</formula>
    </cfRule>
    <cfRule type="containsBlanks" dxfId="5386" priority="986" stopIfTrue="1">
      <formula>LEN(TRIM(E459))=0</formula>
    </cfRule>
  </conditionalFormatting>
  <conditionalFormatting sqref="F467:H467">
    <cfRule type="containsBlanks" dxfId="5385" priority="782" stopIfTrue="1">
      <formula>LEN(TRIM(F467))=0</formula>
    </cfRule>
    <cfRule type="cellIs" dxfId="5384" priority="783" stopIfTrue="1" operator="between">
      <formula>80.1</formula>
      <formula>100</formula>
    </cfRule>
    <cfRule type="cellIs" dxfId="5383" priority="784" stopIfTrue="1" operator="between">
      <formula>35.1</formula>
      <formula>80</formula>
    </cfRule>
    <cfRule type="cellIs" dxfId="5382" priority="785" stopIfTrue="1" operator="between">
      <formula>14.1</formula>
      <formula>35</formula>
    </cfRule>
    <cfRule type="cellIs" dxfId="5381" priority="786" stopIfTrue="1" operator="between">
      <formula>5.1</formula>
      <formula>14</formula>
    </cfRule>
    <cfRule type="cellIs" dxfId="5380" priority="787" stopIfTrue="1" operator="between">
      <formula>0</formula>
      <formula>5</formula>
    </cfRule>
    <cfRule type="containsBlanks" dxfId="5379" priority="788" stopIfTrue="1">
      <formula>LEN(TRIM(F467))=0</formula>
    </cfRule>
  </conditionalFormatting>
  <conditionalFormatting sqref="Q459">
    <cfRule type="containsBlanks" dxfId="5378" priority="971" stopIfTrue="1">
      <formula>LEN(TRIM(Q459))=0</formula>
    </cfRule>
    <cfRule type="cellIs" dxfId="5377" priority="972" stopIfTrue="1" operator="between">
      <formula>80.1</formula>
      <formula>100</formula>
    </cfRule>
    <cfRule type="cellIs" dxfId="5376" priority="973" stopIfTrue="1" operator="between">
      <formula>35.1</formula>
      <formula>80</formula>
    </cfRule>
    <cfRule type="cellIs" dxfId="5375" priority="974" stopIfTrue="1" operator="between">
      <formula>14.1</formula>
      <formula>35</formula>
    </cfRule>
    <cfRule type="cellIs" dxfId="5374" priority="975" stopIfTrue="1" operator="between">
      <formula>5.1</formula>
      <formula>14</formula>
    </cfRule>
    <cfRule type="cellIs" dxfId="5373" priority="976" stopIfTrue="1" operator="between">
      <formula>0</formula>
      <formula>5</formula>
    </cfRule>
    <cfRule type="containsBlanks" dxfId="5372" priority="977" stopIfTrue="1">
      <formula>LEN(TRIM(Q459))=0</formula>
    </cfRule>
  </conditionalFormatting>
  <conditionalFormatting sqref="Q477">
    <cfRule type="containsBlanks" dxfId="5371" priority="956" stopIfTrue="1">
      <formula>LEN(TRIM(Q477))=0</formula>
    </cfRule>
    <cfRule type="cellIs" dxfId="5370" priority="957" stopIfTrue="1" operator="between">
      <formula>80.1</formula>
      <formula>100</formula>
    </cfRule>
    <cfRule type="cellIs" dxfId="5369" priority="958" stopIfTrue="1" operator="between">
      <formula>35.1</formula>
      <formula>80</formula>
    </cfRule>
    <cfRule type="cellIs" dxfId="5368" priority="959" stopIfTrue="1" operator="between">
      <formula>14.1</formula>
      <formula>35</formula>
    </cfRule>
    <cfRule type="cellIs" dxfId="5367" priority="960" stopIfTrue="1" operator="between">
      <formula>5.1</formula>
      <formula>14</formula>
    </cfRule>
    <cfRule type="cellIs" dxfId="5366" priority="961" stopIfTrue="1" operator="between">
      <formula>0</formula>
      <formula>5</formula>
    </cfRule>
    <cfRule type="containsBlanks" dxfId="5365" priority="962" stopIfTrue="1">
      <formula>LEN(TRIM(Q477))=0</formula>
    </cfRule>
  </conditionalFormatting>
  <conditionalFormatting sqref="E477:L478">
    <cfRule type="containsBlanks" dxfId="5364" priority="943" stopIfTrue="1">
      <formula>LEN(TRIM(E477))=0</formula>
    </cfRule>
    <cfRule type="cellIs" dxfId="5363" priority="944" stopIfTrue="1" operator="between">
      <formula>80.1</formula>
      <formula>100</formula>
    </cfRule>
    <cfRule type="cellIs" dxfId="5362" priority="945" stopIfTrue="1" operator="between">
      <formula>35.1</formula>
      <formula>80</formula>
    </cfRule>
    <cfRule type="cellIs" dxfId="5361" priority="946" stopIfTrue="1" operator="between">
      <formula>14.1</formula>
      <formula>35</formula>
    </cfRule>
    <cfRule type="cellIs" dxfId="5360" priority="947" stopIfTrue="1" operator="between">
      <formula>5.1</formula>
      <formula>14</formula>
    </cfRule>
    <cfRule type="cellIs" dxfId="5359" priority="948" stopIfTrue="1" operator="between">
      <formula>0</formula>
      <formula>5</formula>
    </cfRule>
    <cfRule type="containsBlanks" dxfId="5358" priority="949" stopIfTrue="1">
      <formula>LEN(TRIM(E477))=0</formula>
    </cfRule>
  </conditionalFormatting>
  <conditionalFormatting sqref="F477:J478">
    <cfRule type="containsBlanks" dxfId="5357" priority="936" stopIfTrue="1">
      <formula>LEN(TRIM(F477))=0</formula>
    </cfRule>
    <cfRule type="cellIs" dxfId="5356" priority="937" stopIfTrue="1" operator="between">
      <formula>80.1</formula>
      <formula>100</formula>
    </cfRule>
    <cfRule type="cellIs" dxfId="5355" priority="938" stopIfTrue="1" operator="between">
      <formula>35.1</formula>
      <formula>80</formula>
    </cfRule>
    <cfRule type="cellIs" dxfId="5354" priority="939" stopIfTrue="1" operator="between">
      <formula>14.1</formula>
      <formula>35</formula>
    </cfRule>
    <cfRule type="cellIs" dxfId="5353" priority="940" stopIfTrue="1" operator="between">
      <formula>5.1</formula>
      <formula>14</formula>
    </cfRule>
    <cfRule type="cellIs" dxfId="5352" priority="941" stopIfTrue="1" operator="between">
      <formula>0</formula>
      <formula>5</formula>
    </cfRule>
    <cfRule type="containsBlanks" dxfId="5351" priority="942" stopIfTrue="1">
      <formula>LEN(TRIM(F477))=0</formula>
    </cfRule>
  </conditionalFormatting>
  <conditionalFormatting sqref="E460:I460">
    <cfRule type="containsBlanks" dxfId="5350" priority="929" stopIfTrue="1">
      <formula>LEN(TRIM(E460))=0</formula>
    </cfRule>
    <cfRule type="cellIs" dxfId="5349" priority="930" stopIfTrue="1" operator="between">
      <formula>80.1</formula>
      <formula>100</formula>
    </cfRule>
    <cfRule type="cellIs" dxfId="5348" priority="931" stopIfTrue="1" operator="between">
      <formula>35.1</formula>
      <formula>80</formula>
    </cfRule>
    <cfRule type="cellIs" dxfId="5347" priority="932" stopIfTrue="1" operator="between">
      <formula>14.1</formula>
      <formula>35</formula>
    </cfRule>
    <cfRule type="cellIs" dxfId="5346" priority="933" stopIfTrue="1" operator="between">
      <formula>5.1</formula>
      <formula>14</formula>
    </cfRule>
    <cfRule type="cellIs" dxfId="5345" priority="934" stopIfTrue="1" operator="between">
      <formula>0</formula>
      <formula>5</formula>
    </cfRule>
    <cfRule type="containsBlanks" dxfId="5344" priority="935" stopIfTrue="1">
      <formula>LEN(TRIM(E460))=0</formula>
    </cfRule>
  </conditionalFormatting>
  <conditionalFormatting sqref="F460:I460">
    <cfRule type="containsBlanks" dxfId="5343" priority="922" stopIfTrue="1">
      <formula>LEN(TRIM(F460))=0</formula>
    </cfRule>
    <cfRule type="cellIs" dxfId="5342" priority="923" stopIfTrue="1" operator="between">
      <formula>80.1</formula>
      <formula>100</formula>
    </cfRule>
    <cfRule type="cellIs" dxfId="5341" priority="924" stopIfTrue="1" operator="between">
      <formula>35.1</formula>
      <formula>80</formula>
    </cfRule>
    <cfRule type="cellIs" dxfId="5340" priority="925" stopIfTrue="1" operator="between">
      <formula>14.1</formula>
      <formula>35</formula>
    </cfRule>
    <cfRule type="cellIs" dxfId="5339" priority="926" stopIfTrue="1" operator="between">
      <formula>5.1</formula>
      <formula>14</formula>
    </cfRule>
    <cfRule type="cellIs" dxfId="5338" priority="927" stopIfTrue="1" operator="between">
      <formula>0</formula>
      <formula>5</formula>
    </cfRule>
    <cfRule type="containsBlanks" dxfId="5337" priority="928" stopIfTrue="1">
      <formula>LEN(TRIM(F460))=0</formula>
    </cfRule>
  </conditionalFormatting>
  <conditionalFormatting sqref="E471:M471">
    <cfRule type="containsBlanks" dxfId="5336" priority="915" stopIfTrue="1">
      <formula>LEN(TRIM(E471))=0</formula>
    </cfRule>
    <cfRule type="cellIs" dxfId="5335" priority="916" stopIfTrue="1" operator="between">
      <formula>80.1</formula>
      <formula>100</formula>
    </cfRule>
    <cfRule type="cellIs" dxfId="5334" priority="917" stopIfTrue="1" operator="between">
      <formula>35.1</formula>
      <formula>80</formula>
    </cfRule>
    <cfRule type="cellIs" dxfId="5333" priority="918" stopIfTrue="1" operator="between">
      <formula>14.1</formula>
      <formula>35</formula>
    </cfRule>
    <cfRule type="cellIs" dxfId="5332" priority="919" stopIfTrue="1" operator="between">
      <formula>5.1</formula>
      <formula>14</formula>
    </cfRule>
    <cfRule type="cellIs" dxfId="5331" priority="920" stopIfTrue="1" operator="between">
      <formula>0</formula>
      <formula>5</formula>
    </cfRule>
    <cfRule type="containsBlanks" dxfId="5330" priority="921" stopIfTrue="1">
      <formula>LEN(TRIM(E471))=0</formula>
    </cfRule>
  </conditionalFormatting>
  <conditionalFormatting sqref="F471:J471">
    <cfRule type="containsBlanks" dxfId="5329" priority="908" stopIfTrue="1">
      <formula>LEN(TRIM(F471))=0</formula>
    </cfRule>
    <cfRule type="cellIs" dxfId="5328" priority="909" stopIfTrue="1" operator="between">
      <formula>80.1</formula>
      <formula>100</formula>
    </cfRule>
    <cfRule type="cellIs" dxfId="5327" priority="910" stopIfTrue="1" operator="between">
      <formula>35.1</formula>
      <formula>80</formula>
    </cfRule>
    <cfRule type="cellIs" dxfId="5326" priority="911" stopIfTrue="1" operator="between">
      <formula>14.1</formula>
      <formula>35</formula>
    </cfRule>
    <cfRule type="cellIs" dxfId="5325" priority="912" stopIfTrue="1" operator="between">
      <formula>5.1</formula>
      <formula>14</formula>
    </cfRule>
    <cfRule type="cellIs" dxfId="5324" priority="913" stopIfTrue="1" operator="between">
      <formula>0</formula>
      <formula>5</formula>
    </cfRule>
    <cfRule type="containsBlanks" dxfId="5323" priority="914" stopIfTrue="1">
      <formula>LEN(TRIM(F471))=0</formula>
    </cfRule>
  </conditionalFormatting>
  <conditionalFormatting sqref="M471">
    <cfRule type="containsBlanks" dxfId="5322" priority="901" stopIfTrue="1">
      <formula>LEN(TRIM(M471))=0</formula>
    </cfRule>
    <cfRule type="cellIs" dxfId="5321" priority="902" stopIfTrue="1" operator="between">
      <formula>80.1</formula>
      <formula>100</formula>
    </cfRule>
    <cfRule type="cellIs" dxfId="5320" priority="903" stopIfTrue="1" operator="between">
      <formula>35.1</formula>
      <formula>80</formula>
    </cfRule>
    <cfRule type="cellIs" dxfId="5319" priority="904" stopIfTrue="1" operator="between">
      <formula>14.1</formula>
      <formula>35</formula>
    </cfRule>
    <cfRule type="cellIs" dxfId="5318" priority="905" stopIfTrue="1" operator="between">
      <formula>5.1</formula>
      <formula>14</formula>
    </cfRule>
    <cfRule type="cellIs" dxfId="5317" priority="906" stopIfTrue="1" operator="between">
      <formula>0</formula>
      <formula>5</formula>
    </cfRule>
    <cfRule type="containsBlanks" dxfId="5316" priority="907" stopIfTrue="1">
      <formula>LEN(TRIM(M471))=0</formula>
    </cfRule>
  </conditionalFormatting>
  <conditionalFormatting sqref="E470:J470">
    <cfRule type="containsBlanks" dxfId="5315" priority="894" stopIfTrue="1">
      <formula>LEN(TRIM(E470))=0</formula>
    </cfRule>
    <cfRule type="cellIs" dxfId="5314" priority="895" stopIfTrue="1" operator="between">
      <formula>80.1</formula>
      <formula>100</formula>
    </cfRule>
    <cfRule type="cellIs" dxfId="5313" priority="896" stopIfTrue="1" operator="between">
      <formula>35.1</formula>
      <formula>80</formula>
    </cfRule>
    <cfRule type="cellIs" dxfId="5312" priority="897" stopIfTrue="1" operator="between">
      <formula>14.1</formula>
      <formula>35</formula>
    </cfRule>
    <cfRule type="cellIs" dxfId="5311" priority="898" stopIfTrue="1" operator="between">
      <formula>5.1</formula>
      <formula>14</formula>
    </cfRule>
    <cfRule type="cellIs" dxfId="5310" priority="899" stopIfTrue="1" operator="between">
      <formula>0</formula>
      <formula>5</formula>
    </cfRule>
    <cfRule type="containsBlanks" dxfId="5309" priority="900" stopIfTrue="1">
      <formula>LEN(TRIM(E470))=0</formula>
    </cfRule>
  </conditionalFormatting>
  <conditionalFormatting sqref="F470:J470">
    <cfRule type="containsBlanks" dxfId="5308" priority="887" stopIfTrue="1">
      <formula>LEN(TRIM(F470))=0</formula>
    </cfRule>
    <cfRule type="cellIs" dxfId="5307" priority="888" stopIfTrue="1" operator="between">
      <formula>80.1</formula>
      <formula>100</formula>
    </cfRule>
    <cfRule type="cellIs" dxfId="5306" priority="889" stopIfTrue="1" operator="between">
      <formula>35.1</formula>
      <formula>80</formula>
    </cfRule>
    <cfRule type="cellIs" dxfId="5305" priority="890" stopIfTrue="1" operator="between">
      <formula>14.1</formula>
      <formula>35</formula>
    </cfRule>
    <cfRule type="cellIs" dxfId="5304" priority="891" stopIfTrue="1" operator="between">
      <formula>5.1</formula>
      <formula>14</formula>
    </cfRule>
    <cfRule type="cellIs" dxfId="5303" priority="892" stopIfTrue="1" operator="between">
      <formula>0</formula>
      <formula>5</formula>
    </cfRule>
    <cfRule type="containsBlanks" dxfId="5302" priority="893" stopIfTrue="1">
      <formula>LEN(TRIM(F470))=0</formula>
    </cfRule>
  </conditionalFormatting>
  <conditionalFormatting sqref="E464:O464">
    <cfRule type="containsBlanks" dxfId="5301" priority="880" stopIfTrue="1">
      <formula>LEN(TRIM(E464))=0</formula>
    </cfRule>
    <cfRule type="cellIs" dxfId="5300" priority="881" stopIfTrue="1" operator="between">
      <formula>80.1</formula>
      <formula>100</formula>
    </cfRule>
    <cfRule type="cellIs" dxfId="5299" priority="882" stopIfTrue="1" operator="between">
      <formula>35.1</formula>
      <formula>80</formula>
    </cfRule>
    <cfRule type="cellIs" dxfId="5298" priority="883" stopIfTrue="1" operator="between">
      <formula>14.1</formula>
      <formula>35</formula>
    </cfRule>
    <cfRule type="cellIs" dxfId="5297" priority="884" stopIfTrue="1" operator="between">
      <formula>5.1</formula>
      <formula>14</formula>
    </cfRule>
    <cfRule type="cellIs" dxfId="5296" priority="885" stopIfTrue="1" operator="between">
      <formula>0</formula>
      <formula>5</formula>
    </cfRule>
    <cfRule type="containsBlanks" dxfId="5295" priority="886" stopIfTrue="1">
      <formula>LEN(TRIM(E464))=0</formula>
    </cfRule>
  </conditionalFormatting>
  <conditionalFormatting sqref="F464:J464">
    <cfRule type="containsBlanks" dxfId="5294" priority="873" stopIfTrue="1">
      <formula>LEN(TRIM(F464))=0</formula>
    </cfRule>
    <cfRule type="cellIs" dxfId="5293" priority="874" stopIfTrue="1" operator="between">
      <formula>80.1</formula>
      <formula>100</formula>
    </cfRule>
    <cfRule type="cellIs" dxfId="5292" priority="875" stopIfTrue="1" operator="between">
      <formula>35.1</formula>
      <formula>80</formula>
    </cfRule>
    <cfRule type="cellIs" dxfId="5291" priority="876" stopIfTrue="1" operator="between">
      <formula>14.1</formula>
      <formula>35</formula>
    </cfRule>
    <cfRule type="cellIs" dxfId="5290" priority="877" stopIfTrue="1" operator="between">
      <formula>5.1</formula>
      <formula>14</formula>
    </cfRule>
    <cfRule type="cellIs" dxfId="5289" priority="878" stopIfTrue="1" operator="between">
      <formula>0</formula>
      <formula>5</formula>
    </cfRule>
    <cfRule type="containsBlanks" dxfId="5288" priority="879" stopIfTrue="1">
      <formula>LEN(TRIM(F464))=0</formula>
    </cfRule>
  </conditionalFormatting>
  <conditionalFormatting sqref="N464">
    <cfRule type="containsBlanks" dxfId="5287" priority="866" stopIfTrue="1">
      <formula>LEN(TRIM(N464))=0</formula>
    </cfRule>
    <cfRule type="cellIs" dxfId="5286" priority="867" stopIfTrue="1" operator="between">
      <formula>80.1</formula>
      <formula>100</formula>
    </cfRule>
    <cfRule type="cellIs" dxfId="5285" priority="868" stopIfTrue="1" operator="between">
      <formula>35.1</formula>
      <formula>80</formula>
    </cfRule>
    <cfRule type="cellIs" dxfId="5284" priority="869" stopIfTrue="1" operator="between">
      <formula>14.1</formula>
      <formula>35</formula>
    </cfRule>
    <cfRule type="cellIs" dxfId="5283" priority="870" stopIfTrue="1" operator="between">
      <formula>5.1</formula>
      <formula>14</formula>
    </cfRule>
    <cfRule type="cellIs" dxfId="5282" priority="871" stopIfTrue="1" operator="between">
      <formula>0</formula>
      <formula>5</formula>
    </cfRule>
    <cfRule type="containsBlanks" dxfId="5281" priority="872" stopIfTrue="1">
      <formula>LEN(TRIM(N464))=0</formula>
    </cfRule>
  </conditionalFormatting>
  <conditionalFormatting sqref="E462:I462">
    <cfRule type="containsBlanks" dxfId="5280" priority="859" stopIfTrue="1">
      <formula>LEN(TRIM(E462))=0</formula>
    </cfRule>
    <cfRule type="cellIs" dxfId="5279" priority="860" stopIfTrue="1" operator="between">
      <formula>80.1</formula>
      <formula>100</formula>
    </cfRule>
    <cfRule type="cellIs" dxfId="5278" priority="861" stopIfTrue="1" operator="between">
      <formula>35.1</formula>
      <formula>80</formula>
    </cfRule>
    <cfRule type="cellIs" dxfId="5277" priority="862" stopIfTrue="1" operator="between">
      <formula>14.1</formula>
      <formula>35</formula>
    </cfRule>
    <cfRule type="cellIs" dxfId="5276" priority="863" stopIfTrue="1" operator="between">
      <formula>5.1</formula>
      <formula>14</formula>
    </cfRule>
    <cfRule type="cellIs" dxfId="5275" priority="864" stopIfTrue="1" operator="between">
      <formula>0</formula>
      <formula>5</formula>
    </cfRule>
    <cfRule type="containsBlanks" dxfId="5274" priority="865" stopIfTrue="1">
      <formula>LEN(TRIM(E462))=0</formula>
    </cfRule>
  </conditionalFormatting>
  <conditionalFormatting sqref="F462:I462">
    <cfRule type="containsBlanks" dxfId="5273" priority="852" stopIfTrue="1">
      <formula>LEN(TRIM(F462))=0</formula>
    </cfRule>
    <cfRule type="cellIs" dxfId="5272" priority="853" stopIfTrue="1" operator="between">
      <formula>80.1</formula>
      <formula>100</formula>
    </cfRule>
    <cfRule type="cellIs" dxfId="5271" priority="854" stopIfTrue="1" operator="between">
      <formula>35.1</formula>
      <formula>80</formula>
    </cfRule>
    <cfRule type="cellIs" dxfId="5270" priority="855" stopIfTrue="1" operator="between">
      <formula>14.1</formula>
      <formula>35</formula>
    </cfRule>
    <cfRule type="cellIs" dxfId="5269" priority="856" stopIfTrue="1" operator="between">
      <formula>5.1</formula>
      <formula>14</formula>
    </cfRule>
    <cfRule type="cellIs" dxfId="5268" priority="857" stopIfTrue="1" operator="between">
      <formula>0</formula>
      <formula>5</formula>
    </cfRule>
    <cfRule type="containsBlanks" dxfId="5267" priority="858" stopIfTrue="1">
      <formula>LEN(TRIM(F462))=0</formula>
    </cfRule>
  </conditionalFormatting>
  <conditionalFormatting sqref="E461:L461">
    <cfRule type="containsBlanks" dxfId="5266" priority="845" stopIfTrue="1">
      <formula>LEN(TRIM(E461))=0</formula>
    </cfRule>
    <cfRule type="cellIs" dxfId="5265" priority="846" stopIfTrue="1" operator="between">
      <formula>80.1</formula>
      <formula>100</formula>
    </cfRule>
    <cfRule type="cellIs" dxfId="5264" priority="847" stopIfTrue="1" operator="between">
      <formula>35.1</formula>
      <formula>80</formula>
    </cfRule>
    <cfRule type="cellIs" dxfId="5263" priority="848" stopIfTrue="1" operator="between">
      <formula>14.1</formula>
      <formula>35</formula>
    </cfRule>
    <cfRule type="cellIs" dxfId="5262" priority="849" stopIfTrue="1" operator="between">
      <formula>5.1</formula>
      <formula>14</formula>
    </cfRule>
    <cfRule type="cellIs" dxfId="5261" priority="850" stopIfTrue="1" operator="between">
      <formula>0</formula>
      <formula>5</formula>
    </cfRule>
    <cfRule type="containsBlanks" dxfId="5260" priority="851" stopIfTrue="1">
      <formula>LEN(TRIM(E461))=0</formula>
    </cfRule>
  </conditionalFormatting>
  <conditionalFormatting sqref="F461:J461">
    <cfRule type="containsBlanks" dxfId="5259" priority="838" stopIfTrue="1">
      <formula>LEN(TRIM(F461))=0</formula>
    </cfRule>
    <cfRule type="cellIs" dxfId="5258" priority="839" stopIfTrue="1" operator="between">
      <formula>80.1</formula>
      <formula>100</formula>
    </cfRule>
    <cfRule type="cellIs" dxfId="5257" priority="840" stopIfTrue="1" operator="between">
      <formula>35.1</formula>
      <formula>80</formula>
    </cfRule>
    <cfRule type="cellIs" dxfId="5256" priority="841" stopIfTrue="1" operator="between">
      <formula>14.1</formula>
      <formula>35</formula>
    </cfRule>
    <cfRule type="cellIs" dxfId="5255" priority="842" stopIfTrue="1" operator="between">
      <formula>5.1</formula>
      <formula>14</formula>
    </cfRule>
    <cfRule type="cellIs" dxfId="5254" priority="843" stopIfTrue="1" operator="between">
      <formula>0</formula>
      <formula>5</formula>
    </cfRule>
    <cfRule type="containsBlanks" dxfId="5253" priority="844" stopIfTrue="1">
      <formula>LEN(TRIM(F461))=0</formula>
    </cfRule>
  </conditionalFormatting>
  <conditionalFormatting sqref="K461">
    <cfRule type="containsBlanks" dxfId="5252" priority="831" stopIfTrue="1">
      <formula>LEN(TRIM(K461))=0</formula>
    </cfRule>
    <cfRule type="cellIs" dxfId="5251" priority="832" stopIfTrue="1" operator="between">
      <formula>80.1</formula>
      <formula>100</formula>
    </cfRule>
    <cfRule type="cellIs" dxfId="5250" priority="833" stopIfTrue="1" operator="between">
      <formula>35.1</formula>
      <formula>80</formula>
    </cfRule>
    <cfRule type="cellIs" dxfId="5249" priority="834" stopIfTrue="1" operator="between">
      <formula>14.1</formula>
      <formula>35</formula>
    </cfRule>
    <cfRule type="cellIs" dxfId="5248" priority="835" stopIfTrue="1" operator="between">
      <formula>5.1</formula>
      <formula>14</formula>
    </cfRule>
    <cfRule type="cellIs" dxfId="5247" priority="836" stopIfTrue="1" operator="between">
      <formula>0</formula>
      <formula>5</formula>
    </cfRule>
    <cfRule type="containsBlanks" dxfId="5246" priority="837" stopIfTrue="1">
      <formula>LEN(TRIM(K461))=0</formula>
    </cfRule>
  </conditionalFormatting>
  <conditionalFormatting sqref="E475:M475">
    <cfRule type="containsBlanks" dxfId="5245" priority="824" stopIfTrue="1">
      <formula>LEN(TRIM(E475))=0</formula>
    </cfRule>
    <cfRule type="cellIs" dxfId="5244" priority="825" stopIfTrue="1" operator="between">
      <formula>80.1</formula>
      <formula>100</formula>
    </cfRule>
    <cfRule type="cellIs" dxfId="5243" priority="826" stopIfTrue="1" operator="between">
      <formula>35.1</formula>
      <formula>80</formula>
    </cfRule>
    <cfRule type="cellIs" dxfId="5242" priority="827" stopIfTrue="1" operator="between">
      <formula>14.1</formula>
      <formula>35</formula>
    </cfRule>
    <cfRule type="cellIs" dxfId="5241" priority="828" stopIfTrue="1" operator="between">
      <formula>5.1</formula>
      <formula>14</formula>
    </cfRule>
    <cfRule type="cellIs" dxfId="5240" priority="829" stopIfTrue="1" operator="between">
      <formula>0</formula>
      <formula>5</formula>
    </cfRule>
    <cfRule type="containsBlanks" dxfId="5239" priority="830" stopIfTrue="1">
      <formula>LEN(TRIM(E475))=0</formula>
    </cfRule>
  </conditionalFormatting>
  <conditionalFormatting sqref="F475:J475">
    <cfRule type="containsBlanks" dxfId="5238" priority="817" stopIfTrue="1">
      <formula>LEN(TRIM(F475))=0</formula>
    </cfRule>
    <cfRule type="cellIs" dxfId="5237" priority="818" stopIfTrue="1" operator="between">
      <formula>80.1</formula>
      <formula>100</formula>
    </cfRule>
    <cfRule type="cellIs" dxfId="5236" priority="819" stopIfTrue="1" operator="between">
      <formula>35.1</formula>
      <formula>80</formula>
    </cfRule>
    <cfRule type="cellIs" dxfId="5235" priority="820" stopIfTrue="1" operator="between">
      <formula>14.1</formula>
      <formula>35</formula>
    </cfRule>
    <cfRule type="cellIs" dxfId="5234" priority="821" stopIfTrue="1" operator="between">
      <formula>5.1</formula>
      <formula>14</formula>
    </cfRule>
    <cfRule type="cellIs" dxfId="5233" priority="822" stopIfTrue="1" operator="between">
      <formula>0</formula>
      <formula>5</formula>
    </cfRule>
    <cfRule type="containsBlanks" dxfId="5232" priority="823" stopIfTrue="1">
      <formula>LEN(TRIM(F475))=0</formula>
    </cfRule>
  </conditionalFormatting>
  <conditionalFormatting sqref="L475">
    <cfRule type="containsBlanks" dxfId="5231" priority="810" stopIfTrue="1">
      <formula>LEN(TRIM(L475))=0</formula>
    </cfRule>
    <cfRule type="cellIs" dxfId="5230" priority="811" stopIfTrue="1" operator="between">
      <formula>80.1</formula>
      <formula>100</formula>
    </cfRule>
    <cfRule type="cellIs" dxfId="5229" priority="812" stopIfTrue="1" operator="between">
      <formula>35.1</formula>
      <formula>80</formula>
    </cfRule>
    <cfRule type="cellIs" dxfId="5228" priority="813" stopIfTrue="1" operator="between">
      <formula>14.1</formula>
      <formula>35</formula>
    </cfRule>
    <cfRule type="cellIs" dxfId="5227" priority="814" stopIfTrue="1" operator="between">
      <formula>5.1</formula>
      <formula>14</formula>
    </cfRule>
    <cfRule type="cellIs" dxfId="5226" priority="815" stopIfTrue="1" operator="between">
      <formula>0</formula>
      <formula>5</formula>
    </cfRule>
    <cfRule type="containsBlanks" dxfId="5225" priority="816" stopIfTrue="1">
      <formula>LEN(TRIM(L475))=0</formula>
    </cfRule>
  </conditionalFormatting>
  <conditionalFormatting sqref="E465:I465">
    <cfRule type="containsBlanks" dxfId="5224" priority="803" stopIfTrue="1">
      <formula>LEN(TRIM(E465))=0</formula>
    </cfRule>
    <cfRule type="cellIs" dxfId="5223" priority="804" stopIfTrue="1" operator="between">
      <formula>80.1</formula>
      <formula>100</formula>
    </cfRule>
    <cfRule type="cellIs" dxfId="5222" priority="805" stopIfTrue="1" operator="between">
      <formula>35.1</formula>
      <formula>80</formula>
    </cfRule>
    <cfRule type="cellIs" dxfId="5221" priority="806" stopIfTrue="1" operator="between">
      <formula>14.1</formula>
      <formula>35</formula>
    </cfRule>
    <cfRule type="cellIs" dxfId="5220" priority="807" stopIfTrue="1" operator="between">
      <formula>5.1</formula>
      <formula>14</formula>
    </cfRule>
    <cfRule type="cellIs" dxfId="5219" priority="808" stopIfTrue="1" operator="between">
      <formula>0</formula>
      <formula>5</formula>
    </cfRule>
    <cfRule type="containsBlanks" dxfId="5218" priority="809" stopIfTrue="1">
      <formula>LEN(TRIM(E465))=0</formula>
    </cfRule>
  </conditionalFormatting>
  <conditionalFormatting sqref="F465:I465">
    <cfRule type="containsBlanks" dxfId="5217" priority="796" stopIfTrue="1">
      <formula>LEN(TRIM(F465))=0</formula>
    </cfRule>
    <cfRule type="cellIs" dxfId="5216" priority="797" stopIfTrue="1" operator="between">
      <formula>80.1</formula>
      <formula>100</formula>
    </cfRule>
    <cfRule type="cellIs" dxfId="5215" priority="798" stopIfTrue="1" operator="between">
      <formula>35.1</formula>
      <formula>80</formula>
    </cfRule>
    <cfRule type="cellIs" dxfId="5214" priority="799" stopIfTrue="1" operator="between">
      <formula>14.1</formula>
      <formula>35</formula>
    </cfRule>
    <cfRule type="cellIs" dxfId="5213" priority="800" stopIfTrue="1" operator="between">
      <formula>5.1</formula>
      <formula>14</formula>
    </cfRule>
    <cfRule type="cellIs" dxfId="5212" priority="801" stopIfTrue="1" operator="between">
      <formula>0</formula>
      <formula>5</formula>
    </cfRule>
    <cfRule type="containsBlanks" dxfId="5211" priority="802" stopIfTrue="1">
      <formula>LEN(TRIM(F465))=0</formula>
    </cfRule>
  </conditionalFormatting>
  <conditionalFormatting sqref="E467:H467">
    <cfRule type="containsBlanks" dxfId="5210" priority="789" stopIfTrue="1">
      <formula>LEN(TRIM(E467))=0</formula>
    </cfRule>
    <cfRule type="cellIs" dxfId="5209" priority="790" stopIfTrue="1" operator="between">
      <formula>80.1</formula>
      <formula>100</formula>
    </cfRule>
    <cfRule type="cellIs" dxfId="5208" priority="791" stopIfTrue="1" operator="between">
      <formula>35.1</formula>
      <formula>80</formula>
    </cfRule>
    <cfRule type="cellIs" dxfId="5207" priority="792" stopIfTrue="1" operator="between">
      <formula>14.1</formula>
      <formula>35</formula>
    </cfRule>
    <cfRule type="cellIs" dxfId="5206" priority="793" stopIfTrue="1" operator="between">
      <formula>5.1</formula>
      <formula>14</formula>
    </cfRule>
    <cfRule type="cellIs" dxfId="5205" priority="794" stopIfTrue="1" operator="between">
      <formula>0</formula>
      <formula>5</formula>
    </cfRule>
    <cfRule type="containsBlanks" dxfId="5204" priority="795" stopIfTrue="1">
      <formula>LEN(TRIM(E467))=0</formula>
    </cfRule>
  </conditionalFormatting>
  <conditionalFormatting sqref="E463:J463">
    <cfRule type="containsBlanks" dxfId="5203" priority="775" stopIfTrue="1">
      <formula>LEN(TRIM(E463))=0</formula>
    </cfRule>
    <cfRule type="cellIs" dxfId="5202" priority="776" stopIfTrue="1" operator="between">
      <formula>80.1</formula>
      <formula>100</formula>
    </cfRule>
    <cfRule type="cellIs" dxfId="5201" priority="777" stopIfTrue="1" operator="between">
      <formula>35.1</formula>
      <formula>80</formula>
    </cfRule>
    <cfRule type="cellIs" dxfId="5200" priority="778" stopIfTrue="1" operator="between">
      <formula>14.1</formula>
      <formula>35</formula>
    </cfRule>
    <cfRule type="cellIs" dxfId="5199" priority="779" stopIfTrue="1" operator="between">
      <formula>5.1</formula>
      <formula>14</formula>
    </cfRule>
    <cfRule type="cellIs" dxfId="5198" priority="780" stopIfTrue="1" operator="between">
      <formula>0</formula>
      <formula>5</formula>
    </cfRule>
    <cfRule type="containsBlanks" dxfId="5197" priority="781" stopIfTrue="1">
      <formula>LEN(TRIM(E463))=0</formula>
    </cfRule>
  </conditionalFormatting>
  <conditionalFormatting sqref="F463:J463">
    <cfRule type="containsBlanks" dxfId="5196" priority="768" stopIfTrue="1">
      <formula>LEN(TRIM(F463))=0</formula>
    </cfRule>
    <cfRule type="cellIs" dxfId="5195" priority="769" stopIfTrue="1" operator="between">
      <formula>80.1</formula>
      <formula>100</formula>
    </cfRule>
    <cfRule type="cellIs" dxfId="5194" priority="770" stopIfTrue="1" operator="between">
      <formula>35.1</formula>
      <formula>80</formula>
    </cfRule>
    <cfRule type="cellIs" dxfId="5193" priority="771" stopIfTrue="1" operator="between">
      <formula>14.1</formula>
      <formula>35</formula>
    </cfRule>
    <cfRule type="cellIs" dxfId="5192" priority="772" stopIfTrue="1" operator="between">
      <formula>5.1</formula>
      <formula>14</formula>
    </cfRule>
    <cfRule type="cellIs" dxfId="5191" priority="773" stopIfTrue="1" operator="between">
      <formula>0</formula>
      <formula>5</formula>
    </cfRule>
    <cfRule type="containsBlanks" dxfId="5190" priority="774" stopIfTrue="1">
      <formula>LEN(TRIM(F463))=0</formula>
    </cfRule>
  </conditionalFormatting>
  <conditionalFormatting sqref="E468:O468">
    <cfRule type="containsBlanks" dxfId="5189" priority="761" stopIfTrue="1">
      <formula>LEN(TRIM(E468))=0</formula>
    </cfRule>
    <cfRule type="cellIs" dxfId="5188" priority="762" stopIfTrue="1" operator="between">
      <formula>80.1</formula>
      <formula>100</formula>
    </cfRule>
    <cfRule type="cellIs" dxfId="5187" priority="763" stopIfTrue="1" operator="between">
      <formula>35.1</formula>
      <formula>80</formula>
    </cfRule>
    <cfRule type="cellIs" dxfId="5186" priority="764" stopIfTrue="1" operator="between">
      <formula>14.1</formula>
      <formula>35</formula>
    </cfRule>
    <cfRule type="cellIs" dxfId="5185" priority="765" stopIfTrue="1" operator="between">
      <formula>5.1</formula>
      <formula>14</formula>
    </cfRule>
    <cfRule type="cellIs" dxfId="5184" priority="766" stopIfTrue="1" operator="between">
      <formula>0</formula>
      <formula>5</formula>
    </cfRule>
    <cfRule type="containsBlanks" dxfId="5183" priority="767" stopIfTrue="1">
      <formula>LEN(TRIM(E468))=0</formula>
    </cfRule>
  </conditionalFormatting>
  <conditionalFormatting sqref="F468:J468">
    <cfRule type="containsBlanks" dxfId="5182" priority="754" stopIfTrue="1">
      <formula>LEN(TRIM(F468))=0</formula>
    </cfRule>
    <cfRule type="cellIs" dxfId="5181" priority="755" stopIfTrue="1" operator="between">
      <formula>80.1</formula>
      <formula>100</formula>
    </cfRule>
    <cfRule type="cellIs" dxfId="5180" priority="756" stopIfTrue="1" operator="between">
      <formula>35.1</formula>
      <formula>80</formula>
    </cfRule>
    <cfRule type="cellIs" dxfId="5179" priority="757" stopIfTrue="1" operator="between">
      <formula>14.1</formula>
      <formula>35</formula>
    </cfRule>
    <cfRule type="cellIs" dxfId="5178" priority="758" stopIfTrue="1" operator="between">
      <formula>5.1</formula>
      <formula>14</formula>
    </cfRule>
    <cfRule type="cellIs" dxfId="5177" priority="759" stopIfTrue="1" operator="between">
      <formula>0</formula>
      <formula>5</formula>
    </cfRule>
    <cfRule type="containsBlanks" dxfId="5176" priority="760" stopIfTrue="1">
      <formula>LEN(TRIM(F468))=0</formula>
    </cfRule>
  </conditionalFormatting>
  <conditionalFormatting sqref="N468">
    <cfRule type="containsBlanks" dxfId="5175" priority="747" stopIfTrue="1">
      <formula>LEN(TRIM(N468))=0</formula>
    </cfRule>
    <cfRule type="cellIs" dxfId="5174" priority="748" stopIfTrue="1" operator="between">
      <formula>80.1</formula>
      <formula>100</formula>
    </cfRule>
    <cfRule type="cellIs" dxfId="5173" priority="749" stopIfTrue="1" operator="between">
      <formula>35.1</formula>
      <formula>80</formula>
    </cfRule>
    <cfRule type="cellIs" dxfId="5172" priority="750" stopIfTrue="1" operator="between">
      <formula>14.1</formula>
      <formula>35</formula>
    </cfRule>
    <cfRule type="cellIs" dxfId="5171" priority="751" stopIfTrue="1" operator="between">
      <formula>5.1</formula>
      <formula>14</formula>
    </cfRule>
    <cfRule type="cellIs" dxfId="5170" priority="752" stopIfTrue="1" operator="between">
      <formula>0</formula>
      <formula>5</formula>
    </cfRule>
    <cfRule type="containsBlanks" dxfId="5169" priority="753" stopIfTrue="1">
      <formula>LEN(TRIM(N468))=0</formula>
    </cfRule>
  </conditionalFormatting>
  <conditionalFormatting sqref="E466:J466">
    <cfRule type="containsBlanks" dxfId="5168" priority="740" stopIfTrue="1">
      <formula>LEN(TRIM(E466))=0</formula>
    </cfRule>
    <cfRule type="cellIs" dxfId="5167" priority="741" stopIfTrue="1" operator="between">
      <formula>80.1</formula>
      <formula>100</formula>
    </cfRule>
    <cfRule type="cellIs" dxfId="5166" priority="742" stopIfTrue="1" operator="between">
      <formula>35.1</formula>
      <formula>80</formula>
    </cfRule>
    <cfRule type="cellIs" dxfId="5165" priority="743" stopIfTrue="1" operator="between">
      <formula>14.1</formula>
      <formula>35</formula>
    </cfRule>
    <cfRule type="cellIs" dxfId="5164" priority="744" stopIfTrue="1" operator="between">
      <formula>5.1</formula>
      <formula>14</formula>
    </cfRule>
    <cfRule type="cellIs" dxfId="5163" priority="745" stopIfTrue="1" operator="between">
      <formula>0</formula>
      <formula>5</formula>
    </cfRule>
    <cfRule type="containsBlanks" dxfId="5162" priority="746" stopIfTrue="1">
      <formula>LEN(TRIM(E466))=0</formula>
    </cfRule>
  </conditionalFormatting>
  <conditionalFormatting sqref="F466:J466">
    <cfRule type="containsBlanks" dxfId="5161" priority="733" stopIfTrue="1">
      <formula>LEN(TRIM(F466))=0</formula>
    </cfRule>
    <cfRule type="cellIs" dxfId="5160" priority="734" stopIfTrue="1" operator="between">
      <formula>80.1</formula>
      <formula>100</formula>
    </cfRule>
    <cfRule type="cellIs" dxfId="5159" priority="735" stopIfTrue="1" operator="between">
      <formula>35.1</formula>
      <formula>80</formula>
    </cfRule>
    <cfRule type="cellIs" dxfId="5158" priority="736" stopIfTrue="1" operator="between">
      <formula>14.1</formula>
      <formula>35</formula>
    </cfRule>
    <cfRule type="cellIs" dxfId="5157" priority="737" stopIfTrue="1" operator="between">
      <formula>5.1</formula>
      <formula>14</formula>
    </cfRule>
    <cfRule type="cellIs" dxfId="5156" priority="738" stopIfTrue="1" operator="between">
      <formula>0</formula>
      <formula>5</formula>
    </cfRule>
    <cfRule type="containsBlanks" dxfId="5155" priority="739" stopIfTrue="1">
      <formula>LEN(TRIM(F466))=0</formula>
    </cfRule>
  </conditionalFormatting>
  <conditionalFormatting sqref="E472:L472">
    <cfRule type="containsBlanks" dxfId="5154" priority="726" stopIfTrue="1">
      <formula>LEN(TRIM(E472))=0</formula>
    </cfRule>
    <cfRule type="cellIs" dxfId="5153" priority="727" stopIfTrue="1" operator="between">
      <formula>80.1</formula>
      <formula>100</formula>
    </cfRule>
    <cfRule type="cellIs" dxfId="5152" priority="728" stopIfTrue="1" operator="between">
      <formula>35.1</formula>
      <formula>80</formula>
    </cfRule>
    <cfRule type="cellIs" dxfId="5151" priority="729" stopIfTrue="1" operator="between">
      <formula>14.1</formula>
      <formula>35</formula>
    </cfRule>
    <cfRule type="cellIs" dxfId="5150" priority="730" stopIfTrue="1" operator="between">
      <formula>5.1</formula>
      <formula>14</formula>
    </cfRule>
    <cfRule type="cellIs" dxfId="5149" priority="731" stopIfTrue="1" operator="between">
      <formula>0</formula>
      <formula>5</formula>
    </cfRule>
    <cfRule type="containsBlanks" dxfId="5148" priority="732" stopIfTrue="1">
      <formula>LEN(TRIM(E472))=0</formula>
    </cfRule>
  </conditionalFormatting>
  <conditionalFormatting sqref="F472:J472">
    <cfRule type="containsBlanks" dxfId="5147" priority="719" stopIfTrue="1">
      <formula>LEN(TRIM(F472))=0</formula>
    </cfRule>
    <cfRule type="cellIs" dxfId="5146" priority="720" stopIfTrue="1" operator="between">
      <formula>80.1</formula>
      <formula>100</formula>
    </cfRule>
    <cfRule type="cellIs" dxfId="5145" priority="721" stopIfTrue="1" operator="between">
      <formula>35.1</formula>
      <formula>80</formula>
    </cfRule>
    <cfRule type="cellIs" dxfId="5144" priority="722" stopIfTrue="1" operator="between">
      <formula>14.1</formula>
      <formula>35</formula>
    </cfRule>
    <cfRule type="cellIs" dxfId="5143" priority="723" stopIfTrue="1" operator="between">
      <formula>5.1</formula>
      <formula>14</formula>
    </cfRule>
    <cfRule type="cellIs" dxfId="5142" priority="724" stopIfTrue="1" operator="between">
      <formula>0</formula>
      <formula>5</formula>
    </cfRule>
    <cfRule type="containsBlanks" dxfId="5141" priority="725" stopIfTrue="1">
      <formula>LEN(TRIM(F472))=0</formula>
    </cfRule>
  </conditionalFormatting>
  <conditionalFormatting sqref="L472">
    <cfRule type="containsBlanks" dxfId="5140" priority="712" stopIfTrue="1">
      <formula>LEN(TRIM(L472))=0</formula>
    </cfRule>
    <cfRule type="cellIs" dxfId="5139" priority="713" stopIfTrue="1" operator="between">
      <formula>80.1</formula>
      <formula>100</formula>
    </cfRule>
    <cfRule type="cellIs" dxfId="5138" priority="714" stopIfTrue="1" operator="between">
      <formula>35.1</formula>
      <formula>80</formula>
    </cfRule>
    <cfRule type="cellIs" dxfId="5137" priority="715" stopIfTrue="1" operator="between">
      <formula>14.1</formula>
      <formula>35</formula>
    </cfRule>
    <cfRule type="cellIs" dxfId="5136" priority="716" stopIfTrue="1" operator="between">
      <formula>5.1</formula>
      <formula>14</formula>
    </cfRule>
    <cfRule type="cellIs" dxfId="5135" priority="717" stopIfTrue="1" operator="between">
      <formula>0</formula>
      <formula>5</formula>
    </cfRule>
    <cfRule type="containsBlanks" dxfId="5134" priority="718" stopIfTrue="1">
      <formula>LEN(TRIM(L472))=0</formula>
    </cfRule>
  </conditionalFormatting>
  <conditionalFormatting sqref="E479:I479">
    <cfRule type="containsBlanks" dxfId="5133" priority="705" stopIfTrue="1">
      <formula>LEN(TRIM(E479))=0</formula>
    </cfRule>
    <cfRule type="cellIs" dxfId="5132" priority="706" stopIfTrue="1" operator="between">
      <formula>80.1</formula>
      <formula>100</formula>
    </cfRule>
    <cfRule type="cellIs" dxfId="5131" priority="707" stopIfTrue="1" operator="between">
      <formula>35.1</formula>
      <formula>80</formula>
    </cfRule>
    <cfRule type="cellIs" dxfId="5130" priority="708" stopIfTrue="1" operator="between">
      <formula>14.1</formula>
      <formula>35</formula>
    </cfRule>
    <cfRule type="cellIs" dxfId="5129" priority="709" stopIfTrue="1" operator="between">
      <formula>5.1</formula>
      <formula>14</formula>
    </cfRule>
    <cfRule type="cellIs" dxfId="5128" priority="710" stopIfTrue="1" operator="between">
      <formula>0</formula>
      <formula>5</formula>
    </cfRule>
    <cfRule type="containsBlanks" dxfId="5127" priority="711" stopIfTrue="1">
      <formula>LEN(TRIM(E479))=0</formula>
    </cfRule>
  </conditionalFormatting>
  <conditionalFormatting sqref="F479:I479">
    <cfRule type="containsBlanks" dxfId="5126" priority="698" stopIfTrue="1">
      <formula>LEN(TRIM(F479))=0</formula>
    </cfRule>
    <cfRule type="cellIs" dxfId="5125" priority="699" stopIfTrue="1" operator="between">
      <formula>80.1</formula>
      <formula>100</formula>
    </cfRule>
    <cfRule type="cellIs" dxfId="5124" priority="700" stopIfTrue="1" operator="between">
      <formula>35.1</formula>
      <formula>80</formula>
    </cfRule>
    <cfRule type="cellIs" dxfId="5123" priority="701" stopIfTrue="1" operator="between">
      <formula>14.1</formula>
      <formula>35</formula>
    </cfRule>
    <cfRule type="cellIs" dxfId="5122" priority="702" stopIfTrue="1" operator="between">
      <formula>5.1</formula>
      <formula>14</formula>
    </cfRule>
    <cfRule type="cellIs" dxfId="5121" priority="703" stopIfTrue="1" operator="between">
      <formula>0</formula>
      <formula>5</formula>
    </cfRule>
    <cfRule type="containsBlanks" dxfId="5120" priority="704" stopIfTrue="1">
      <formula>LEN(TRIM(F479))=0</formula>
    </cfRule>
  </conditionalFormatting>
  <conditionalFormatting sqref="Q478">
    <cfRule type="containsBlanks" dxfId="5119" priority="689" stopIfTrue="1">
      <formula>LEN(TRIM(Q478))=0</formula>
    </cfRule>
    <cfRule type="cellIs" dxfId="5118" priority="690" stopIfTrue="1" operator="between">
      <formula>80.1</formula>
      <formula>100</formula>
    </cfRule>
    <cfRule type="cellIs" dxfId="5117" priority="691" stopIfTrue="1" operator="between">
      <formula>35.1</formula>
      <formula>80</formula>
    </cfRule>
    <cfRule type="cellIs" dxfId="5116" priority="692" stopIfTrue="1" operator="between">
      <formula>14.1</formula>
      <formula>35</formula>
    </cfRule>
    <cfRule type="cellIs" dxfId="5115" priority="693" stopIfTrue="1" operator="between">
      <formula>5.1</formula>
      <formula>14</formula>
    </cfRule>
    <cfRule type="cellIs" dxfId="5114" priority="694" stopIfTrue="1" operator="between">
      <formula>0</formula>
      <formula>5</formula>
    </cfRule>
    <cfRule type="containsBlanks" dxfId="5113" priority="695" stopIfTrue="1">
      <formula>LEN(TRIM(Q478))=0</formula>
    </cfRule>
  </conditionalFormatting>
  <conditionalFormatting sqref="E257 I257:N257">
    <cfRule type="containsBlanks" dxfId="5112" priority="676" stopIfTrue="1">
      <formula>LEN(TRIM(E257))=0</formula>
    </cfRule>
    <cfRule type="cellIs" dxfId="5111" priority="677" stopIfTrue="1" operator="between">
      <formula>80.1</formula>
      <formula>100</formula>
    </cfRule>
    <cfRule type="cellIs" dxfId="5110" priority="678" stopIfTrue="1" operator="between">
      <formula>35.1</formula>
      <formula>80</formula>
    </cfRule>
    <cfRule type="cellIs" dxfId="5109" priority="679" stopIfTrue="1" operator="between">
      <formula>14.1</formula>
      <formula>35</formula>
    </cfRule>
    <cfRule type="cellIs" dxfId="5108" priority="680" stopIfTrue="1" operator="between">
      <formula>5.1</formula>
      <formula>14</formula>
    </cfRule>
    <cfRule type="cellIs" dxfId="5107" priority="681" stopIfTrue="1" operator="between">
      <formula>0</formula>
      <formula>5</formula>
    </cfRule>
    <cfRule type="containsBlanks" dxfId="5106" priority="682" stopIfTrue="1">
      <formula>LEN(TRIM(E257))=0</formula>
    </cfRule>
  </conditionalFormatting>
  <conditionalFormatting sqref="F257:H257">
    <cfRule type="containsBlanks" dxfId="5105" priority="669" stopIfTrue="1">
      <formula>LEN(TRIM(F257))=0</formula>
    </cfRule>
    <cfRule type="cellIs" dxfId="5104" priority="670" stopIfTrue="1" operator="between">
      <formula>80.1</formula>
      <formula>100</formula>
    </cfRule>
    <cfRule type="cellIs" dxfId="5103" priority="671" stopIfTrue="1" operator="between">
      <formula>35.1</formula>
      <formula>80</formula>
    </cfRule>
    <cfRule type="cellIs" dxfId="5102" priority="672" stopIfTrue="1" operator="between">
      <formula>14.1</formula>
      <formula>35</formula>
    </cfRule>
    <cfRule type="cellIs" dxfId="5101" priority="673" stopIfTrue="1" operator="between">
      <formula>5.1</formula>
      <formula>14</formula>
    </cfRule>
    <cfRule type="cellIs" dxfId="5100" priority="674" stopIfTrue="1" operator="between">
      <formula>0</formula>
      <formula>5</formula>
    </cfRule>
    <cfRule type="containsBlanks" dxfId="5099" priority="675" stopIfTrue="1">
      <formula>LEN(TRIM(F257))=0</formula>
    </cfRule>
  </conditionalFormatting>
  <conditionalFormatting sqref="E258 I258:P258">
    <cfRule type="containsBlanks" dxfId="5098" priority="662" stopIfTrue="1">
      <formula>LEN(TRIM(E258))=0</formula>
    </cfRule>
    <cfRule type="cellIs" dxfId="5097" priority="663" stopIfTrue="1" operator="between">
      <formula>80.1</formula>
      <formula>100</formula>
    </cfRule>
    <cfRule type="cellIs" dxfId="5096" priority="664" stopIfTrue="1" operator="between">
      <formula>35.1</formula>
      <formula>80</formula>
    </cfRule>
    <cfRule type="cellIs" dxfId="5095" priority="665" stopIfTrue="1" operator="between">
      <formula>14.1</formula>
      <formula>35</formula>
    </cfRule>
    <cfRule type="cellIs" dxfId="5094" priority="666" stopIfTrue="1" operator="between">
      <formula>5.1</formula>
      <formula>14</formula>
    </cfRule>
    <cfRule type="cellIs" dxfId="5093" priority="667" stopIfTrue="1" operator="between">
      <formula>0</formula>
      <formula>5</formula>
    </cfRule>
    <cfRule type="containsBlanks" dxfId="5092" priority="668" stopIfTrue="1">
      <formula>LEN(TRIM(E258))=0</formula>
    </cfRule>
  </conditionalFormatting>
  <conditionalFormatting sqref="F258:H258">
    <cfRule type="containsBlanks" dxfId="5091" priority="655" stopIfTrue="1">
      <formula>LEN(TRIM(F258))=0</formula>
    </cfRule>
    <cfRule type="cellIs" dxfId="5090" priority="656" stopIfTrue="1" operator="between">
      <formula>80.1</formula>
      <formula>100</formula>
    </cfRule>
    <cfRule type="cellIs" dxfId="5089" priority="657" stopIfTrue="1" operator="between">
      <formula>35.1</formula>
      <formula>80</formula>
    </cfRule>
    <cfRule type="cellIs" dxfId="5088" priority="658" stopIfTrue="1" operator="between">
      <formula>14.1</formula>
      <formula>35</formula>
    </cfRule>
    <cfRule type="cellIs" dxfId="5087" priority="659" stopIfTrue="1" operator="between">
      <formula>5.1</formula>
      <formula>14</formula>
    </cfRule>
    <cfRule type="cellIs" dxfId="5086" priority="660" stopIfTrue="1" operator="between">
      <formula>0</formula>
      <formula>5</formula>
    </cfRule>
    <cfRule type="containsBlanks" dxfId="5085" priority="661" stopIfTrue="1">
      <formula>LEN(TRIM(F258))=0</formula>
    </cfRule>
  </conditionalFormatting>
  <conditionalFormatting sqref="E259:L259">
    <cfRule type="containsBlanks" dxfId="5084" priority="648" stopIfTrue="1">
      <formula>LEN(TRIM(E259))=0</formula>
    </cfRule>
    <cfRule type="cellIs" dxfId="5083" priority="649" stopIfTrue="1" operator="between">
      <formula>80.1</formula>
      <formula>100</formula>
    </cfRule>
    <cfRule type="cellIs" dxfId="5082" priority="650" stopIfTrue="1" operator="between">
      <formula>35.1</formula>
      <formula>80</formula>
    </cfRule>
    <cfRule type="cellIs" dxfId="5081" priority="651" stopIfTrue="1" operator="between">
      <formula>14.1</formula>
      <formula>35</formula>
    </cfRule>
    <cfRule type="cellIs" dxfId="5080" priority="652" stopIfTrue="1" operator="between">
      <formula>5.1</formula>
      <formula>14</formula>
    </cfRule>
    <cfRule type="cellIs" dxfId="5079" priority="653" stopIfTrue="1" operator="between">
      <formula>0</formula>
      <formula>5</formula>
    </cfRule>
    <cfRule type="containsBlanks" dxfId="5078" priority="654" stopIfTrue="1">
      <formula>LEN(TRIM(E259))=0</formula>
    </cfRule>
  </conditionalFormatting>
  <conditionalFormatting sqref="E268:P268">
    <cfRule type="containsBlanks" dxfId="5077" priority="620" stopIfTrue="1">
      <formula>LEN(TRIM(E268))=0</formula>
    </cfRule>
    <cfRule type="cellIs" dxfId="5076" priority="621" stopIfTrue="1" operator="between">
      <formula>80.1</formula>
      <formula>100</formula>
    </cfRule>
    <cfRule type="cellIs" dxfId="5075" priority="622" stopIfTrue="1" operator="between">
      <formula>35.1</formula>
      <formula>80</formula>
    </cfRule>
    <cfRule type="cellIs" dxfId="5074" priority="623" stopIfTrue="1" operator="between">
      <formula>14.1</formula>
      <formula>35</formula>
    </cfRule>
    <cfRule type="cellIs" dxfId="5073" priority="624" stopIfTrue="1" operator="between">
      <formula>5.1</formula>
      <formula>14</formula>
    </cfRule>
    <cfRule type="cellIs" dxfId="5072" priority="625" stopIfTrue="1" operator="between">
      <formula>0</formula>
      <formula>5</formula>
    </cfRule>
    <cfRule type="containsBlanks" dxfId="5071" priority="626" stopIfTrue="1">
      <formula>LEN(TRIM(E268))=0</formula>
    </cfRule>
  </conditionalFormatting>
  <conditionalFormatting sqref="E264:N264">
    <cfRule type="containsBlanks" dxfId="5070" priority="641" stopIfTrue="1">
      <formula>LEN(TRIM(E264))=0</formula>
    </cfRule>
    <cfRule type="cellIs" dxfId="5069" priority="642" stopIfTrue="1" operator="between">
      <formula>80.1</formula>
      <formula>100</formula>
    </cfRule>
    <cfRule type="cellIs" dxfId="5068" priority="643" stopIfTrue="1" operator="between">
      <formula>35.1</formula>
      <formula>80</formula>
    </cfRule>
    <cfRule type="cellIs" dxfId="5067" priority="644" stopIfTrue="1" operator="between">
      <formula>14.1</formula>
      <formula>35</formula>
    </cfRule>
    <cfRule type="cellIs" dxfId="5066" priority="645" stopIfTrue="1" operator="between">
      <formula>5.1</formula>
      <formula>14</formula>
    </cfRule>
    <cfRule type="cellIs" dxfId="5065" priority="646" stopIfTrue="1" operator="between">
      <formula>0</formula>
      <formula>5</formula>
    </cfRule>
    <cfRule type="containsBlanks" dxfId="5064" priority="647" stopIfTrue="1">
      <formula>LEN(TRIM(E264))=0</formula>
    </cfRule>
  </conditionalFormatting>
  <conditionalFormatting sqref="E265:M265">
    <cfRule type="containsBlanks" dxfId="5063" priority="634" stopIfTrue="1">
      <formula>LEN(TRIM(E265))=0</formula>
    </cfRule>
    <cfRule type="cellIs" dxfId="5062" priority="635" stopIfTrue="1" operator="between">
      <formula>80.1</formula>
      <formula>100</formula>
    </cfRule>
    <cfRule type="cellIs" dxfId="5061" priority="636" stopIfTrue="1" operator="between">
      <formula>35.1</formula>
      <formula>80</formula>
    </cfRule>
    <cfRule type="cellIs" dxfId="5060" priority="637" stopIfTrue="1" operator="between">
      <formula>14.1</formula>
      <formula>35</formula>
    </cfRule>
    <cfRule type="cellIs" dxfId="5059" priority="638" stopIfTrue="1" operator="between">
      <formula>5.1</formula>
      <formula>14</formula>
    </cfRule>
    <cfRule type="cellIs" dxfId="5058" priority="639" stopIfTrue="1" operator="between">
      <formula>0</formula>
      <formula>5</formula>
    </cfRule>
    <cfRule type="containsBlanks" dxfId="5057" priority="640" stopIfTrue="1">
      <formula>LEN(TRIM(E265))=0</formula>
    </cfRule>
  </conditionalFormatting>
  <conditionalFormatting sqref="E267:M267">
    <cfRule type="containsBlanks" dxfId="5056" priority="627" stopIfTrue="1">
      <formula>LEN(TRIM(E267))=0</formula>
    </cfRule>
    <cfRule type="cellIs" dxfId="5055" priority="628" stopIfTrue="1" operator="between">
      <formula>80.1</formula>
      <formula>100</formula>
    </cfRule>
    <cfRule type="cellIs" dxfId="5054" priority="629" stopIfTrue="1" operator="between">
      <formula>35.1</formula>
      <formula>80</formula>
    </cfRule>
    <cfRule type="cellIs" dxfId="5053" priority="630" stopIfTrue="1" operator="between">
      <formula>14.1</formula>
      <formula>35</formula>
    </cfRule>
    <cfRule type="cellIs" dxfId="5052" priority="631" stopIfTrue="1" operator="between">
      <formula>5.1</formula>
      <formula>14</formula>
    </cfRule>
    <cfRule type="cellIs" dxfId="5051" priority="632" stopIfTrue="1" operator="between">
      <formula>0</formula>
      <formula>5</formula>
    </cfRule>
    <cfRule type="containsBlanks" dxfId="5050" priority="633" stopIfTrue="1">
      <formula>LEN(TRIM(E267))=0</formula>
    </cfRule>
  </conditionalFormatting>
  <conditionalFormatting sqref="R11:R91 R106:R137 R139:R174 R176 R179:R281 R284:R303 R306:R313 R315:R479 R94:R95">
    <cfRule type="cellIs" dxfId="5049" priority="604" stopIfTrue="1" operator="equal">
      <formula>"NO"</formula>
    </cfRule>
  </conditionalFormatting>
  <conditionalFormatting sqref="R10">
    <cfRule type="cellIs" dxfId="5048" priority="596" stopIfTrue="1" operator="equal">
      <formula>"NO"</formula>
    </cfRule>
  </conditionalFormatting>
  <conditionalFormatting sqref="S10:S91 S106:S137 S139:S174 S176 S179:S281 S284:S303 S306:S313 S315:S527 S94:S95">
    <cfRule type="cellIs" dxfId="5047" priority="595" stopIfTrue="1" operator="equal">
      <formula>"INVIABLE SANITARIAMENTE"</formula>
    </cfRule>
  </conditionalFormatting>
  <conditionalFormatting sqref="Q10:Q91 Q106:Q137 Q139:Q174 Q176 Q179:Q281 Q284:Q303 Q306:Q313 Q315:Q528 Q94:Q95">
    <cfRule type="containsBlanks" dxfId="5046" priority="588" stopIfTrue="1">
      <formula>LEN(TRIM(Q10))=0</formula>
    </cfRule>
    <cfRule type="cellIs" dxfId="5045" priority="589" stopIfTrue="1" operator="between">
      <formula>80.1</formula>
      <formula>100</formula>
    </cfRule>
    <cfRule type="cellIs" dxfId="5044" priority="590" stopIfTrue="1" operator="between">
      <formula>35.1</formula>
      <formula>80</formula>
    </cfRule>
    <cfRule type="cellIs" dxfId="5043" priority="591" stopIfTrue="1" operator="between">
      <formula>14.1</formula>
      <formula>35</formula>
    </cfRule>
    <cfRule type="cellIs" dxfId="5042" priority="592" stopIfTrue="1" operator="between">
      <formula>5.1</formula>
      <formula>14</formula>
    </cfRule>
    <cfRule type="cellIs" dxfId="5041" priority="593" stopIfTrue="1" operator="between">
      <formula>0</formula>
      <formula>5</formula>
    </cfRule>
    <cfRule type="containsBlanks" dxfId="5040" priority="594" stopIfTrue="1">
      <formula>LEN(TRIM(Q10))=0</formula>
    </cfRule>
  </conditionalFormatting>
  <conditionalFormatting sqref="S10:S91 S106:S137 S139:S174 S176 S179:S281 S284:S303 S306:S313 S315:S527 S94:S95">
    <cfRule type="containsText" dxfId="5039" priority="583" stopIfTrue="1" operator="containsText" text="INVIABLE SANITARIAMENTE">
      <formula>NOT(ISERROR(SEARCH("INVIABLE SANITARIAMENTE",S10)))</formula>
    </cfRule>
    <cfRule type="containsText" dxfId="5038" priority="584" stopIfTrue="1" operator="containsText" text="ALTO">
      <formula>NOT(ISERROR(SEARCH("ALTO",S10)))</formula>
    </cfRule>
    <cfRule type="containsText" dxfId="5037" priority="585" stopIfTrue="1" operator="containsText" text="MEDIO">
      <formula>NOT(ISERROR(SEARCH("MEDIO",S10)))</formula>
    </cfRule>
    <cfRule type="containsText" dxfId="5036" priority="586" stopIfTrue="1" operator="containsText" text="BAJO">
      <formula>NOT(ISERROR(SEARCH("BAJO",S10)))</formula>
    </cfRule>
    <cfRule type="containsText" dxfId="5035" priority="587" stopIfTrue="1" operator="containsText" text="SIN RIESGO">
      <formula>NOT(ISERROR(SEARCH("SIN RIESGO",S10)))</formula>
    </cfRule>
  </conditionalFormatting>
  <conditionalFormatting sqref="S10:S91 S106:S137 S139:S174 S176 S179:S281 S284:S303 S306:S313 S315:S527 S94:S95">
    <cfRule type="containsText" dxfId="5034" priority="582" stopIfTrue="1" operator="containsText" text="SIN RIESGO">
      <formula>NOT(ISERROR(SEARCH("SIN RIESGO",S10)))</formula>
    </cfRule>
  </conditionalFormatting>
  <conditionalFormatting sqref="E10:P20">
    <cfRule type="containsBlanks" dxfId="5033" priority="575" stopIfTrue="1">
      <formula>LEN(TRIM(E10))=0</formula>
    </cfRule>
    <cfRule type="cellIs" dxfId="5032" priority="576" stopIfTrue="1" operator="between">
      <formula>79.1</formula>
      <formula>100</formula>
    </cfRule>
    <cfRule type="cellIs" dxfId="5031" priority="577" stopIfTrue="1" operator="between">
      <formula>34.1</formula>
      <formula>79</formula>
    </cfRule>
    <cfRule type="cellIs" dxfId="5030" priority="578" stopIfTrue="1" operator="between">
      <formula>13.1</formula>
      <formula>34</formula>
    </cfRule>
    <cfRule type="cellIs" dxfId="5029" priority="579" stopIfTrue="1" operator="between">
      <formula>5.1</formula>
      <formula>13</formula>
    </cfRule>
    <cfRule type="cellIs" dxfId="5028" priority="580" stopIfTrue="1" operator="between">
      <formula>0</formula>
      <formula>5</formula>
    </cfRule>
    <cfRule type="containsBlanks" dxfId="5027" priority="581" stopIfTrue="1">
      <formula>LEN(TRIM(E10))=0</formula>
    </cfRule>
  </conditionalFormatting>
  <conditionalFormatting sqref="E105:P105">
    <cfRule type="containsBlanks" dxfId="5026" priority="568" stopIfTrue="1">
      <formula>LEN(TRIM(E105))=0</formula>
    </cfRule>
    <cfRule type="cellIs" dxfId="5025" priority="569" stopIfTrue="1" operator="between">
      <formula>79.1</formula>
      <formula>100</formula>
    </cfRule>
    <cfRule type="cellIs" dxfId="5024" priority="570" stopIfTrue="1" operator="between">
      <formula>34.1</formula>
      <formula>79</formula>
    </cfRule>
    <cfRule type="cellIs" dxfId="5023" priority="571" stopIfTrue="1" operator="between">
      <formula>13.1</formula>
      <formula>34</formula>
    </cfRule>
    <cfRule type="cellIs" dxfId="5022" priority="572" stopIfTrue="1" operator="between">
      <formula>5.1</formula>
      <formula>13</formula>
    </cfRule>
    <cfRule type="cellIs" dxfId="5021" priority="573" stopIfTrue="1" operator="between">
      <formula>0</formula>
      <formula>5</formula>
    </cfRule>
    <cfRule type="containsBlanks" dxfId="5020" priority="574" stopIfTrue="1">
      <formula>LEN(TRIM(E105))=0</formula>
    </cfRule>
  </conditionalFormatting>
  <conditionalFormatting sqref="Q105">
    <cfRule type="containsBlanks" dxfId="5019" priority="561" stopIfTrue="1">
      <formula>LEN(TRIM(Q105))=0</formula>
    </cfRule>
    <cfRule type="cellIs" dxfId="5018" priority="562" stopIfTrue="1" operator="between">
      <formula>80.1</formula>
      <formula>100</formula>
    </cfRule>
    <cfRule type="cellIs" dxfId="5017" priority="563" stopIfTrue="1" operator="between">
      <formula>35.1</formula>
      <formula>80</formula>
    </cfRule>
    <cfRule type="cellIs" dxfId="5016" priority="564" stopIfTrue="1" operator="between">
      <formula>14.1</formula>
      <formula>35</formula>
    </cfRule>
    <cfRule type="cellIs" dxfId="5015" priority="565" stopIfTrue="1" operator="between">
      <formula>5.1</formula>
      <formula>14</formula>
    </cfRule>
    <cfRule type="cellIs" dxfId="5014" priority="566" stopIfTrue="1" operator="between">
      <formula>0</formula>
      <formula>5</formula>
    </cfRule>
    <cfRule type="containsBlanks" dxfId="5013" priority="567" stopIfTrue="1">
      <formula>LEN(TRIM(Q105))=0</formula>
    </cfRule>
  </conditionalFormatting>
  <conditionalFormatting sqref="R105">
    <cfRule type="cellIs" dxfId="5012" priority="560" stopIfTrue="1" operator="equal">
      <formula>"NO"</formula>
    </cfRule>
  </conditionalFormatting>
  <conditionalFormatting sqref="S105">
    <cfRule type="cellIs" dxfId="5011" priority="559" stopIfTrue="1" operator="equal">
      <formula>"INVIABLE SANITARIAMENTE"</formula>
    </cfRule>
  </conditionalFormatting>
  <conditionalFormatting sqref="Q105">
    <cfRule type="containsBlanks" dxfId="5010" priority="552" stopIfTrue="1">
      <formula>LEN(TRIM(Q105))=0</formula>
    </cfRule>
    <cfRule type="cellIs" dxfId="5009" priority="553" stopIfTrue="1" operator="between">
      <formula>80.1</formula>
      <formula>100</formula>
    </cfRule>
    <cfRule type="cellIs" dxfId="5008" priority="554" stopIfTrue="1" operator="between">
      <formula>35.1</formula>
      <formula>80</formula>
    </cfRule>
    <cfRule type="cellIs" dxfId="5007" priority="555" stopIfTrue="1" operator="between">
      <formula>14.1</formula>
      <formula>35</formula>
    </cfRule>
    <cfRule type="cellIs" dxfId="5006" priority="556" stopIfTrue="1" operator="between">
      <formula>5.1</formula>
      <formula>14</formula>
    </cfRule>
    <cfRule type="cellIs" dxfId="5005" priority="557" stopIfTrue="1" operator="between">
      <formula>0</formula>
      <formula>5</formula>
    </cfRule>
    <cfRule type="containsBlanks" dxfId="5004" priority="558" stopIfTrue="1">
      <formula>LEN(TRIM(Q105))=0</formula>
    </cfRule>
  </conditionalFormatting>
  <conditionalFormatting sqref="S105">
    <cfRule type="containsText" dxfId="5003" priority="547" stopIfTrue="1" operator="containsText" text="INVIABLE SANITARIAMENTE">
      <formula>NOT(ISERROR(SEARCH("INVIABLE SANITARIAMENTE",S105)))</formula>
    </cfRule>
    <cfRule type="containsText" dxfId="5002" priority="548" stopIfTrue="1" operator="containsText" text="ALTO">
      <formula>NOT(ISERROR(SEARCH("ALTO",S105)))</formula>
    </cfRule>
    <cfRule type="containsText" dxfId="5001" priority="549" stopIfTrue="1" operator="containsText" text="MEDIO">
      <formula>NOT(ISERROR(SEARCH("MEDIO",S105)))</formula>
    </cfRule>
    <cfRule type="containsText" dxfId="5000" priority="550" stopIfTrue="1" operator="containsText" text="BAJO">
      <formula>NOT(ISERROR(SEARCH("BAJO",S105)))</formula>
    </cfRule>
    <cfRule type="containsText" dxfId="4999" priority="551" stopIfTrue="1" operator="containsText" text="SIN RIESGO">
      <formula>NOT(ISERROR(SEARCH("SIN RIESGO",S105)))</formula>
    </cfRule>
  </conditionalFormatting>
  <conditionalFormatting sqref="S105">
    <cfRule type="containsText" dxfId="4998" priority="546" stopIfTrue="1" operator="containsText" text="SIN RIESGO">
      <formula>NOT(ISERROR(SEARCH("SIN RIESGO",S105)))</formula>
    </cfRule>
  </conditionalFormatting>
  <conditionalFormatting sqref="E96:P96">
    <cfRule type="containsBlanks" dxfId="4997" priority="539" stopIfTrue="1">
      <formula>LEN(TRIM(E96))=0</formula>
    </cfRule>
    <cfRule type="cellIs" dxfId="4996" priority="540" stopIfTrue="1" operator="between">
      <formula>79.1</formula>
      <formula>100</formula>
    </cfRule>
    <cfRule type="cellIs" dxfId="4995" priority="541" stopIfTrue="1" operator="between">
      <formula>34.1</formula>
      <formula>79</formula>
    </cfRule>
    <cfRule type="cellIs" dxfId="4994" priority="542" stopIfTrue="1" operator="between">
      <formula>13.1</formula>
      <formula>34</formula>
    </cfRule>
    <cfRule type="cellIs" dxfId="4993" priority="543" stopIfTrue="1" operator="between">
      <formula>5.1</formula>
      <formula>13</formula>
    </cfRule>
    <cfRule type="cellIs" dxfId="4992" priority="544" stopIfTrue="1" operator="between">
      <formula>0</formula>
      <formula>5</formula>
    </cfRule>
    <cfRule type="containsBlanks" dxfId="4991" priority="545" stopIfTrue="1">
      <formula>LEN(TRIM(E96))=0</formula>
    </cfRule>
  </conditionalFormatting>
  <conditionalFormatting sqref="Q96">
    <cfRule type="containsBlanks" dxfId="4990" priority="532" stopIfTrue="1">
      <formula>LEN(TRIM(Q96))=0</formula>
    </cfRule>
    <cfRule type="cellIs" dxfId="4989" priority="533" stopIfTrue="1" operator="between">
      <formula>80.1</formula>
      <formula>100</formula>
    </cfRule>
    <cfRule type="cellIs" dxfId="4988" priority="534" stopIfTrue="1" operator="between">
      <formula>35.1</formula>
      <formula>80</formula>
    </cfRule>
    <cfRule type="cellIs" dxfId="4987" priority="535" stopIfTrue="1" operator="between">
      <formula>14.1</formula>
      <formula>35</formula>
    </cfRule>
    <cfRule type="cellIs" dxfId="4986" priority="536" stopIfTrue="1" operator="between">
      <formula>5.1</formula>
      <formula>14</formula>
    </cfRule>
    <cfRule type="cellIs" dxfId="4985" priority="537" stopIfTrue="1" operator="between">
      <formula>0</formula>
      <formula>5</formula>
    </cfRule>
    <cfRule type="containsBlanks" dxfId="4984" priority="538" stopIfTrue="1">
      <formula>LEN(TRIM(Q96))=0</formula>
    </cfRule>
  </conditionalFormatting>
  <conditionalFormatting sqref="R96">
    <cfRule type="cellIs" dxfId="4983" priority="531" stopIfTrue="1" operator="equal">
      <formula>"NO"</formula>
    </cfRule>
  </conditionalFormatting>
  <conditionalFormatting sqref="S96">
    <cfRule type="cellIs" dxfId="4982" priority="530" stopIfTrue="1" operator="equal">
      <formula>"INVIABLE SANITARIAMENTE"</formula>
    </cfRule>
  </conditionalFormatting>
  <conditionalFormatting sqref="Q96">
    <cfRule type="containsBlanks" dxfId="4981" priority="523" stopIfTrue="1">
      <formula>LEN(TRIM(Q96))=0</formula>
    </cfRule>
    <cfRule type="cellIs" dxfId="4980" priority="524" stopIfTrue="1" operator="between">
      <formula>80.1</formula>
      <formula>100</formula>
    </cfRule>
    <cfRule type="cellIs" dxfId="4979" priority="525" stopIfTrue="1" operator="between">
      <formula>35.1</formula>
      <formula>80</formula>
    </cfRule>
    <cfRule type="cellIs" dxfId="4978" priority="526" stopIfTrue="1" operator="between">
      <formula>14.1</formula>
      <formula>35</formula>
    </cfRule>
    <cfRule type="cellIs" dxfId="4977" priority="527" stopIfTrue="1" operator="between">
      <formula>5.1</formula>
      <formula>14</formula>
    </cfRule>
    <cfRule type="cellIs" dxfId="4976" priority="528" stopIfTrue="1" operator="between">
      <formula>0</formula>
      <formula>5</formula>
    </cfRule>
    <cfRule type="containsBlanks" dxfId="4975" priority="529" stopIfTrue="1">
      <formula>LEN(TRIM(Q96))=0</formula>
    </cfRule>
  </conditionalFormatting>
  <conditionalFormatting sqref="S96">
    <cfRule type="containsText" dxfId="4974" priority="518" stopIfTrue="1" operator="containsText" text="INVIABLE SANITARIAMENTE">
      <formula>NOT(ISERROR(SEARCH("INVIABLE SANITARIAMENTE",S96)))</formula>
    </cfRule>
    <cfRule type="containsText" dxfId="4973" priority="519" stopIfTrue="1" operator="containsText" text="ALTO">
      <formula>NOT(ISERROR(SEARCH("ALTO",S96)))</formula>
    </cfRule>
    <cfRule type="containsText" dxfId="4972" priority="520" stopIfTrue="1" operator="containsText" text="MEDIO">
      <formula>NOT(ISERROR(SEARCH("MEDIO",S96)))</formula>
    </cfRule>
    <cfRule type="containsText" dxfId="4971" priority="521" stopIfTrue="1" operator="containsText" text="BAJO">
      <formula>NOT(ISERROR(SEARCH("BAJO",S96)))</formula>
    </cfRule>
    <cfRule type="containsText" dxfId="4970" priority="522" stopIfTrue="1" operator="containsText" text="SIN RIESGO">
      <formula>NOT(ISERROR(SEARCH("SIN RIESGO",S96)))</formula>
    </cfRule>
  </conditionalFormatting>
  <conditionalFormatting sqref="S96">
    <cfRule type="containsText" dxfId="4969" priority="517" stopIfTrue="1" operator="containsText" text="SIN RIESGO">
      <formula>NOT(ISERROR(SEARCH("SIN RIESGO",S96)))</formula>
    </cfRule>
  </conditionalFormatting>
  <conditionalFormatting sqref="E97:P97">
    <cfRule type="containsBlanks" dxfId="4968" priority="510" stopIfTrue="1">
      <formula>LEN(TRIM(E97))=0</formula>
    </cfRule>
    <cfRule type="cellIs" dxfId="4967" priority="511" stopIfTrue="1" operator="between">
      <formula>79.1</formula>
      <formula>100</formula>
    </cfRule>
    <cfRule type="cellIs" dxfId="4966" priority="512" stopIfTrue="1" operator="between">
      <formula>34.1</formula>
      <formula>79</formula>
    </cfRule>
    <cfRule type="cellIs" dxfId="4965" priority="513" stopIfTrue="1" operator="between">
      <formula>13.1</formula>
      <formula>34</formula>
    </cfRule>
    <cfRule type="cellIs" dxfId="4964" priority="514" stopIfTrue="1" operator="between">
      <formula>5.1</formula>
      <formula>13</formula>
    </cfRule>
    <cfRule type="cellIs" dxfId="4963" priority="515" stopIfTrue="1" operator="between">
      <formula>0</formula>
      <formula>5</formula>
    </cfRule>
    <cfRule type="containsBlanks" dxfId="4962" priority="516" stopIfTrue="1">
      <formula>LEN(TRIM(E97))=0</formula>
    </cfRule>
  </conditionalFormatting>
  <conditionalFormatting sqref="Q97">
    <cfRule type="containsBlanks" dxfId="4961" priority="503" stopIfTrue="1">
      <formula>LEN(TRIM(Q97))=0</formula>
    </cfRule>
    <cfRule type="cellIs" dxfId="4960" priority="504" stopIfTrue="1" operator="between">
      <formula>80.1</formula>
      <formula>100</formula>
    </cfRule>
    <cfRule type="cellIs" dxfId="4959" priority="505" stopIfTrue="1" operator="between">
      <formula>35.1</formula>
      <formula>80</formula>
    </cfRule>
    <cfRule type="cellIs" dxfId="4958" priority="506" stopIfTrue="1" operator="between">
      <formula>14.1</formula>
      <formula>35</formula>
    </cfRule>
    <cfRule type="cellIs" dxfId="4957" priority="507" stopIfTrue="1" operator="between">
      <formula>5.1</formula>
      <formula>14</formula>
    </cfRule>
    <cfRule type="cellIs" dxfId="4956" priority="508" stopIfTrue="1" operator="between">
      <formula>0</formula>
      <formula>5</formula>
    </cfRule>
    <cfRule type="containsBlanks" dxfId="4955" priority="509" stopIfTrue="1">
      <formula>LEN(TRIM(Q97))=0</formula>
    </cfRule>
  </conditionalFormatting>
  <conditionalFormatting sqref="R97">
    <cfRule type="cellIs" dxfId="4954" priority="502" stopIfTrue="1" operator="equal">
      <formula>"NO"</formula>
    </cfRule>
  </conditionalFormatting>
  <conditionalFormatting sqref="S97">
    <cfRule type="cellIs" dxfId="4953" priority="501" stopIfTrue="1" operator="equal">
      <formula>"INVIABLE SANITARIAMENTE"</formula>
    </cfRule>
  </conditionalFormatting>
  <conditionalFormatting sqref="Q97">
    <cfRule type="containsBlanks" dxfId="4952" priority="494" stopIfTrue="1">
      <formula>LEN(TRIM(Q97))=0</formula>
    </cfRule>
    <cfRule type="cellIs" dxfId="4951" priority="495" stopIfTrue="1" operator="between">
      <formula>80.1</formula>
      <formula>100</formula>
    </cfRule>
    <cfRule type="cellIs" dxfId="4950" priority="496" stopIfTrue="1" operator="between">
      <formula>35.1</formula>
      <formula>80</formula>
    </cfRule>
    <cfRule type="cellIs" dxfId="4949" priority="497" stopIfTrue="1" operator="between">
      <formula>14.1</formula>
      <formula>35</formula>
    </cfRule>
    <cfRule type="cellIs" dxfId="4948" priority="498" stopIfTrue="1" operator="between">
      <formula>5.1</formula>
      <formula>14</formula>
    </cfRule>
    <cfRule type="cellIs" dxfId="4947" priority="499" stopIfTrue="1" operator="between">
      <formula>0</formula>
      <formula>5</formula>
    </cfRule>
    <cfRule type="containsBlanks" dxfId="4946" priority="500" stopIfTrue="1">
      <formula>LEN(TRIM(Q97))=0</formula>
    </cfRule>
  </conditionalFormatting>
  <conditionalFormatting sqref="S97">
    <cfRule type="containsText" dxfId="4945" priority="489" stopIfTrue="1" operator="containsText" text="INVIABLE SANITARIAMENTE">
      <formula>NOT(ISERROR(SEARCH("INVIABLE SANITARIAMENTE",S97)))</formula>
    </cfRule>
    <cfRule type="containsText" dxfId="4944" priority="490" stopIfTrue="1" operator="containsText" text="ALTO">
      <formula>NOT(ISERROR(SEARCH("ALTO",S97)))</formula>
    </cfRule>
    <cfRule type="containsText" dxfId="4943" priority="491" stopIfTrue="1" operator="containsText" text="MEDIO">
      <formula>NOT(ISERROR(SEARCH("MEDIO",S97)))</formula>
    </cfRule>
    <cfRule type="containsText" dxfId="4942" priority="492" stopIfTrue="1" operator="containsText" text="BAJO">
      <formula>NOT(ISERROR(SEARCH("BAJO",S97)))</formula>
    </cfRule>
    <cfRule type="containsText" dxfId="4941" priority="493" stopIfTrue="1" operator="containsText" text="SIN RIESGO">
      <formula>NOT(ISERROR(SEARCH("SIN RIESGO",S97)))</formula>
    </cfRule>
  </conditionalFormatting>
  <conditionalFormatting sqref="S97">
    <cfRule type="containsText" dxfId="4940" priority="488" stopIfTrue="1" operator="containsText" text="SIN RIESGO">
      <formula>NOT(ISERROR(SEARCH("SIN RIESGO",S97)))</formula>
    </cfRule>
  </conditionalFormatting>
  <conditionalFormatting sqref="E98:P98">
    <cfRule type="containsBlanks" dxfId="4939" priority="481" stopIfTrue="1">
      <formula>LEN(TRIM(E98))=0</formula>
    </cfRule>
    <cfRule type="cellIs" dxfId="4938" priority="482" stopIfTrue="1" operator="between">
      <formula>79.1</formula>
      <formula>100</formula>
    </cfRule>
    <cfRule type="cellIs" dxfId="4937" priority="483" stopIfTrue="1" operator="between">
      <formula>34.1</formula>
      <formula>79</formula>
    </cfRule>
    <cfRule type="cellIs" dxfId="4936" priority="484" stopIfTrue="1" operator="between">
      <formula>13.1</formula>
      <formula>34</formula>
    </cfRule>
    <cfRule type="cellIs" dxfId="4935" priority="485" stopIfTrue="1" operator="between">
      <formula>5.1</formula>
      <formula>13</formula>
    </cfRule>
    <cfRule type="cellIs" dxfId="4934" priority="486" stopIfTrue="1" operator="between">
      <formula>0</formula>
      <formula>5</formula>
    </cfRule>
    <cfRule type="containsBlanks" dxfId="4933" priority="487" stopIfTrue="1">
      <formula>LEN(TRIM(E98))=0</formula>
    </cfRule>
  </conditionalFormatting>
  <conditionalFormatting sqref="Q98">
    <cfRule type="containsBlanks" dxfId="4932" priority="474" stopIfTrue="1">
      <formula>LEN(TRIM(Q98))=0</formula>
    </cfRule>
    <cfRule type="cellIs" dxfId="4931" priority="475" stopIfTrue="1" operator="between">
      <formula>80.1</formula>
      <formula>100</formula>
    </cfRule>
    <cfRule type="cellIs" dxfId="4930" priority="476" stopIfTrue="1" operator="between">
      <formula>35.1</formula>
      <formula>80</formula>
    </cfRule>
    <cfRule type="cellIs" dxfId="4929" priority="477" stopIfTrue="1" operator="between">
      <formula>14.1</formula>
      <formula>35</formula>
    </cfRule>
    <cfRule type="cellIs" dxfId="4928" priority="478" stopIfTrue="1" operator="between">
      <formula>5.1</formula>
      <formula>14</formula>
    </cfRule>
    <cfRule type="cellIs" dxfId="4927" priority="479" stopIfTrue="1" operator="between">
      <formula>0</formula>
      <formula>5</formula>
    </cfRule>
    <cfRule type="containsBlanks" dxfId="4926" priority="480" stopIfTrue="1">
      <formula>LEN(TRIM(Q98))=0</formula>
    </cfRule>
  </conditionalFormatting>
  <conditionalFormatting sqref="R98">
    <cfRule type="cellIs" dxfId="4925" priority="473" stopIfTrue="1" operator="equal">
      <formula>"NO"</formula>
    </cfRule>
  </conditionalFormatting>
  <conditionalFormatting sqref="S98">
    <cfRule type="cellIs" dxfId="4924" priority="472" stopIfTrue="1" operator="equal">
      <formula>"INVIABLE SANITARIAMENTE"</formula>
    </cfRule>
  </conditionalFormatting>
  <conditionalFormatting sqref="Q98">
    <cfRule type="containsBlanks" dxfId="4923" priority="465" stopIfTrue="1">
      <formula>LEN(TRIM(Q98))=0</formula>
    </cfRule>
    <cfRule type="cellIs" dxfId="4922" priority="466" stopIfTrue="1" operator="between">
      <formula>80.1</formula>
      <formula>100</formula>
    </cfRule>
    <cfRule type="cellIs" dxfId="4921" priority="467" stopIfTrue="1" operator="between">
      <formula>35.1</formula>
      <formula>80</formula>
    </cfRule>
    <cfRule type="cellIs" dxfId="4920" priority="468" stopIfTrue="1" operator="between">
      <formula>14.1</formula>
      <formula>35</formula>
    </cfRule>
    <cfRule type="cellIs" dxfId="4919" priority="469" stopIfTrue="1" operator="between">
      <formula>5.1</formula>
      <formula>14</formula>
    </cfRule>
    <cfRule type="cellIs" dxfId="4918" priority="470" stopIfTrue="1" operator="between">
      <formula>0</formula>
      <formula>5</formula>
    </cfRule>
    <cfRule type="containsBlanks" dxfId="4917" priority="471" stopIfTrue="1">
      <formula>LEN(TRIM(Q98))=0</formula>
    </cfRule>
  </conditionalFormatting>
  <conditionalFormatting sqref="S98">
    <cfRule type="containsText" dxfId="4916" priority="460" stopIfTrue="1" operator="containsText" text="INVIABLE SANITARIAMENTE">
      <formula>NOT(ISERROR(SEARCH("INVIABLE SANITARIAMENTE",S98)))</formula>
    </cfRule>
    <cfRule type="containsText" dxfId="4915" priority="461" stopIfTrue="1" operator="containsText" text="ALTO">
      <formula>NOT(ISERROR(SEARCH("ALTO",S98)))</formula>
    </cfRule>
    <cfRule type="containsText" dxfId="4914" priority="462" stopIfTrue="1" operator="containsText" text="MEDIO">
      <formula>NOT(ISERROR(SEARCH("MEDIO",S98)))</formula>
    </cfRule>
    <cfRule type="containsText" dxfId="4913" priority="463" stopIfTrue="1" operator="containsText" text="BAJO">
      <formula>NOT(ISERROR(SEARCH("BAJO",S98)))</formula>
    </cfRule>
    <cfRule type="containsText" dxfId="4912" priority="464" stopIfTrue="1" operator="containsText" text="SIN RIESGO">
      <formula>NOT(ISERROR(SEARCH("SIN RIESGO",S98)))</formula>
    </cfRule>
  </conditionalFormatting>
  <conditionalFormatting sqref="S98">
    <cfRule type="containsText" dxfId="4911" priority="459" stopIfTrue="1" operator="containsText" text="SIN RIESGO">
      <formula>NOT(ISERROR(SEARCH("SIN RIESGO",S98)))</formula>
    </cfRule>
  </conditionalFormatting>
  <conditionalFormatting sqref="E99:P99">
    <cfRule type="containsBlanks" dxfId="4910" priority="452" stopIfTrue="1">
      <formula>LEN(TRIM(E99))=0</formula>
    </cfRule>
    <cfRule type="cellIs" dxfId="4909" priority="453" stopIfTrue="1" operator="between">
      <formula>79.1</formula>
      <formula>100</formula>
    </cfRule>
    <cfRule type="cellIs" dxfId="4908" priority="454" stopIfTrue="1" operator="between">
      <formula>34.1</formula>
      <formula>79</formula>
    </cfRule>
    <cfRule type="cellIs" dxfId="4907" priority="455" stopIfTrue="1" operator="between">
      <formula>13.1</formula>
      <formula>34</formula>
    </cfRule>
    <cfRule type="cellIs" dxfId="4906" priority="456" stopIfTrue="1" operator="between">
      <formula>5.1</formula>
      <formula>13</formula>
    </cfRule>
    <cfRule type="cellIs" dxfId="4905" priority="457" stopIfTrue="1" operator="between">
      <formula>0</formula>
      <formula>5</formula>
    </cfRule>
    <cfRule type="containsBlanks" dxfId="4904" priority="458" stopIfTrue="1">
      <formula>LEN(TRIM(E99))=0</formula>
    </cfRule>
  </conditionalFormatting>
  <conditionalFormatting sqref="Q99">
    <cfRule type="containsBlanks" dxfId="4903" priority="445" stopIfTrue="1">
      <formula>LEN(TRIM(Q99))=0</formula>
    </cfRule>
    <cfRule type="cellIs" dxfId="4902" priority="446" stopIfTrue="1" operator="between">
      <formula>80.1</formula>
      <formula>100</formula>
    </cfRule>
    <cfRule type="cellIs" dxfId="4901" priority="447" stopIfTrue="1" operator="between">
      <formula>35.1</formula>
      <formula>80</formula>
    </cfRule>
    <cfRule type="cellIs" dxfId="4900" priority="448" stopIfTrue="1" operator="between">
      <formula>14.1</formula>
      <formula>35</formula>
    </cfRule>
    <cfRule type="cellIs" dxfId="4899" priority="449" stopIfTrue="1" operator="between">
      <formula>5.1</formula>
      <formula>14</formula>
    </cfRule>
    <cfRule type="cellIs" dxfId="4898" priority="450" stopIfTrue="1" operator="between">
      <formula>0</formula>
      <formula>5</formula>
    </cfRule>
    <cfRule type="containsBlanks" dxfId="4897" priority="451" stopIfTrue="1">
      <formula>LEN(TRIM(Q99))=0</formula>
    </cfRule>
  </conditionalFormatting>
  <conditionalFormatting sqref="R99">
    <cfRule type="cellIs" dxfId="4896" priority="444" stopIfTrue="1" operator="equal">
      <formula>"NO"</formula>
    </cfRule>
  </conditionalFormatting>
  <conditionalFormatting sqref="S99">
    <cfRule type="cellIs" dxfId="4895" priority="443" stopIfTrue="1" operator="equal">
      <formula>"INVIABLE SANITARIAMENTE"</formula>
    </cfRule>
  </conditionalFormatting>
  <conditionalFormatting sqref="Q99">
    <cfRule type="containsBlanks" dxfId="4894" priority="436" stopIfTrue="1">
      <formula>LEN(TRIM(Q99))=0</formula>
    </cfRule>
    <cfRule type="cellIs" dxfId="4893" priority="437" stopIfTrue="1" operator="between">
      <formula>80.1</formula>
      <formula>100</formula>
    </cfRule>
    <cfRule type="cellIs" dxfId="4892" priority="438" stopIfTrue="1" operator="between">
      <formula>35.1</formula>
      <formula>80</formula>
    </cfRule>
    <cfRule type="cellIs" dxfId="4891" priority="439" stopIfTrue="1" operator="between">
      <formula>14.1</formula>
      <formula>35</formula>
    </cfRule>
    <cfRule type="cellIs" dxfId="4890" priority="440" stopIfTrue="1" operator="between">
      <formula>5.1</formula>
      <formula>14</formula>
    </cfRule>
    <cfRule type="cellIs" dxfId="4889" priority="441" stopIfTrue="1" operator="between">
      <formula>0</formula>
      <formula>5</formula>
    </cfRule>
    <cfRule type="containsBlanks" dxfId="4888" priority="442" stopIfTrue="1">
      <formula>LEN(TRIM(Q99))=0</formula>
    </cfRule>
  </conditionalFormatting>
  <conditionalFormatting sqref="S99">
    <cfRule type="containsText" dxfId="4887" priority="431" stopIfTrue="1" operator="containsText" text="INVIABLE SANITARIAMENTE">
      <formula>NOT(ISERROR(SEARCH("INVIABLE SANITARIAMENTE",S99)))</formula>
    </cfRule>
    <cfRule type="containsText" dxfId="4886" priority="432" stopIfTrue="1" operator="containsText" text="ALTO">
      <formula>NOT(ISERROR(SEARCH("ALTO",S99)))</formula>
    </cfRule>
    <cfRule type="containsText" dxfId="4885" priority="433" stopIfTrue="1" operator="containsText" text="MEDIO">
      <formula>NOT(ISERROR(SEARCH("MEDIO",S99)))</formula>
    </cfRule>
    <cfRule type="containsText" dxfId="4884" priority="434" stopIfTrue="1" operator="containsText" text="BAJO">
      <formula>NOT(ISERROR(SEARCH("BAJO",S99)))</formula>
    </cfRule>
    <cfRule type="containsText" dxfId="4883" priority="435" stopIfTrue="1" operator="containsText" text="SIN RIESGO">
      <formula>NOT(ISERROR(SEARCH("SIN RIESGO",S99)))</formula>
    </cfRule>
  </conditionalFormatting>
  <conditionalFormatting sqref="S99">
    <cfRule type="containsText" dxfId="4882" priority="430" stopIfTrue="1" operator="containsText" text="SIN RIESGO">
      <formula>NOT(ISERROR(SEARCH("SIN RIESGO",S99)))</formula>
    </cfRule>
  </conditionalFormatting>
  <conditionalFormatting sqref="E100:P100">
    <cfRule type="containsBlanks" dxfId="4881" priority="423" stopIfTrue="1">
      <formula>LEN(TRIM(E100))=0</formula>
    </cfRule>
    <cfRule type="cellIs" dxfId="4880" priority="424" stopIfTrue="1" operator="between">
      <formula>79.1</formula>
      <formula>100</formula>
    </cfRule>
    <cfRule type="cellIs" dxfId="4879" priority="425" stopIfTrue="1" operator="between">
      <formula>34.1</formula>
      <formula>79</formula>
    </cfRule>
    <cfRule type="cellIs" dxfId="4878" priority="426" stopIfTrue="1" operator="between">
      <formula>13.1</formula>
      <formula>34</formula>
    </cfRule>
    <cfRule type="cellIs" dxfId="4877" priority="427" stopIfTrue="1" operator="between">
      <formula>5.1</formula>
      <formula>13</formula>
    </cfRule>
    <cfRule type="cellIs" dxfId="4876" priority="428" stopIfTrue="1" operator="between">
      <formula>0</formula>
      <formula>5</formula>
    </cfRule>
    <cfRule type="containsBlanks" dxfId="4875" priority="429" stopIfTrue="1">
      <formula>LEN(TRIM(E100))=0</formula>
    </cfRule>
  </conditionalFormatting>
  <conditionalFormatting sqref="Q100">
    <cfRule type="containsBlanks" dxfId="4874" priority="416" stopIfTrue="1">
      <formula>LEN(TRIM(Q100))=0</formula>
    </cfRule>
    <cfRule type="cellIs" dxfId="4873" priority="417" stopIfTrue="1" operator="between">
      <formula>80.1</formula>
      <formula>100</formula>
    </cfRule>
    <cfRule type="cellIs" dxfId="4872" priority="418" stopIfTrue="1" operator="between">
      <formula>35.1</formula>
      <formula>80</formula>
    </cfRule>
    <cfRule type="cellIs" dxfId="4871" priority="419" stopIfTrue="1" operator="between">
      <formula>14.1</formula>
      <formula>35</formula>
    </cfRule>
    <cfRule type="cellIs" dxfId="4870" priority="420" stopIfTrue="1" operator="between">
      <formula>5.1</formula>
      <formula>14</formula>
    </cfRule>
    <cfRule type="cellIs" dxfId="4869" priority="421" stopIfTrue="1" operator="between">
      <formula>0</formula>
      <formula>5</formula>
    </cfRule>
    <cfRule type="containsBlanks" dxfId="4868" priority="422" stopIfTrue="1">
      <formula>LEN(TRIM(Q100))=0</formula>
    </cfRule>
  </conditionalFormatting>
  <conditionalFormatting sqref="R100">
    <cfRule type="cellIs" dxfId="4867" priority="415" stopIfTrue="1" operator="equal">
      <formula>"NO"</formula>
    </cfRule>
  </conditionalFormatting>
  <conditionalFormatting sqref="S100">
    <cfRule type="cellIs" dxfId="4866" priority="414" stopIfTrue="1" operator="equal">
      <formula>"INVIABLE SANITARIAMENTE"</formula>
    </cfRule>
  </conditionalFormatting>
  <conditionalFormatting sqref="Q100">
    <cfRule type="containsBlanks" dxfId="4865" priority="407" stopIfTrue="1">
      <formula>LEN(TRIM(Q100))=0</formula>
    </cfRule>
    <cfRule type="cellIs" dxfId="4864" priority="408" stopIfTrue="1" operator="between">
      <formula>80.1</formula>
      <formula>100</formula>
    </cfRule>
    <cfRule type="cellIs" dxfId="4863" priority="409" stopIfTrue="1" operator="between">
      <formula>35.1</formula>
      <formula>80</formula>
    </cfRule>
    <cfRule type="cellIs" dxfId="4862" priority="410" stopIfTrue="1" operator="between">
      <formula>14.1</formula>
      <formula>35</formula>
    </cfRule>
    <cfRule type="cellIs" dxfId="4861" priority="411" stopIfTrue="1" operator="between">
      <formula>5.1</formula>
      <formula>14</formula>
    </cfRule>
    <cfRule type="cellIs" dxfId="4860" priority="412" stopIfTrue="1" operator="between">
      <formula>0</formula>
      <formula>5</formula>
    </cfRule>
    <cfRule type="containsBlanks" dxfId="4859" priority="413" stopIfTrue="1">
      <formula>LEN(TRIM(Q100))=0</formula>
    </cfRule>
  </conditionalFormatting>
  <conditionalFormatting sqref="S100">
    <cfRule type="containsText" dxfId="4858" priority="402" stopIfTrue="1" operator="containsText" text="INVIABLE SANITARIAMENTE">
      <formula>NOT(ISERROR(SEARCH("INVIABLE SANITARIAMENTE",S100)))</formula>
    </cfRule>
    <cfRule type="containsText" dxfId="4857" priority="403" stopIfTrue="1" operator="containsText" text="ALTO">
      <formula>NOT(ISERROR(SEARCH("ALTO",S100)))</formula>
    </cfRule>
    <cfRule type="containsText" dxfId="4856" priority="404" stopIfTrue="1" operator="containsText" text="MEDIO">
      <formula>NOT(ISERROR(SEARCH("MEDIO",S100)))</formula>
    </cfRule>
    <cfRule type="containsText" dxfId="4855" priority="405" stopIfTrue="1" operator="containsText" text="BAJO">
      <formula>NOT(ISERROR(SEARCH("BAJO",S100)))</formula>
    </cfRule>
    <cfRule type="containsText" dxfId="4854" priority="406" stopIfTrue="1" operator="containsText" text="SIN RIESGO">
      <formula>NOT(ISERROR(SEARCH("SIN RIESGO",S100)))</formula>
    </cfRule>
  </conditionalFormatting>
  <conditionalFormatting sqref="S100">
    <cfRule type="containsText" dxfId="4853" priority="401" stopIfTrue="1" operator="containsText" text="SIN RIESGO">
      <formula>NOT(ISERROR(SEARCH("SIN RIESGO",S100)))</formula>
    </cfRule>
  </conditionalFormatting>
  <conditionalFormatting sqref="E101:P101">
    <cfRule type="containsBlanks" dxfId="4852" priority="394" stopIfTrue="1">
      <formula>LEN(TRIM(E101))=0</formula>
    </cfRule>
    <cfRule type="cellIs" dxfId="4851" priority="395" stopIfTrue="1" operator="between">
      <formula>79.1</formula>
      <formula>100</formula>
    </cfRule>
    <cfRule type="cellIs" dxfId="4850" priority="396" stopIfTrue="1" operator="between">
      <formula>34.1</formula>
      <formula>79</formula>
    </cfRule>
    <cfRule type="cellIs" dxfId="4849" priority="397" stopIfTrue="1" operator="between">
      <formula>13.1</formula>
      <formula>34</formula>
    </cfRule>
    <cfRule type="cellIs" dxfId="4848" priority="398" stopIfTrue="1" operator="between">
      <formula>5.1</formula>
      <formula>13</formula>
    </cfRule>
    <cfRule type="cellIs" dxfId="4847" priority="399" stopIfTrue="1" operator="between">
      <formula>0</formula>
      <formula>5</formula>
    </cfRule>
    <cfRule type="containsBlanks" dxfId="4846" priority="400" stopIfTrue="1">
      <formula>LEN(TRIM(E101))=0</formula>
    </cfRule>
  </conditionalFormatting>
  <conditionalFormatting sqref="Q101">
    <cfRule type="containsBlanks" dxfId="4845" priority="387" stopIfTrue="1">
      <formula>LEN(TRIM(Q101))=0</formula>
    </cfRule>
    <cfRule type="cellIs" dxfId="4844" priority="388" stopIfTrue="1" operator="between">
      <formula>80.1</formula>
      <formula>100</formula>
    </cfRule>
    <cfRule type="cellIs" dxfId="4843" priority="389" stopIfTrue="1" operator="between">
      <formula>35.1</formula>
      <formula>80</formula>
    </cfRule>
    <cfRule type="cellIs" dxfId="4842" priority="390" stopIfTrue="1" operator="between">
      <formula>14.1</formula>
      <formula>35</formula>
    </cfRule>
    <cfRule type="cellIs" dxfId="4841" priority="391" stopIfTrue="1" operator="between">
      <formula>5.1</formula>
      <formula>14</formula>
    </cfRule>
    <cfRule type="cellIs" dxfId="4840" priority="392" stopIfTrue="1" operator="between">
      <formula>0</formula>
      <formula>5</formula>
    </cfRule>
    <cfRule type="containsBlanks" dxfId="4839" priority="393" stopIfTrue="1">
      <formula>LEN(TRIM(Q101))=0</formula>
    </cfRule>
  </conditionalFormatting>
  <conditionalFormatting sqref="R101">
    <cfRule type="cellIs" dxfId="4838" priority="386" stopIfTrue="1" operator="equal">
      <formula>"NO"</formula>
    </cfRule>
  </conditionalFormatting>
  <conditionalFormatting sqref="S101">
    <cfRule type="cellIs" dxfId="4837" priority="385" stopIfTrue="1" operator="equal">
      <formula>"INVIABLE SANITARIAMENTE"</formula>
    </cfRule>
  </conditionalFormatting>
  <conditionalFormatting sqref="Q101">
    <cfRule type="containsBlanks" dxfId="4836" priority="378" stopIfTrue="1">
      <formula>LEN(TRIM(Q101))=0</formula>
    </cfRule>
    <cfRule type="cellIs" dxfId="4835" priority="379" stopIfTrue="1" operator="between">
      <formula>80.1</formula>
      <formula>100</formula>
    </cfRule>
    <cfRule type="cellIs" dxfId="4834" priority="380" stopIfTrue="1" operator="between">
      <formula>35.1</formula>
      <formula>80</formula>
    </cfRule>
    <cfRule type="cellIs" dxfId="4833" priority="381" stopIfTrue="1" operator="between">
      <formula>14.1</formula>
      <formula>35</formula>
    </cfRule>
    <cfRule type="cellIs" dxfId="4832" priority="382" stopIfTrue="1" operator="between">
      <formula>5.1</formula>
      <formula>14</formula>
    </cfRule>
    <cfRule type="cellIs" dxfId="4831" priority="383" stopIfTrue="1" operator="between">
      <formula>0</formula>
      <formula>5</formula>
    </cfRule>
    <cfRule type="containsBlanks" dxfId="4830" priority="384" stopIfTrue="1">
      <formula>LEN(TRIM(Q101))=0</formula>
    </cfRule>
  </conditionalFormatting>
  <conditionalFormatting sqref="S101">
    <cfRule type="containsText" dxfId="4829" priority="373" stopIfTrue="1" operator="containsText" text="INVIABLE SANITARIAMENTE">
      <formula>NOT(ISERROR(SEARCH("INVIABLE SANITARIAMENTE",S101)))</formula>
    </cfRule>
    <cfRule type="containsText" dxfId="4828" priority="374" stopIfTrue="1" operator="containsText" text="ALTO">
      <formula>NOT(ISERROR(SEARCH("ALTO",S101)))</formula>
    </cfRule>
    <cfRule type="containsText" dxfId="4827" priority="375" stopIfTrue="1" operator="containsText" text="MEDIO">
      <formula>NOT(ISERROR(SEARCH("MEDIO",S101)))</formula>
    </cfRule>
    <cfRule type="containsText" dxfId="4826" priority="376" stopIfTrue="1" operator="containsText" text="BAJO">
      <formula>NOT(ISERROR(SEARCH("BAJO",S101)))</formula>
    </cfRule>
    <cfRule type="containsText" dxfId="4825" priority="377" stopIfTrue="1" operator="containsText" text="SIN RIESGO">
      <formula>NOT(ISERROR(SEARCH("SIN RIESGO",S101)))</formula>
    </cfRule>
  </conditionalFormatting>
  <conditionalFormatting sqref="S101">
    <cfRule type="containsText" dxfId="4824" priority="372" stopIfTrue="1" operator="containsText" text="SIN RIESGO">
      <formula>NOT(ISERROR(SEARCH("SIN RIESGO",S101)))</formula>
    </cfRule>
  </conditionalFormatting>
  <conditionalFormatting sqref="E102:P102">
    <cfRule type="containsBlanks" dxfId="4823" priority="365" stopIfTrue="1">
      <formula>LEN(TRIM(E102))=0</formula>
    </cfRule>
    <cfRule type="cellIs" dxfId="4822" priority="366" stopIfTrue="1" operator="between">
      <formula>79.1</formula>
      <formula>100</formula>
    </cfRule>
    <cfRule type="cellIs" dxfId="4821" priority="367" stopIfTrue="1" operator="between">
      <formula>34.1</formula>
      <formula>79</formula>
    </cfRule>
    <cfRule type="cellIs" dxfId="4820" priority="368" stopIfTrue="1" operator="between">
      <formula>13.1</formula>
      <formula>34</formula>
    </cfRule>
    <cfRule type="cellIs" dxfId="4819" priority="369" stopIfTrue="1" operator="between">
      <formula>5.1</formula>
      <formula>13</formula>
    </cfRule>
    <cfRule type="cellIs" dxfId="4818" priority="370" stopIfTrue="1" operator="between">
      <formula>0</formula>
      <formula>5</formula>
    </cfRule>
    <cfRule type="containsBlanks" dxfId="4817" priority="371" stopIfTrue="1">
      <formula>LEN(TRIM(E102))=0</formula>
    </cfRule>
  </conditionalFormatting>
  <conditionalFormatting sqref="Q102">
    <cfRule type="containsBlanks" dxfId="4816" priority="358" stopIfTrue="1">
      <formula>LEN(TRIM(Q102))=0</formula>
    </cfRule>
    <cfRule type="cellIs" dxfId="4815" priority="359" stopIfTrue="1" operator="between">
      <formula>80.1</formula>
      <formula>100</formula>
    </cfRule>
    <cfRule type="cellIs" dxfId="4814" priority="360" stopIfTrue="1" operator="between">
      <formula>35.1</formula>
      <formula>80</formula>
    </cfRule>
    <cfRule type="cellIs" dxfId="4813" priority="361" stopIfTrue="1" operator="between">
      <formula>14.1</formula>
      <formula>35</formula>
    </cfRule>
    <cfRule type="cellIs" dxfId="4812" priority="362" stopIfTrue="1" operator="between">
      <formula>5.1</formula>
      <formula>14</formula>
    </cfRule>
    <cfRule type="cellIs" dxfId="4811" priority="363" stopIfTrue="1" operator="between">
      <formula>0</formula>
      <formula>5</formula>
    </cfRule>
    <cfRule type="containsBlanks" dxfId="4810" priority="364" stopIfTrue="1">
      <formula>LEN(TRIM(Q102))=0</formula>
    </cfRule>
  </conditionalFormatting>
  <conditionalFormatting sqref="R102">
    <cfRule type="cellIs" dxfId="4809" priority="357" stopIfTrue="1" operator="equal">
      <formula>"NO"</formula>
    </cfRule>
  </conditionalFormatting>
  <conditionalFormatting sqref="S102">
    <cfRule type="cellIs" dxfId="4808" priority="356" stopIfTrue="1" operator="equal">
      <formula>"INVIABLE SANITARIAMENTE"</formula>
    </cfRule>
  </conditionalFormatting>
  <conditionalFormatting sqref="Q102">
    <cfRule type="containsBlanks" dxfId="4807" priority="349" stopIfTrue="1">
      <formula>LEN(TRIM(Q102))=0</formula>
    </cfRule>
    <cfRule type="cellIs" dxfId="4806" priority="350" stopIfTrue="1" operator="between">
      <formula>80.1</formula>
      <formula>100</formula>
    </cfRule>
    <cfRule type="cellIs" dxfId="4805" priority="351" stopIfTrue="1" operator="between">
      <formula>35.1</formula>
      <formula>80</formula>
    </cfRule>
    <cfRule type="cellIs" dxfId="4804" priority="352" stopIfTrue="1" operator="between">
      <formula>14.1</formula>
      <formula>35</formula>
    </cfRule>
    <cfRule type="cellIs" dxfId="4803" priority="353" stopIfTrue="1" operator="between">
      <formula>5.1</formula>
      <formula>14</formula>
    </cfRule>
    <cfRule type="cellIs" dxfId="4802" priority="354" stopIfTrue="1" operator="between">
      <formula>0</formula>
      <formula>5</formula>
    </cfRule>
    <cfRule type="containsBlanks" dxfId="4801" priority="355" stopIfTrue="1">
      <formula>LEN(TRIM(Q102))=0</formula>
    </cfRule>
  </conditionalFormatting>
  <conditionalFormatting sqref="S102">
    <cfRule type="containsText" dxfId="4800" priority="344" stopIfTrue="1" operator="containsText" text="INVIABLE SANITARIAMENTE">
      <formula>NOT(ISERROR(SEARCH("INVIABLE SANITARIAMENTE",S102)))</formula>
    </cfRule>
    <cfRule type="containsText" dxfId="4799" priority="345" stopIfTrue="1" operator="containsText" text="ALTO">
      <formula>NOT(ISERROR(SEARCH("ALTO",S102)))</formula>
    </cfRule>
    <cfRule type="containsText" dxfId="4798" priority="346" stopIfTrue="1" operator="containsText" text="MEDIO">
      <formula>NOT(ISERROR(SEARCH("MEDIO",S102)))</formula>
    </cfRule>
    <cfRule type="containsText" dxfId="4797" priority="347" stopIfTrue="1" operator="containsText" text="BAJO">
      <formula>NOT(ISERROR(SEARCH("BAJO",S102)))</formula>
    </cfRule>
    <cfRule type="containsText" dxfId="4796" priority="348" stopIfTrue="1" operator="containsText" text="SIN RIESGO">
      <formula>NOT(ISERROR(SEARCH("SIN RIESGO",S102)))</formula>
    </cfRule>
  </conditionalFormatting>
  <conditionalFormatting sqref="S102">
    <cfRule type="containsText" dxfId="4795" priority="343" stopIfTrue="1" operator="containsText" text="SIN RIESGO">
      <formula>NOT(ISERROR(SEARCH("SIN RIESGO",S102)))</formula>
    </cfRule>
  </conditionalFormatting>
  <conditionalFormatting sqref="E103:P103">
    <cfRule type="containsBlanks" dxfId="4794" priority="336" stopIfTrue="1">
      <formula>LEN(TRIM(E103))=0</formula>
    </cfRule>
    <cfRule type="cellIs" dxfId="4793" priority="337" stopIfTrue="1" operator="between">
      <formula>79.1</formula>
      <formula>100</formula>
    </cfRule>
    <cfRule type="cellIs" dxfId="4792" priority="338" stopIfTrue="1" operator="between">
      <formula>34.1</formula>
      <formula>79</formula>
    </cfRule>
    <cfRule type="cellIs" dxfId="4791" priority="339" stopIfTrue="1" operator="between">
      <formula>13.1</formula>
      <formula>34</formula>
    </cfRule>
    <cfRule type="cellIs" dxfId="4790" priority="340" stopIfTrue="1" operator="between">
      <formula>5.1</formula>
      <formula>13</formula>
    </cfRule>
    <cfRule type="cellIs" dxfId="4789" priority="341" stopIfTrue="1" operator="between">
      <formula>0</formula>
      <formula>5</formula>
    </cfRule>
    <cfRule type="containsBlanks" dxfId="4788" priority="342" stopIfTrue="1">
      <formula>LEN(TRIM(E103))=0</formula>
    </cfRule>
  </conditionalFormatting>
  <conditionalFormatting sqref="Q103">
    <cfRule type="containsBlanks" dxfId="4787" priority="329" stopIfTrue="1">
      <formula>LEN(TRIM(Q103))=0</formula>
    </cfRule>
    <cfRule type="cellIs" dxfId="4786" priority="330" stopIfTrue="1" operator="between">
      <formula>80.1</formula>
      <formula>100</formula>
    </cfRule>
    <cfRule type="cellIs" dxfId="4785" priority="331" stopIfTrue="1" operator="between">
      <formula>35.1</formula>
      <formula>80</formula>
    </cfRule>
    <cfRule type="cellIs" dxfId="4784" priority="332" stopIfTrue="1" operator="between">
      <formula>14.1</formula>
      <formula>35</formula>
    </cfRule>
    <cfRule type="cellIs" dxfId="4783" priority="333" stopIfTrue="1" operator="between">
      <formula>5.1</formula>
      <formula>14</formula>
    </cfRule>
    <cfRule type="cellIs" dxfId="4782" priority="334" stopIfTrue="1" operator="between">
      <formula>0</formula>
      <formula>5</formula>
    </cfRule>
    <cfRule type="containsBlanks" dxfId="4781" priority="335" stopIfTrue="1">
      <formula>LEN(TRIM(Q103))=0</formula>
    </cfRule>
  </conditionalFormatting>
  <conditionalFormatting sqref="R103">
    <cfRule type="cellIs" dxfId="4780" priority="328" stopIfTrue="1" operator="equal">
      <formula>"NO"</formula>
    </cfRule>
  </conditionalFormatting>
  <conditionalFormatting sqref="S103">
    <cfRule type="cellIs" dxfId="4779" priority="327" stopIfTrue="1" operator="equal">
      <formula>"INVIABLE SANITARIAMENTE"</formula>
    </cfRule>
  </conditionalFormatting>
  <conditionalFormatting sqref="Q103">
    <cfRule type="containsBlanks" dxfId="4778" priority="320" stopIfTrue="1">
      <formula>LEN(TRIM(Q103))=0</formula>
    </cfRule>
    <cfRule type="cellIs" dxfId="4777" priority="321" stopIfTrue="1" operator="between">
      <formula>80.1</formula>
      <formula>100</formula>
    </cfRule>
    <cfRule type="cellIs" dxfId="4776" priority="322" stopIfTrue="1" operator="between">
      <formula>35.1</formula>
      <formula>80</formula>
    </cfRule>
    <cfRule type="cellIs" dxfId="4775" priority="323" stopIfTrue="1" operator="between">
      <formula>14.1</formula>
      <formula>35</formula>
    </cfRule>
    <cfRule type="cellIs" dxfId="4774" priority="324" stopIfTrue="1" operator="between">
      <formula>5.1</formula>
      <formula>14</formula>
    </cfRule>
    <cfRule type="cellIs" dxfId="4773" priority="325" stopIfTrue="1" operator="between">
      <formula>0</formula>
      <formula>5</formula>
    </cfRule>
    <cfRule type="containsBlanks" dxfId="4772" priority="326" stopIfTrue="1">
      <formula>LEN(TRIM(Q103))=0</formula>
    </cfRule>
  </conditionalFormatting>
  <conditionalFormatting sqref="S103">
    <cfRule type="containsText" dxfId="4771" priority="315" stopIfTrue="1" operator="containsText" text="INVIABLE SANITARIAMENTE">
      <formula>NOT(ISERROR(SEARCH("INVIABLE SANITARIAMENTE",S103)))</formula>
    </cfRule>
    <cfRule type="containsText" dxfId="4770" priority="316" stopIfTrue="1" operator="containsText" text="ALTO">
      <formula>NOT(ISERROR(SEARCH("ALTO",S103)))</formula>
    </cfRule>
    <cfRule type="containsText" dxfId="4769" priority="317" stopIfTrue="1" operator="containsText" text="MEDIO">
      <formula>NOT(ISERROR(SEARCH("MEDIO",S103)))</formula>
    </cfRule>
    <cfRule type="containsText" dxfId="4768" priority="318" stopIfTrue="1" operator="containsText" text="BAJO">
      <formula>NOT(ISERROR(SEARCH("BAJO",S103)))</formula>
    </cfRule>
    <cfRule type="containsText" dxfId="4767" priority="319" stopIfTrue="1" operator="containsText" text="SIN RIESGO">
      <formula>NOT(ISERROR(SEARCH("SIN RIESGO",S103)))</formula>
    </cfRule>
  </conditionalFormatting>
  <conditionalFormatting sqref="S103">
    <cfRule type="containsText" dxfId="4766" priority="314" stopIfTrue="1" operator="containsText" text="SIN RIESGO">
      <formula>NOT(ISERROR(SEARCH("SIN RIESGO",S103)))</formula>
    </cfRule>
  </conditionalFormatting>
  <conditionalFormatting sqref="E104:P104">
    <cfRule type="containsBlanks" dxfId="4765" priority="307" stopIfTrue="1">
      <formula>LEN(TRIM(E104))=0</formula>
    </cfRule>
    <cfRule type="cellIs" dxfId="4764" priority="308" stopIfTrue="1" operator="between">
      <formula>79.1</formula>
      <formula>100</formula>
    </cfRule>
    <cfRule type="cellIs" dxfId="4763" priority="309" stopIfTrue="1" operator="between">
      <formula>34.1</formula>
      <formula>79</formula>
    </cfRule>
    <cfRule type="cellIs" dxfId="4762" priority="310" stopIfTrue="1" operator="between">
      <formula>13.1</formula>
      <formula>34</formula>
    </cfRule>
    <cfRule type="cellIs" dxfId="4761" priority="311" stopIfTrue="1" operator="between">
      <formula>5.1</formula>
      <formula>13</formula>
    </cfRule>
    <cfRule type="cellIs" dxfId="4760" priority="312" stopIfTrue="1" operator="between">
      <formula>0</formula>
      <formula>5</formula>
    </cfRule>
    <cfRule type="containsBlanks" dxfId="4759" priority="313" stopIfTrue="1">
      <formula>LEN(TRIM(E104))=0</formula>
    </cfRule>
  </conditionalFormatting>
  <conditionalFormatting sqref="Q104">
    <cfRule type="containsBlanks" dxfId="4758" priority="300" stopIfTrue="1">
      <formula>LEN(TRIM(Q104))=0</formula>
    </cfRule>
    <cfRule type="cellIs" dxfId="4757" priority="301" stopIfTrue="1" operator="between">
      <formula>80.1</formula>
      <formula>100</formula>
    </cfRule>
    <cfRule type="cellIs" dxfId="4756" priority="302" stopIfTrue="1" operator="between">
      <formula>35.1</formula>
      <formula>80</formula>
    </cfRule>
    <cfRule type="cellIs" dxfId="4755" priority="303" stopIfTrue="1" operator="between">
      <formula>14.1</formula>
      <formula>35</formula>
    </cfRule>
    <cfRule type="cellIs" dxfId="4754" priority="304" stopIfTrue="1" operator="between">
      <formula>5.1</formula>
      <formula>14</formula>
    </cfRule>
    <cfRule type="cellIs" dxfId="4753" priority="305" stopIfTrue="1" operator="between">
      <formula>0</formula>
      <formula>5</formula>
    </cfRule>
    <cfRule type="containsBlanks" dxfId="4752" priority="306" stopIfTrue="1">
      <formula>LEN(TRIM(Q104))=0</formula>
    </cfRule>
  </conditionalFormatting>
  <conditionalFormatting sqref="R104">
    <cfRule type="cellIs" dxfId="4751" priority="299" stopIfTrue="1" operator="equal">
      <formula>"NO"</formula>
    </cfRule>
  </conditionalFormatting>
  <conditionalFormatting sqref="S104">
    <cfRule type="cellIs" dxfId="4750" priority="298" stopIfTrue="1" operator="equal">
      <formula>"INVIABLE SANITARIAMENTE"</formula>
    </cfRule>
  </conditionalFormatting>
  <conditionalFormatting sqref="Q104">
    <cfRule type="containsBlanks" dxfId="4749" priority="291" stopIfTrue="1">
      <formula>LEN(TRIM(Q104))=0</formula>
    </cfRule>
    <cfRule type="cellIs" dxfId="4748" priority="292" stopIfTrue="1" operator="between">
      <formula>80.1</formula>
      <formula>100</formula>
    </cfRule>
    <cfRule type="cellIs" dxfId="4747" priority="293" stopIfTrue="1" operator="between">
      <formula>35.1</formula>
      <formula>80</formula>
    </cfRule>
    <cfRule type="cellIs" dxfId="4746" priority="294" stopIfTrue="1" operator="between">
      <formula>14.1</formula>
      <formula>35</formula>
    </cfRule>
    <cfRule type="cellIs" dxfId="4745" priority="295" stopIfTrue="1" operator="between">
      <formula>5.1</formula>
      <formula>14</formula>
    </cfRule>
    <cfRule type="cellIs" dxfId="4744" priority="296" stopIfTrue="1" operator="between">
      <formula>0</formula>
      <formula>5</formula>
    </cfRule>
    <cfRule type="containsBlanks" dxfId="4743" priority="297" stopIfTrue="1">
      <formula>LEN(TRIM(Q104))=0</formula>
    </cfRule>
  </conditionalFormatting>
  <conditionalFormatting sqref="S104">
    <cfRule type="containsText" dxfId="4742" priority="286" stopIfTrue="1" operator="containsText" text="INVIABLE SANITARIAMENTE">
      <formula>NOT(ISERROR(SEARCH("INVIABLE SANITARIAMENTE",S104)))</formula>
    </cfRule>
    <cfRule type="containsText" dxfId="4741" priority="287" stopIfTrue="1" operator="containsText" text="ALTO">
      <formula>NOT(ISERROR(SEARCH("ALTO",S104)))</formula>
    </cfRule>
    <cfRule type="containsText" dxfId="4740" priority="288" stopIfTrue="1" operator="containsText" text="MEDIO">
      <formula>NOT(ISERROR(SEARCH("MEDIO",S104)))</formula>
    </cfRule>
    <cfRule type="containsText" dxfId="4739" priority="289" stopIfTrue="1" operator="containsText" text="BAJO">
      <formula>NOT(ISERROR(SEARCH("BAJO",S104)))</formula>
    </cfRule>
    <cfRule type="containsText" dxfId="4738" priority="290" stopIfTrue="1" operator="containsText" text="SIN RIESGO">
      <formula>NOT(ISERROR(SEARCH("SIN RIESGO",S104)))</formula>
    </cfRule>
  </conditionalFormatting>
  <conditionalFormatting sqref="S104">
    <cfRule type="containsText" dxfId="4737" priority="285" stopIfTrue="1" operator="containsText" text="SIN RIESGO">
      <formula>NOT(ISERROR(SEARCH("SIN RIESGO",S104)))</formula>
    </cfRule>
  </conditionalFormatting>
  <conditionalFormatting sqref="E138:P138">
    <cfRule type="containsBlanks" dxfId="4736" priority="278" stopIfTrue="1">
      <formula>LEN(TRIM(E138))=0</formula>
    </cfRule>
    <cfRule type="cellIs" dxfId="4735" priority="279" stopIfTrue="1" operator="between">
      <formula>79.1</formula>
      <formula>100</formula>
    </cfRule>
    <cfRule type="cellIs" dxfId="4734" priority="280" stopIfTrue="1" operator="between">
      <formula>34.1</formula>
      <formula>79</formula>
    </cfRule>
    <cfRule type="cellIs" dxfId="4733" priority="281" stopIfTrue="1" operator="between">
      <formula>13.1</formula>
      <formula>34</formula>
    </cfRule>
    <cfRule type="cellIs" dxfId="4732" priority="282" stopIfTrue="1" operator="between">
      <formula>5.1</formula>
      <formula>13</formula>
    </cfRule>
    <cfRule type="cellIs" dxfId="4731" priority="283" stopIfTrue="1" operator="between">
      <formula>0</formula>
      <formula>5</formula>
    </cfRule>
    <cfRule type="containsBlanks" dxfId="4730" priority="284" stopIfTrue="1">
      <formula>LEN(TRIM(E138))=0</formula>
    </cfRule>
  </conditionalFormatting>
  <conditionalFormatting sqref="Q138">
    <cfRule type="containsBlanks" dxfId="4729" priority="271" stopIfTrue="1">
      <formula>LEN(TRIM(Q138))=0</formula>
    </cfRule>
    <cfRule type="cellIs" dxfId="4728" priority="272" stopIfTrue="1" operator="between">
      <formula>80.1</formula>
      <formula>100</formula>
    </cfRule>
    <cfRule type="cellIs" dxfId="4727" priority="273" stopIfTrue="1" operator="between">
      <formula>35.1</formula>
      <formula>80</formula>
    </cfRule>
    <cfRule type="cellIs" dxfId="4726" priority="274" stopIfTrue="1" operator="between">
      <formula>14.1</formula>
      <formula>35</formula>
    </cfRule>
    <cfRule type="cellIs" dxfId="4725" priority="275" stopIfTrue="1" operator="between">
      <formula>5.1</formula>
      <formula>14</formula>
    </cfRule>
    <cfRule type="cellIs" dxfId="4724" priority="276" stopIfTrue="1" operator="between">
      <formula>0</formula>
      <formula>5</formula>
    </cfRule>
    <cfRule type="containsBlanks" dxfId="4723" priority="277" stopIfTrue="1">
      <formula>LEN(TRIM(Q138))=0</formula>
    </cfRule>
  </conditionalFormatting>
  <conditionalFormatting sqref="R138">
    <cfRule type="cellIs" dxfId="4722" priority="270" stopIfTrue="1" operator="equal">
      <formula>"NO"</formula>
    </cfRule>
  </conditionalFormatting>
  <conditionalFormatting sqref="S138">
    <cfRule type="cellIs" dxfId="4721" priority="269" stopIfTrue="1" operator="equal">
      <formula>"INVIABLE SANITARIAMENTE"</formula>
    </cfRule>
  </conditionalFormatting>
  <conditionalFormatting sqref="Q138">
    <cfRule type="containsBlanks" dxfId="4720" priority="262" stopIfTrue="1">
      <formula>LEN(TRIM(Q138))=0</formula>
    </cfRule>
    <cfRule type="cellIs" dxfId="4719" priority="263" stopIfTrue="1" operator="between">
      <formula>80.1</formula>
      <formula>100</formula>
    </cfRule>
    <cfRule type="cellIs" dxfId="4718" priority="264" stopIfTrue="1" operator="between">
      <formula>35.1</formula>
      <formula>80</formula>
    </cfRule>
    <cfRule type="cellIs" dxfId="4717" priority="265" stopIfTrue="1" operator="between">
      <formula>14.1</formula>
      <formula>35</formula>
    </cfRule>
    <cfRule type="cellIs" dxfId="4716" priority="266" stopIfTrue="1" operator="between">
      <formula>5.1</formula>
      <formula>14</formula>
    </cfRule>
    <cfRule type="cellIs" dxfId="4715" priority="267" stopIfTrue="1" operator="between">
      <formula>0</formula>
      <formula>5</formula>
    </cfRule>
    <cfRule type="containsBlanks" dxfId="4714" priority="268" stopIfTrue="1">
      <formula>LEN(TRIM(Q138))=0</formula>
    </cfRule>
  </conditionalFormatting>
  <conditionalFormatting sqref="S138">
    <cfRule type="containsText" dxfId="4713" priority="257" stopIfTrue="1" operator="containsText" text="INVIABLE SANITARIAMENTE">
      <formula>NOT(ISERROR(SEARCH("INVIABLE SANITARIAMENTE",S138)))</formula>
    </cfRule>
    <cfRule type="containsText" dxfId="4712" priority="258" stopIfTrue="1" operator="containsText" text="ALTO">
      <formula>NOT(ISERROR(SEARCH("ALTO",S138)))</formula>
    </cfRule>
    <cfRule type="containsText" dxfId="4711" priority="259" stopIfTrue="1" operator="containsText" text="MEDIO">
      <formula>NOT(ISERROR(SEARCH("MEDIO",S138)))</formula>
    </cfRule>
    <cfRule type="containsText" dxfId="4710" priority="260" stopIfTrue="1" operator="containsText" text="BAJO">
      <formula>NOT(ISERROR(SEARCH("BAJO",S138)))</formula>
    </cfRule>
    <cfRule type="containsText" dxfId="4709" priority="261" stopIfTrue="1" operator="containsText" text="SIN RIESGO">
      <formula>NOT(ISERROR(SEARCH("SIN RIESGO",S138)))</formula>
    </cfRule>
  </conditionalFormatting>
  <conditionalFormatting sqref="S138">
    <cfRule type="containsText" dxfId="4708" priority="256" stopIfTrue="1" operator="containsText" text="SIN RIESGO">
      <formula>NOT(ISERROR(SEARCH("SIN RIESGO",S138)))</formula>
    </cfRule>
  </conditionalFormatting>
  <conditionalFormatting sqref="E175:P175">
    <cfRule type="containsBlanks" dxfId="4707" priority="249" stopIfTrue="1">
      <formula>LEN(TRIM(E175))=0</formula>
    </cfRule>
    <cfRule type="cellIs" dxfId="4706" priority="250" stopIfTrue="1" operator="between">
      <formula>79.1</formula>
      <formula>100</formula>
    </cfRule>
    <cfRule type="cellIs" dxfId="4705" priority="251" stopIfTrue="1" operator="between">
      <formula>34.1</formula>
      <formula>79</formula>
    </cfRule>
    <cfRule type="cellIs" dxfId="4704" priority="252" stopIfTrue="1" operator="between">
      <formula>13.1</formula>
      <formula>34</formula>
    </cfRule>
    <cfRule type="cellIs" dxfId="4703" priority="253" stopIfTrue="1" operator="between">
      <formula>5.1</formula>
      <formula>13</formula>
    </cfRule>
    <cfRule type="cellIs" dxfId="4702" priority="254" stopIfTrue="1" operator="between">
      <formula>0</formula>
      <formula>5</formula>
    </cfRule>
    <cfRule type="containsBlanks" dxfId="4701" priority="255" stopIfTrue="1">
      <formula>LEN(TRIM(E175))=0</formula>
    </cfRule>
  </conditionalFormatting>
  <conditionalFormatting sqref="Q175">
    <cfRule type="containsBlanks" dxfId="4700" priority="242" stopIfTrue="1">
      <formula>LEN(TRIM(Q175))=0</formula>
    </cfRule>
    <cfRule type="cellIs" dxfId="4699" priority="243" stopIfTrue="1" operator="between">
      <formula>80.1</formula>
      <formula>100</formula>
    </cfRule>
    <cfRule type="cellIs" dxfId="4698" priority="244" stopIfTrue="1" operator="between">
      <formula>35.1</formula>
      <formula>80</formula>
    </cfRule>
    <cfRule type="cellIs" dxfId="4697" priority="245" stopIfTrue="1" operator="between">
      <formula>14.1</formula>
      <formula>35</formula>
    </cfRule>
    <cfRule type="cellIs" dxfId="4696" priority="246" stopIfTrue="1" operator="between">
      <formula>5.1</formula>
      <formula>14</formula>
    </cfRule>
    <cfRule type="cellIs" dxfId="4695" priority="247" stopIfTrue="1" operator="between">
      <formula>0</formula>
      <formula>5</formula>
    </cfRule>
    <cfRule type="containsBlanks" dxfId="4694" priority="248" stopIfTrue="1">
      <formula>LEN(TRIM(Q175))=0</formula>
    </cfRule>
  </conditionalFormatting>
  <conditionalFormatting sqref="R175">
    <cfRule type="cellIs" dxfId="4693" priority="241" stopIfTrue="1" operator="equal">
      <formula>"NO"</formula>
    </cfRule>
  </conditionalFormatting>
  <conditionalFormatting sqref="S175">
    <cfRule type="cellIs" dxfId="4692" priority="240" stopIfTrue="1" operator="equal">
      <formula>"INVIABLE SANITARIAMENTE"</formula>
    </cfRule>
  </conditionalFormatting>
  <conditionalFormatting sqref="Q175">
    <cfRule type="containsBlanks" dxfId="4691" priority="233" stopIfTrue="1">
      <formula>LEN(TRIM(Q175))=0</formula>
    </cfRule>
    <cfRule type="cellIs" dxfId="4690" priority="234" stopIfTrue="1" operator="between">
      <formula>80.1</formula>
      <formula>100</formula>
    </cfRule>
    <cfRule type="cellIs" dxfId="4689" priority="235" stopIfTrue="1" operator="between">
      <formula>35.1</formula>
      <formula>80</formula>
    </cfRule>
    <cfRule type="cellIs" dxfId="4688" priority="236" stopIfTrue="1" operator="between">
      <formula>14.1</formula>
      <formula>35</formula>
    </cfRule>
    <cfRule type="cellIs" dxfId="4687" priority="237" stopIfTrue="1" operator="between">
      <formula>5.1</formula>
      <formula>14</formula>
    </cfRule>
    <cfRule type="cellIs" dxfId="4686" priority="238" stopIfTrue="1" operator="between">
      <formula>0</formula>
      <formula>5</formula>
    </cfRule>
    <cfRule type="containsBlanks" dxfId="4685" priority="239" stopIfTrue="1">
      <formula>LEN(TRIM(Q175))=0</formula>
    </cfRule>
  </conditionalFormatting>
  <conditionalFormatting sqref="S175">
    <cfRule type="containsText" dxfId="4684" priority="228" stopIfTrue="1" operator="containsText" text="INVIABLE SANITARIAMENTE">
      <formula>NOT(ISERROR(SEARCH("INVIABLE SANITARIAMENTE",S175)))</formula>
    </cfRule>
    <cfRule type="containsText" dxfId="4683" priority="229" stopIfTrue="1" operator="containsText" text="ALTO">
      <formula>NOT(ISERROR(SEARCH("ALTO",S175)))</formula>
    </cfRule>
    <cfRule type="containsText" dxfId="4682" priority="230" stopIfTrue="1" operator="containsText" text="MEDIO">
      <formula>NOT(ISERROR(SEARCH("MEDIO",S175)))</formula>
    </cfRule>
    <cfRule type="containsText" dxfId="4681" priority="231" stopIfTrue="1" operator="containsText" text="BAJO">
      <formula>NOT(ISERROR(SEARCH("BAJO",S175)))</formula>
    </cfRule>
    <cfRule type="containsText" dxfId="4680" priority="232" stopIfTrue="1" operator="containsText" text="SIN RIESGO">
      <formula>NOT(ISERROR(SEARCH("SIN RIESGO",S175)))</formula>
    </cfRule>
  </conditionalFormatting>
  <conditionalFormatting sqref="S175">
    <cfRule type="containsText" dxfId="4679" priority="227" stopIfTrue="1" operator="containsText" text="SIN RIESGO">
      <formula>NOT(ISERROR(SEARCH("SIN RIESGO",S175)))</formula>
    </cfRule>
  </conditionalFormatting>
  <conditionalFormatting sqref="E177:P177">
    <cfRule type="containsBlanks" dxfId="4678" priority="220" stopIfTrue="1">
      <formula>LEN(TRIM(E177))=0</formula>
    </cfRule>
    <cfRule type="cellIs" dxfId="4677" priority="221" stopIfTrue="1" operator="between">
      <formula>79.1</formula>
      <formula>100</formula>
    </cfRule>
    <cfRule type="cellIs" dxfId="4676" priority="222" stopIfTrue="1" operator="between">
      <formula>34.1</formula>
      <formula>79</formula>
    </cfRule>
    <cfRule type="cellIs" dxfId="4675" priority="223" stopIfTrue="1" operator="between">
      <formula>13.1</formula>
      <formula>34</formula>
    </cfRule>
    <cfRule type="cellIs" dxfId="4674" priority="224" stopIfTrue="1" operator="between">
      <formula>5.1</formula>
      <formula>13</formula>
    </cfRule>
    <cfRule type="cellIs" dxfId="4673" priority="225" stopIfTrue="1" operator="between">
      <formula>0</formula>
      <formula>5</formula>
    </cfRule>
    <cfRule type="containsBlanks" dxfId="4672" priority="226" stopIfTrue="1">
      <formula>LEN(TRIM(E177))=0</formula>
    </cfRule>
  </conditionalFormatting>
  <conditionalFormatting sqref="Q177">
    <cfRule type="containsBlanks" dxfId="4671" priority="213" stopIfTrue="1">
      <formula>LEN(TRIM(Q177))=0</formula>
    </cfRule>
    <cfRule type="cellIs" dxfId="4670" priority="214" stopIfTrue="1" operator="between">
      <formula>80.1</formula>
      <formula>100</formula>
    </cfRule>
    <cfRule type="cellIs" dxfId="4669" priority="215" stopIfTrue="1" operator="between">
      <formula>35.1</formula>
      <formula>80</formula>
    </cfRule>
    <cfRule type="cellIs" dxfId="4668" priority="216" stopIfTrue="1" operator="between">
      <formula>14.1</formula>
      <formula>35</formula>
    </cfRule>
    <cfRule type="cellIs" dxfId="4667" priority="217" stopIfTrue="1" operator="between">
      <formula>5.1</formula>
      <formula>14</formula>
    </cfRule>
    <cfRule type="cellIs" dxfId="4666" priority="218" stopIfTrue="1" operator="between">
      <formula>0</formula>
      <formula>5</formula>
    </cfRule>
    <cfRule type="containsBlanks" dxfId="4665" priority="219" stopIfTrue="1">
      <formula>LEN(TRIM(Q177))=0</formula>
    </cfRule>
  </conditionalFormatting>
  <conditionalFormatting sqref="R177">
    <cfRule type="cellIs" dxfId="4664" priority="212" stopIfTrue="1" operator="equal">
      <formula>"NO"</formula>
    </cfRule>
  </conditionalFormatting>
  <conditionalFormatting sqref="S177">
    <cfRule type="cellIs" dxfId="4663" priority="211" stopIfTrue="1" operator="equal">
      <formula>"INVIABLE SANITARIAMENTE"</formula>
    </cfRule>
  </conditionalFormatting>
  <conditionalFormatting sqref="Q177">
    <cfRule type="containsBlanks" dxfId="4662" priority="204" stopIfTrue="1">
      <formula>LEN(TRIM(Q177))=0</formula>
    </cfRule>
    <cfRule type="cellIs" dxfId="4661" priority="205" stopIfTrue="1" operator="between">
      <formula>80.1</formula>
      <formula>100</formula>
    </cfRule>
    <cfRule type="cellIs" dxfId="4660" priority="206" stopIfTrue="1" operator="between">
      <formula>35.1</formula>
      <formula>80</formula>
    </cfRule>
    <cfRule type="cellIs" dxfId="4659" priority="207" stopIfTrue="1" operator="between">
      <formula>14.1</formula>
      <formula>35</formula>
    </cfRule>
    <cfRule type="cellIs" dxfId="4658" priority="208" stopIfTrue="1" operator="between">
      <formula>5.1</formula>
      <formula>14</formula>
    </cfRule>
    <cfRule type="cellIs" dxfId="4657" priority="209" stopIfTrue="1" operator="between">
      <formula>0</formula>
      <formula>5</formula>
    </cfRule>
    <cfRule type="containsBlanks" dxfId="4656" priority="210" stopIfTrue="1">
      <formula>LEN(TRIM(Q177))=0</formula>
    </cfRule>
  </conditionalFormatting>
  <conditionalFormatting sqref="S177">
    <cfRule type="containsText" dxfId="4655" priority="199" stopIfTrue="1" operator="containsText" text="INVIABLE SANITARIAMENTE">
      <formula>NOT(ISERROR(SEARCH("INVIABLE SANITARIAMENTE",S177)))</formula>
    </cfRule>
    <cfRule type="containsText" dxfId="4654" priority="200" stopIfTrue="1" operator="containsText" text="ALTO">
      <formula>NOT(ISERROR(SEARCH("ALTO",S177)))</formula>
    </cfRule>
    <cfRule type="containsText" dxfId="4653" priority="201" stopIfTrue="1" operator="containsText" text="MEDIO">
      <formula>NOT(ISERROR(SEARCH("MEDIO",S177)))</formula>
    </cfRule>
    <cfRule type="containsText" dxfId="4652" priority="202" stopIfTrue="1" operator="containsText" text="BAJO">
      <formula>NOT(ISERROR(SEARCH("BAJO",S177)))</formula>
    </cfRule>
    <cfRule type="containsText" dxfId="4651" priority="203" stopIfTrue="1" operator="containsText" text="SIN RIESGO">
      <formula>NOT(ISERROR(SEARCH("SIN RIESGO",S177)))</formula>
    </cfRule>
  </conditionalFormatting>
  <conditionalFormatting sqref="S177">
    <cfRule type="containsText" dxfId="4650" priority="198" stopIfTrue="1" operator="containsText" text="SIN RIESGO">
      <formula>NOT(ISERROR(SEARCH("SIN RIESGO",S177)))</formula>
    </cfRule>
  </conditionalFormatting>
  <conditionalFormatting sqref="E178:P178">
    <cfRule type="containsBlanks" dxfId="4649" priority="191" stopIfTrue="1">
      <formula>LEN(TRIM(E178))=0</formula>
    </cfRule>
    <cfRule type="cellIs" dxfId="4648" priority="192" stopIfTrue="1" operator="between">
      <formula>79.1</formula>
      <formula>100</formula>
    </cfRule>
    <cfRule type="cellIs" dxfId="4647" priority="193" stopIfTrue="1" operator="between">
      <formula>34.1</formula>
      <formula>79</formula>
    </cfRule>
    <cfRule type="cellIs" dxfId="4646" priority="194" stopIfTrue="1" operator="between">
      <formula>13.1</formula>
      <formula>34</formula>
    </cfRule>
    <cfRule type="cellIs" dxfId="4645" priority="195" stopIfTrue="1" operator="between">
      <formula>5.1</formula>
      <formula>13</formula>
    </cfRule>
    <cfRule type="cellIs" dxfId="4644" priority="196" stopIfTrue="1" operator="between">
      <formula>0</formula>
      <formula>5</formula>
    </cfRule>
    <cfRule type="containsBlanks" dxfId="4643" priority="197" stopIfTrue="1">
      <formula>LEN(TRIM(E178))=0</formula>
    </cfRule>
  </conditionalFormatting>
  <conditionalFormatting sqref="Q178">
    <cfRule type="containsBlanks" dxfId="4642" priority="184" stopIfTrue="1">
      <formula>LEN(TRIM(Q178))=0</formula>
    </cfRule>
    <cfRule type="cellIs" dxfId="4641" priority="185" stopIfTrue="1" operator="between">
      <formula>80.1</formula>
      <formula>100</formula>
    </cfRule>
    <cfRule type="cellIs" dxfId="4640" priority="186" stopIfTrue="1" operator="between">
      <formula>35.1</formula>
      <formula>80</formula>
    </cfRule>
    <cfRule type="cellIs" dxfId="4639" priority="187" stopIfTrue="1" operator="between">
      <formula>14.1</formula>
      <formula>35</formula>
    </cfRule>
    <cfRule type="cellIs" dxfId="4638" priority="188" stopIfTrue="1" operator="between">
      <formula>5.1</formula>
      <formula>14</formula>
    </cfRule>
    <cfRule type="cellIs" dxfId="4637" priority="189" stopIfTrue="1" operator="between">
      <formula>0</formula>
      <formula>5</formula>
    </cfRule>
    <cfRule type="containsBlanks" dxfId="4636" priority="190" stopIfTrue="1">
      <formula>LEN(TRIM(Q178))=0</formula>
    </cfRule>
  </conditionalFormatting>
  <conditionalFormatting sqref="R178">
    <cfRule type="cellIs" dxfId="4635" priority="183" stopIfTrue="1" operator="equal">
      <formula>"NO"</formula>
    </cfRule>
  </conditionalFormatting>
  <conditionalFormatting sqref="S178">
    <cfRule type="cellIs" dxfId="4634" priority="182" stopIfTrue="1" operator="equal">
      <formula>"INVIABLE SANITARIAMENTE"</formula>
    </cfRule>
  </conditionalFormatting>
  <conditionalFormatting sqref="Q178">
    <cfRule type="containsBlanks" dxfId="4633" priority="175" stopIfTrue="1">
      <formula>LEN(TRIM(Q178))=0</formula>
    </cfRule>
    <cfRule type="cellIs" dxfId="4632" priority="176" stopIfTrue="1" operator="between">
      <formula>80.1</formula>
      <formula>100</formula>
    </cfRule>
    <cfRule type="cellIs" dxfId="4631" priority="177" stopIfTrue="1" operator="between">
      <formula>35.1</formula>
      <formula>80</formula>
    </cfRule>
    <cfRule type="cellIs" dxfId="4630" priority="178" stopIfTrue="1" operator="between">
      <formula>14.1</formula>
      <formula>35</formula>
    </cfRule>
    <cfRule type="cellIs" dxfId="4629" priority="179" stopIfTrue="1" operator="between">
      <formula>5.1</formula>
      <formula>14</formula>
    </cfRule>
    <cfRule type="cellIs" dxfId="4628" priority="180" stopIfTrue="1" operator="between">
      <formula>0</formula>
      <formula>5</formula>
    </cfRule>
    <cfRule type="containsBlanks" dxfId="4627" priority="181" stopIfTrue="1">
      <formula>LEN(TRIM(Q178))=0</formula>
    </cfRule>
  </conditionalFormatting>
  <conditionalFormatting sqref="S178">
    <cfRule type="containsText" dxfId="4626" priority="170" stopIfTrue="1" operator="containsText" text="INVIABLE SANITARIAMENTE">
      <formula>NOT(ISERROR(SEARCH("INVIABLE SANITARIAMENTE",S178)))</formula>
    </cfRule>
    <cfRule type="containsText" dxfId="4625" priority="171" stopIfTrue="1" operator="containsText" text="ALTO">
      <formula>NOT(ISERROR(SEARCH("ALTO",S178)))</formula>
    </cfRule>
    <cfRule type="containsText" dxfId="4624" priority="172" stopIfTrue="1" operator="containsText" text="MEDIO">
      <formula>NOT(ISERROR(SEARCH("MEDIO",S178)))</formula>
    </cfRule>
    <cfRule type="containsText" dxfId="4623" priority="173" stopIfTrue="1" operator="containsText" text="BAJO">
      <formula>NOT(ISERROR(SEARCH("BAJO",S178)))</formula>
    </cfRule>
    <cfRule type="containsText" dxfId="4622" priority="174" stopIfTrue="1" operator="containsText" text="SIN RIESGO">
      <formula>NOT(ISERROR(SEARCH("SIN RIESGO",S178)))</formula>
    </cfRule>
  </conditionalFormatting>
  <conditionalFormatting sqref="S178">
    <cfRule type="containsText" dxfId="4621" priority="169" stopIfTrue="1" operator="containsText" text="SIN RIESGO">
      <formula>NOT(ISERROR(SEARCH("SIN RIESGO",S178)))</formula>
    </cfRule>
  </conditionalFormatting>
  <conditionalFormatting sqref="E282:Q282">
    <cfRule type="containsBlanks" dxfId="4620" priority="162" stopIfTrue="1">
      <formula>LEN(TRIM(E282))=0</formula>
    </cfRule>
    <cfRule type="cellIs" dxfId="4619" priority="163" stopIfTrue="1" operator="between">
      <formula>80.1</formula>
      <formula>100</formula>
    </cfRule>
    <cfRule type="cellIs" dxfId="4618" priority="164" stopIfTrue="1" operator="between">
      <formula>35.1</formula>
      <formula>80</formula>
    </cfRule>
    <cfRule type="cellIs" dxfId="4617" priority="165" stopIfTrue="1" operator="between">
      <formula>14.1</formula>
      <formula>35</formula>
    </cfRule>
    <cfRule type="cellIs" dxfId="4616" priority="166" stopIfTrue="1" operator="between">
      <formula>5.1</formula>
      <formula>14</formula>
    </cfRule>
    <cfRule type="cellIs" dxfId="4615" priority="167" stopIfTrue="1" operator="between">
      <formula>0</formula>
      <formula>5</formula>
    </cfRule>
    <cfRule type="containsBlanks" dxfId="4614" priority="168" stopIfTrue="1">
      <formula>LEN(TRIM(E282))=0</formula>
    </cfRule>
  </conditionalFormatting>
  <conditionalFormatting sqref="R282">
    <cfRule type="cellIs" dxfId="4613" priority="161" stopIfTrue="1" operator="equal">
      <formula>"NO"</formula>
    </cfRule>
  </conditionalFormatting>
  <conditionalFormatting sqref="S282">
    <cfRule type="cellIs" dxfId="4612" priority="160" stopIfTrue="1" operator="equal">
      <formula>"INVIABLE SANITARIAMENTE"</formula>
    </cfRule>
  </conditionalFormatting>
  <conditionalFormatting sqref="Q282">
    <cfRule type="containsBlanks" dxfId="4611" priority="153" stopIfTrue="1">
      <formula>LEN(TRIM(Q282))=0</formula>
    </cfRule>
    <cfRule type="cellIs" dxfId="4610" priority="154" stopIfTrue="1" operator="between">
      <formula>80.1</formula>
      <formula>100</formula>
    </cfRule>
    <cfRule type="cellIs" dxfId="4609" priority="155" stopIfTrue="1" operator="between">
      <formula>35.1</formula>
      <formula>80</formula>
    </cfRule>
    <cfRule type="cellIs" dxfId="4608" priority="156" stopIfTrue="1" operator="between">
      <formula>14.1</formula>
      <formula>35</formula>
    </cfRule>
    <cfRule type="cellIs" dxfId="4607" priority="157" stopIfTrue="1" operator="between">
      <formula>5.1</formula>
      <formula>14</formula>
    </cfRule>
    <cfRule type="cellIs" dxfId="4606" priority="158" stopIfTrue="1" operator="between">
      <formula>0</formula>
      <formula>5</formula>
    </cfRule>
    <cfRule type="containsBlanks" dxfId="4605" priority="159" stopIfTrue="1">
      <formula>LEN(TRIM(Q282))=0</formula>
    </cfRule>
  </conditionalFormatting>
  <conditionalFormatting sqref="S282">
    <cfRule type="containsText" dxfId="4604" priority="148" stopIfTrue="1" operator="containsText" text="INVIABLE SANITARIAMENTE">
      <formula>NOT(ISERROR(SEARCH("INVIABLE SANITARIAMENTE",S282)))</formula>
    </cfRule>
    <cfRule type="containsText" dxfId="4603" priority="149" stopIfTrue="1" operator="containsText" text="ALTO">
      <formula>NOT(ISERROR(SEARCH("ALTO",S282)))</formula>
    </cfRule>
    <cfRule type="containsText" dxfId="4602" priority="150" stopIfTrue="1" operator="containsText" text="MEDIO">
      <formula>NOT(ISERROR(SEARCH("MEDIO",S282)))</formula>
    </cfRule>
    <cfRule type="containsText" dxfId="4601" priority="151" stopIfTrue="1" operator="containsText" text="BAJO">
      <formula>NOT(ISERROR(SEARCH("BAJO",S282)))</formula>
    </cfRule>
    <cfRule type="containsText" dxfId="4600" priority="152" stopIfTrue="1" operator="containsText" text="SIN RIESGO">
      <formula>NOT(ISERROR(SEARCH("SIN RIESGO",S282)))</formula>
    </cfRule>
  </conditionalFormatting>
  <conditionalFormatting sqref="S282">
    <cfRule type="containsText" dxfId="4599" priority="147" stopIfTrue="1" operator="containsText" text="SIN RIESGO">
      <formula>NOT(ISERROR(SEARCH("SIN RIESGO",S282)))</formula>
    </cfRule>
  </conditionalFormatting>
  <conditionalFormatting sqref="E283:Q283">
    <cfRule type="containsBlanks" dxfId="4598" priority="140" stopIfTrue="1">
      <formula>LEN(TRIM(E283))=0</formula>
    </cfRule>
    <cfRule type="cellIs" dxfId="4597" priority="141" stopIfTrue="1" operator="between">
      <formula>80.1</formula>
      <formula>100</formula>
    </cfRule>
    <cfRule type="cellIs" dxfId="4596" priority="142" stopIfTrue="1" operator="between">
      <formula>35.1</formula>
      <formula>80</formula>
    </cfRule>
    <cfRule type="cellIs" dxfId="4595" priority="143" stopIfTrue="1" operator="between">
      <formula>14.1</formula>
      <formula>35</formula>
    </cfRule>
    <cfRule type="cellIs" dxfId="4594" priority="144" stopIfTrue="1" operator="between">
      <formula>5.1</formula>
      <formula>14</formula>
    </cfRule>
    <cfRule type="cellIs" dxfId="4593" priority="145" stopIfTrue="1" operator="between">
      <formula>0</formula>
      <formula>5</formula>
    </cfRule>
    <cfRule type="containsBlanks" dxfId="4592" priority="146" stopIfTrue="1">
      <formula>LEN(TRIM(E283))=0</formula>
    </cfRule>
  </conditionalFormatting>
  <conditionalFormatting sqref="R283">
    <cfRule type="cellIs" dxfId="4591" priority="139" stopIfTrue="1" operator="equal">
      <formula>"NO"</formula>
    </cfRule>
  </conditionalFormatting>
  <conditionalFormatting sqref="S283">
    <cfRule type="cellIs" dxfId="4590" priority="138" stopIfTrue="1" operator="equal">
      <formula>"INVIABLE SANITARIAMENTE"</formula>
    </cfRule>
  </conditionalFormatting>
  <conditionalFormatting sqref="Q283">
    <cfRule type="containsBlanks" dxfId="4589" priority="131" stopIfTrue="1">
      <formula>LEN(TRIM(Q283))=0</formula>
    </cfRule>
    <cfRule type="cellIs" dxfId="4588" priority="132" stopIfTrue="1" operator="between">
      <formula>80.1</formula>
      <formula>100</formula>
    </cfRule>
    <cfRule type="cellIs" dxfId="4587" priority="133" stopIfTrue="1" operator="between">
      <formula>35.1</formula>
      <formula>80</formula>
    </cfRule>
    <cfRule type="cellIs" dxfId="4586" priority="134" stopIfTrue="1" operator="between">
      <formula>14.1</formula>
      <formula>35</formula>
    </cfRule>
    <cfRule type="cellIs" dxfId="4585" priority="135" stopIfTrue="1" operator="between">
      <formula>5.1</formula>
      <formula>14</formula>
    </cfRule>
    <cfRule type="cellIs" dxfId="4584" priority="136" stopIfTrue="1" operator="between">
      <formula>0</formula>
      <formula>5</formula>
    </cfRule>
    <cfRule type="containsBlanks" dxfId="4583" priority="137" stopIfTrue="1">
      <formula>LEN(TRIM(Q283))=0</formula>
    </cfRule>
  </conditionalFormatting>
  <conditionalFormatting sqref="S283">
    <cfRule type="containsText" dxfId="4582" priority="126" stopIfTrue="1" operator="containsText" text="INVIABLE SANITARIAMENTE">
      <formula>NOT(ISERROR(SEARCH("INVIABLE SANITARIAMENTE",S283)))</formula>
    </cfRule>
    <cfRule type="containsText" dxfId="4581" priority="127" stopIfTrue="1" operator="containsText" text="ALTO">
      <formula>NOT(ISERROR(SEARCH("ALTO",S283)))</formula>
    </cfRule>
    <cfRule type="containsText" dxfId="4580" priority="128" stopIfTrue="1" operator="containsText" text="MEDIO">
      <formula>NOT(ISERROR(SEARCH("MEDIO",S283)))</formula>
    </cfRule>
    <cfRule type="containsText" dxfId="4579" priority="129" stopIfTrue="1" operator="containsText" text="BAJO">
      <formula>NOT(ISERROR(SEARCH("BAJO",S283)))</formula>
    </cfRule>
    <cfRule type="containsText" dxfId="4578" priority="130" stopIfTrue="1" operator="containsText" text="SIN RIESGO">
      <formula>NOT(ISERROR(SEARCH("SIN RIESGO",S283)))</formula>
    </cfRule>
  </conditionalFormatting>
  <conditionalFormatting sqref="S283">
    <cfRule type="containsText" dxfId="4577" priority="125" stopIfTrue="1" operator="containsText" text="SIN RIESGO">
      <formula>NOT(ISERROR(SEARCH("SIN RIESGO",S283)))</formula>
    </cfRule>
  </conditionalFormatting>
  <conditionalFormatting sqref="E304:Q304">
    <cfRule type="containsBlanks" dxfId="4576" priority="118" stopIfTrue="1">
      <formula>LEN(TRIM(E304))=0</formula>
    </cfRule>
    <cfRule type="cellIs" dxfId="4575" priority="119" stopIfTrue="1" operator="between">
      <formula>80.1</formula>
      <formula>100</formula>
    </cfRule>
    <cfRule type="cellIs" dxfId="4574" priority="120" stopIfTrue="1" operator="between">
      <formula>35.1</formula>
      <formula>80</formula>
    </cfRule>
    <cfRule type="cellIs" dxfId="4573" priority="121" stopIfTrue="1" operator="between">
      <formula>14.1</formula>
      <formula>35</formula>
    </cfRule>
    <cfRule type="cellIs" dxfId="4572" priority="122" stopIfTrue="1" operator="between">
      <formula>5.1</formula>
      <formula>14</formula>
    </cfRule>
    <cfRule type="cellIs" dxfId="4571" priority="123" stopIfTrue="1" operator="between">
      <formula>0</formula>
      <formula>5</formula>
    </cfRule>
    <cfRule type="containsBlanks" dxfId="4570" priority="124" stopIfTrue="1">
      <formula>LEN(TRIM(E304))=0</formula>
    </cfRule>
  </conditionalFormatting>
  <conditionalFormatting sqref="R304">
    <cfRule type="cellIs" dxfId="4569" priority="117" stopIfTrue="1" operator="equal">
      <formula>"NO"</formula>
    </cfRule>
  </conditionalFormatting>
  <conditionalFormatting sqref="S304">
    <cfRule type="cellIs" dxfId="4568" priority="116" stopIfTrue="1" operator="equal">
      <formula>"INVIABLE SANITARIAMENTE"</formula>
    </cfRule>
  </conditionalFormatting>
  <conditionalFormatting sqref="Q304">
    <cfRule type="containsBlanks" dxfId="4567" priority="109" stopIfTrue="1">
      <formula>LEN(TRIM(Q304))=0</formula>
    </cfRule>
    <cfRule type="cellIs" dxfId="4566" priority="110" stopIfTrue="1" operator="between">
      <formula>80.1</formula>
      <formula>100</formula>
    </cfRule>
    <cfRule type="cellIs" dxfId="4565" priority="111" stopIfTrue="1" operator="between">
      <formula>35.1</formula>
      <formula>80</formula>
    </cfRule>
    <cfRule type="cellIs" dxfId="4564" priority="112" stopIfTrue="1" operator="between">
      <formula>14.1</formula>
      <formula>35</formula>
    </cfRule>
    <cfRule type="cellIs" dxfId="4563" priority="113" stopIfTrue="1" operator="between">
      <formula>5.1</formula>
      <formula>14</formula>
    </cfRule>
    <cfRule type="cellIs" dxfId="4562" priority="114" stopIfTrue="1" operator="between">
      <formula>0</formula>
      <formula>5</formula>
    </cfRule>
    <cfRule type="containsBlanks" dxfId="4561" priority="115" stopIfTrue="1">
      <formula>LEN(TRIM(Q304))=0</formula>
    </cfRule>
  </conditionalFormatting>
  <conditionalFormatting sqref="S304">
    <cfRule type="containsText" dxfId="4560" priority="104" stopIfTrue="1" operator="containsText" text="INVIABLE SANITARIAMENTE">
      <formula>NOT(ISERROR(SEARCH("INVIABLE SANITARIAMENTE",S304)))</formula>
    </cfRule>
    <cfRule type="containsText" dxfId="4559" priority="105" stopIfTrue="1" operator="containsText" text="ALTO">
      <formula>NOT(ISERROR(SEARCH("ALTO",S304)))</formula>
    </cfRule>
    <cfRule type="containsText" dxfId="4558" priority="106" stopIfTrue="1" operator="containsText" text="MEDIO">
      <formula>NOT(ISERROR(SEARCH("MEDIO",S304)))</formula>
    </cfRule>
    <cfRule type="containsText" dxfId="4557" priority="107" stopIfTrue="1" operator="containsText" text="BAJO">
      <formula>NOT(ISERROR(SEARCH("BAJO",S304)))</formula>
    </cfRule>
    <cfRule type="containsText" dxfId="4556" priority="108" stopIfTrue="1" operator="containsText" text="SIN RIESGO">
      <formula>NOT(ISERROR(SEARCH("SIN RIESGO",S304)))</formula>
    </cfRule>
  </conditionalFormatting>
  <conditionalFormatting sqref="S304">
    <cfRule type="containsText" dxfId="4555" priority="103" stopIfTrue="1" operator="containsText" text="SIN RIESGO">
      <formula>NOT(ISERROR(SEARCH("SIN RIESGO",S304)))</formula>
    </cfRule>
  </conditionalFormatting>
  <conditionalFormatting sqref="E305:Q305">
    <cfRule type="containsBlanks" dxfId="4554" priority="96" stopIfTrue="1">
      <formula>LEN(TRIM(E305))=0</formula>
    </cfRule>
    <cfRule type="cellIs" dxfId="4553" priority="97" stopIfTrue="1" operator="between">
      <formula>80.1</formula>
      <formula>100</formula>
    </cfRule>
    <cfRule type="cellIs" dxfId="4552" priority="98" stopIfTrue="1" operator="between">
      <formula>35.1</formula>
      <formula>80</formula>
    </cfRule>
    <cfRule type="cellIs" dxfId="4551" priority="99" stopIfTrue="1" operator="between">
      <formula>14.1</formula>
      <formula>35</formula>
    </cfRule>
    <cfRule type="cellIs" dxfId="4550" priority="100" stopIfTrue="1" operator="between">
      <formula>5.1</formula>
      <formula>14</formula>
    </cfRule>
    <cfRule type="cellIs" dxfId="4549" priority="101" stopIfTrue="1" operator="between">
      <formula>0</formula>
      <formula>5</formula>
    </cfRule>
    <cfRule type="containsBlanks" dxfId="4548" priority="102" stopIfTrue="1">
      <formula>LEN(TRIM(E305))=0</formula>
    </cfRule>
  </conditionalFormatting>
  <conditionalFormatting sqref="R305">
    <cfRule type="cellIs" dxfId="4547" priority="95" stopIfTrue="1" operator="equal">
      <formula>"NO"</formula>
    </cfRule>
  </conditionalFormatting>
  <conditionalFormatting sqref="S305">
    <cfRule type="cellIs" dxfId="4546" priority="94" stopIfTrue="1" operator="equal">
      <formula>"INVIABLE SANITARIAMENTE"</formula>
    </cfRule>
  </conditionalFormatting>
  <conditionalFormatting sqref="Q305">
    <cfRule type="containsBlanks" dxfId="4545" priority="87" stopIfTrue="1">
      <formula>LEN(TRIM(Q305))=0</formula>
    </cfRule>
    <cfRule type="cellIs" dxfId="4544" priority="88" stopIfTrue="1" operator="between">
      <formula>80.1</formula>
      <formula>100</formula>
    </cfRule>
    <cfRule type="cellIs" dxfId="4543" priority="89" stopIfTrue="1" operator="between">
      <formula>35.1</formula>
      <formula>80</formula>
    </cfRule>
    <cfRule type="cellIs" dxfId="4542" priority="90" stopIfTrue="1" operator="between">
      <formula>14.1</formula>
      <formula>35</formula>
    </cfRule>
    <cfRule type="cellIs" dxfId="4541" priority="91" stopIfTrue="1" operator="between">
      <formula>5.1</formula>
      <formula>14</formula>
    </cfRule>
    <cfRule type="cellIs" dxfId="4540" priority="92" stopIfTrue="1" operator="between">
      <formula>0</formula>
      <formula>5</formula>
    </cfRule>
    <cfRule type="containsBlanks" dxfId="4539" priority="93" stopIfTrue="1">
      <formula>LEN(TRIM(Q305))=0</formula>
    </cfRule>
  </conditionalFormatting>
  <conditionalFormatting sqref="S305">
    <cfRule type="containsText" dxfId="4538" priority="82" stopIfTrue="1" operator="containsText" text="INVIABLE SANITARIAMENTE">
      <formula>NOT(ISERROR(SEARCH("INVIABLE SANITARIAMENTE",S305)))</formula>
    </cfRule>
    <cfRule type="containsText" dxfId="4537" priority="83" stopIfTrue="1" operator="containsText" text="ALTO">
      <formula>NOT(ISERROR(SEARCH("ALTO",S305)))</formula>
    </cfRule>
    <cfRule type="containsText" dxfId="4536" priority="84" stopIfTrue="1" operator="containsText" text="MEDIO">
      <formula>NOT(ISERROR(SEARCH("MEDIO",S305)))</formula>
    </cfRule>
    <cfRule type="containsText" dxfId="4535" priority="85" stopIfTrue="1" operator="containsText" text="BAJO">
      <formula>NOT(ISERROR(SEARCH("BAJO",S305)))</formula>
    </cfRule>
    <cfRule type="containsText" dxfId="4534" priority="86" stopIfTrue="1" operator="containsText" text="SIN RIESGO">
      <formula>NOT(ISERROR(SEARCH("SIN RIESGO",S305)))</formula>
    </cfRule>
  </conditionalFormatting>
  <conditionalFormatting sqref="S305">
    <cfRule type="containsText" dxfId="4533" priority="81" stopIfTrue="1" operator="containsText" text="SIN RIESGO">
      <formula>NOT(ISERROR(SEARCH("SIN RIESGO",S305)))</formula>
    </cfRule>
  </conditionalFormatting>
  <conditionalFormatting sqref="E314:Q314">
    <cfRule type="containsBlanks" dxfId="4532" priority="74" stopIfTrue="1">
      <formula>LEN(TRIM(E314))=0</formula>
    </cfRule>
    <cfRule type="cellIs" dxfId="4531" priority="75" stopIfTrue="1" operator="between">
      <formula>80.1</formula>
      <formula>100</formula>
    </cfRule>
    <cfRule type="cellIs" dxfId="4530" priority="76" stopIfTrue="1" operator="between">
      <formula>35.1</formula>
      <formula>80</formula>
    </cfRule>
    <cfRule type="cellIs" dxfId="4529" priority="77" stopIfTrue="1" operator="between">
      <formula>14.1</formula>
      <formula>35</formula>
    </cfRule>
    <cfRule type="cellIs" dxfId="4528" priority="78" stopIfTrue="1" operator="between">
      <formula>5.1</formula>
      <formula>14</formula>
    </cfRule>
    <cfRule type="cellIs" dxfId="4527" priority="79" stopIfTrue="1" operator="between">
      <formula>0</formula>
      <formula>5</formula>
    </cfRule>
    <cfRule type="containsBlanks" dxfId="4526" priority="80" stopIfTrue="1">
      <formula>LEN(TRIM(E314))=0</formula>
    </cfRule>
  </conditionalFormatting>
  <conditionalFormatting sqref="R314">
    <cfRule type="cellIs" dxfId="4525" priority="73" stopIfTrue="1" operator="equal">
      <formula>"NO"</formula>
    </cfRule>
  </conditionalFormatting>
  <conditionalFormatting sqref="S314">
    <cfRule type="cellIs" dxfId="4524" priority="72" stopIfTrue="1" operator="equal">
      <formula>"INVIABLE SANITARIAMENTE"</formula>
    </cfRule>
  </conditionalFormatting>
  <conditionalFormatting sqref="Q314">
    <cfRule type="containsBlanks" dxfId="4523" priority="65" stopIfTrue="1">
      <formula>LEN(TRIM(Q314))=0</formula>
    </cfRule>
    <cfRule type="cellIs" dxfId="4522" priority="66" stopIfTrue="1" operator="between">
      <formula>80.1</formula>
      <formula>100</formula>
    </cfRule>
    <cfRule type="cellIs" dxfId="4521" priority="67" stopIfTrue="1" operator="between">
      <formula>35.1</formula>
      <formula>80</formula>
    </cfRule>
    <cfRule type="cellIs" dxfId="4520" priority="68" stopIfTrue="1" operator="between">
      <formula>14.1</formula>
      <formula>35</formula>
    </cfRule>
    <cfRule type="cellIs" dxfId="4519" priority="69" stopIfTrue="1" operator="between">
      <formula>5.1</formula>
      <formula>14</formula>
    </cfRule>
    <cfRule type="cellIs" dxfId="4518" priority="70" stopIfTrue="1" operator="between">
      <formula>0</formula>
      <formula>5</formula>
    </cfRule>
    <cfRule type="containsBlanks" dxfId="4517" priority="71" stopIfTrue="1">
      <formula>LEN(TRIM(Q314))=0</formula>
    </cfRule>
  </conditionalFormatting>
  <conditionalFormatting sqref="S314">
    <cfRule type="containsText" dxfId="4516" priority="60" stopIfTrue="1" operator="containsText" text="INVIABLE SANITARIAMENTE">
      <formula>NOT(ISERROR(SEARCH("INVIABLE SANITARIAMENTE",S314)))</formula>
    </cfRule>
    <cfRule type="containsText" dxfId="4515" priority="61" stopIfTrue="1" operator="containsText" text="ALTO">
      <formula>NOT(ISERROR(SEARCH("ALTO",S314)))</formula>
    </cfRule>
    <cfRule type="containsText" dxfId="4514" priority="62" stopIfTrue="1" operator="containsText" text="MEDIO">
      <formula>NOT(ISERROR(SEARCH("MEDIO",S314)))</formula>
    </cfRule>
    <cfRule type="containsText" dxfId="4513" priority="63" stopIfTrue="1" operator="containsText" text="BAJO">
      <formula>NOT(ISERROR(SEARCH("BAJO",S314)))</formula>
    </cfRule>
    <cfRule type="containsText" dxfId="4512" priority="64" stopIfTrue="1" operator="containsText" text="SIN RIESGO">
      <formula>NOT(ISERROR(SEARCH("SIN RIESGO",S314)))</formula>
    </cfRule>
  </conditionalFormatting>
  <conditionalFormatting sqref="S314">
    <cfRule type="containsText" dxfId="4511" priority="59" stopIfTrue="1" operator="containsText" text="SIN RIESGO">
      <formula>NOT(ISERROR(SEARCH("SIN RIESGO",S314)))</formula>
    </cfRule>
  </conditionalFormatting>
  <conditionalFormatting sqref="E92:P92">
    <cfRule type="containsBlanks" dxfId="4510" priority="52" stopIfTrue="1">
      <formula>LEN(TRIM(E92))=0</formula>
    </cfRule>
    <cfRule type="cellIs" dxfId="4509" priority="53" stopIfTrue="1" operator="between">
      <formula>79.1</formula>
      <formula>100</formula>
    </cfRule>
    <cfRule type="cellIs" dxfId="4508" priority="54" stopIfTrue="1" operator="between">
      <formula>34.1</formula>
      <formula>79</formula>
    </cfRule>
    <cfRule type="cellIs" dxfId="4507" priority="55" stopIfTrue="1" operator="between">
      <formula>13.1</formula>
      <formula>34</formula>
    </cfRule>
    <cfRule type="cellIs" dxfId="4506" priority="56" stopIfTrue="1" operator="between">
      <formula>5.1</formula>
      <formula>13</formula>
    </cfRule>
    <cfRule type="cellIs" dxfId="4505" priority="57" stopIfTrue="1" operator="between">
      <formula>0</formula>
      <formula>5</formula>
    </cfRule>
    <cfRule type="containsBlanks" dxfId="4504" priority="58" stopIfTrue="1">
      <formula>LEN(TRIM(E92))=0</formula>
    </cfRule>
  </conditionalFormatting>
  <conditionalFormatting sqref="Q92">
    <cfRule type="containsBlanks" dxfId="4503" priority="45" stopIfTrue="1">
      <formula>LEN(TRIM(Q92))=0</formula>
    </cfRule>
    <cfRule type="cellIs" dxfId="4502" priority="46" stopIfTrue="1" operator="between">
      <formula>80.1</formula>
      <formula>100</formula>
    </cfRule>
    <cfRule type="cellIs" dxfId="4501" priority="47" stopIfTrue="1" operator="between">
      <formula>35.1</formula>
      <formula>80</formula>
    </cfRule>
    <cfRule type="cellIs" dxfId="4500" priority="48" stopIfTrue="1" operator="between">
      <formula>14.1</formula>
      <formula>35</formula>
    </cfRule>
    <cfRule type="cellIs" dxfId="4499" priority="49" stopIfTrue="1" operator="between">
      <formula>5.1</formula>
      <formula>14</formula>
    </cfRule>
    <cfRule type="cellIs" dxfId="4498" priority="50" stopIfTrue="1" operator="between">
      <formula>0</formula>
      <formula>5</formula>
    </cfRule>
    <cfRule type="containsBlanks" dxfId="4497" priority="51" stopIfTrue="1">
      <formula>LEN(TRIM(Q92))=0</formula>
    </cfRule>
  </conditionalFormatting>
  <conditionalFormatting sqref="R92">
    <cfRule type="cellIs" dxfId="4496" priority="44" stopIfTrue="1" operator="equal">
      <formula>"NO"</formula>
    </cfRule>
  </conditionalFormatting>
  <conditionalFormatting sqref="S92">
    <cfRule type="cellIs" dxfId="4495" priority="43" stopIfTrue="1" operator="equal">
      <formula>"INVIABLE SANITARIAMENTE"</formula>
    </cfRule>
  </conditionalFormatting>
  <conditionalFormatting sqref="Q92">
    <cfRule type="containsBlanks" dxfId="4494" priority="36" stopIfTrue="1">
      <formula>LEN(TRIM(Q92))=0</formula>
    </cfRule>
    <cfRule type="cellIs" dxfId="4493" priority="37" stopIfTrue="1" operator="between">
      <formula>80.1</formula>
      <formula>100</formula>
    </cfRule>
    <cfRule type="cellIs" dxfId="4492" priority="38" stopIfTrue="1" operator="between">
      <formula>35.1</formula>
      <formula>80</formula>
    </cfRule>
    <cfRule type="cellIs" dxfId="4491" priority="39" stopIfTrue="1" operator="between">
      <formula>14.1</formula>
      <formula>35</formula>
    </cfRule>
    <cfRule type="cellIs" dxfId="4490" priority="40" stopIfTrue="1" operator="between">
      <formula>5.1</formula>
      <formula>14</formula>
    </cfRule>
    <cfRule type="cellIs" dxfId="4489" priority="41" stopIfTrue="1" operator="between">
      <formula>0</formula>
      <formula>5</formula>
    </cfRule>
    <cfRule type="containsBlanks" dxfId="4488" priority="42" stopIfTrue="1">
      <formula>LEN(TRIM(Q92))=0</formula>
    </cfRule>
  </conditionalFormatting>
  <conditionalFormatting sqref="S92">
    <cfRule type="containsText" dxfId="4487" priority="31" stopIfTrue="1" operator="containsText" text="INVIABLE SANITARIAMENTE">
      <formula>NOT(ISERROR(SEARCH("INVIABLE SANITARIAMENTE",S92)))</formula>
    </cfRule>
    <cfRule type="containsText" dxfId="4486" priority="32" stopIfTrue="1" operator="containsText" text="ALTO">
      <formula>NOT(ISERROR(SEARCH("ALTO",S92)))</formula>
    </cfRule>
    <cfRule type="containsText" dxfId="4485" priority="33" stopIfTrue="1" operator="containsText" text="MEDIO">
      <formula>NOT(ISERROR(SEARCH("MEDIO",S92)))</formula>
    </cfRule>
    <cfRule type="containsText" dxfId="4484" priority="34" stopIfTrue="1" operator="containsText" text="BAJO">
      <formula>NOT(ISERROR(SEARCH("BAJO",S92)))</formula>
    </cfRule>
    <cfRule type="containsText" dxfId="4483" priority="35" stopIfTrue="1" operator="containsText" text="SIN RIESGO">
      <formula>NOT(ISERROR(SEARCH("SIN RIESGO",S92)))</formula>
    </cfRule>
  </conditionalFormatting>
  <conditionalFormatting sqref="S92">
    <cfRule type="containsText" dxfId="4482" priority="30" stopIfTrue="1" operator="containsText" text="SIN RIESGO">
      <formula>NOT(ISERROR(SEARCH("SIN RIESGO",S92)))</formula>
    </cfRule>
  </conditionalFormatting>
  <conditionalFormatting sqref="E93:P93">
    <cfRule type="containsBlanks" dxfId="4481" priority="23" stopIfTrue="1">
      <formula>LEN(TRIM(E93))=0</formula>
    </cfRule>
    <cfRule type="cellIs" dxfId="4480" priority="24" stopIfTrue="1" operator="between">
      <formula>79.1</formula>
      <formula>100</formula>
    </cfRule>
    <cfRule type="cellIs" dxfId="4479" priority="25" stopIfTrue="1" operator="between">
      <formula>34.1</formula>
      <formula>79</formula>
    </cfRule>
    <cfRule type="cellIs" dxfId="4478" priority="26" stopIfTrue="1" operator="between">
      <formula>13.1</formula>
      <formula>34</formula>
    </cfRule>
    <cfRule type="cellIs" dxfId="4477" priority="27" stopIfTrue="1" operator="between">
      <formula>5.1</formula>
      <formula>13</formula>
    </cfRule>
    <cfRule type="cellIs" dxfId="4476" priority="28" stopIfTrue="1" operator="between">
      <formula>0</formula>
      <formula>5</formula>
    </cfRule>
    <cfRule type="containsBlanks" dxfId="4475" priority="29" stopIfTrue="1">
      <formula>LEN(TRIM(E93))=0</formula>
    </cfRule>
  </conditionalFormatting>
  <conditionalFormatting sqref="Q93">
    <cfRule type="containsBlanks" dxfId="4474" priority="16" stopIfTrue="1">
      <formula>LEN(TRIM(Q93))=0</formula>
    </cfRule>
    <cfRule type="cellIs" dxfId="4473" priority="17" stopIfTrue="1" operator="between">
      <formula>80.1</formula>
      <formula>100</formula>
    </cfRule>
    <cfRule type="cellIs" dxfId="4472" priority="18" stopIfTrue="1" operator="between">
      <formula>35.1</formula>
      <formula>80</formula>
    </cfRule>
    <cfRule type="cellIs" dxfId="4471" priority="19" stopIfTrue="1" operator="between">
      <formula>14.1</formula>
      <formula>35</formula>
    </cfRule>
    <cfRule type="cellIs" dxfId="4470" priority="20" stopIfTrue="1" operator="between">
      <formula>5.1</formula>
      <formula>14</formula>
    </cfRule>
    <cfRule type="cellIs" dxfId="4469" priority="21" stopIfTrue="1" operator="between">
      <formula>0</formula>
      <formula>5</formula>
    </cfRule>
    <cfRule type="containsBlanks" dxfId="4468" priority="22" stopIfTrue="1">
      <formula>LEN(TRIM(Q93))=0</formula>
    </cfRule>
  </conditionalFormatting>
  <conditionalFormatting sqref="R93">
    <cfRule type="cellIs" dxfId="4467" priority="15" stopIfTrue="1" operator="equal">
      <formula>"NO"</formula>
    </cfRule>
  </conditionalFormatting>
  <conditionalFormatting sqref="S93">
    <cfRule type="cellIs" dxfId="4466" priority="14" stopIfTrue="1" operator="equal">
      <formula>"INVIABLE SANITARIAMENTE"</formula>
    </cfRule>
  </conditionalFormatting>
  <conditionalFormatting sqref="Q93">
    <cfRule type="containsBlanks" dxfId="4465" priority="7" stopIfTrue="1">
      <formula>LEN(TRIM(Q93))=0</formula>
    </cfRule>
    <cfRule type="cellIs" dxfId="4464" priority="8" stopIfTrue="1" operator="between">
      <formula>80.1</formula>
      <formula>100</formula>
    </cfRule>
    <cfRule type="cellIs" dxfId="4463" priority="9" stopIfTrue="1" operator="between">
      <formula>35.1</formula>
      <formula>80</formula>
    </cfRule>
    <cfRule type="cellIs" dxfId="4462" priority="10" stopIfTrue="1" operator="between">
      <formula>14.1</formula>
      <formula>35</formula>
    </cfRule>
    <cfRule type="cellIs" dxfId="4461" priority="11" stopIfTrue="1" operator="between">
      <formula>5.1</formula>
      <formula>14</formula>
    </cfRule>
    <cfRule type="cellIs" dxfId="4460" priority="12" stopIfTrue="1" operator="between">
      <formula>0</formula>
      <formula>5</formula>
    </cfRule>
    <cfRule type="containsBlanks" dxfId="4459" priority="13" stopIfTrue="1">
      <formula>LEN(TRIM(Q93))=0</formula>
    </cfRule>
  </conditionalFormatting>
  <conditionalFormatting sqref="S93">
    <cfRule type="containsText" dxfId="4458" priority="2" stopIfTrue="1" operator="containsText" text="INVIABLE SANITARIAMENTE">
      <formula>NOT(ISERROR(SEARCH("INVIABLE SANITARIAMENTE",S93)))</formula>
    </cfRule>
    <cfRule type="containsText" dxfId="4457" priority="3" stopIfTrue="1" operator="containsText" text="ALTO">
      <formula>NOT(ISERROR(SEARCH("ALTO",S93)))</formula>
    </cfRule>
    <cfRule type="containsText" dxfId="4456" priority="4" stopIfTrue="1" operator="containsText" text="MEDIO">
      <formula>NOT(ISERROR(SEARCH("MEDIO",S93)))</formula>
    </cfRule>
    <cfRule type="containsText" dxfId="4455" priority="5" stopIfTrue="1" operator="containsText" text="BAJO">
      <formula>NOT(ISERROR(SEARCH("BAJO",S93)))</formula>
    </cfRule>
    <cfRule type="containsText" dxfId="4454" priority="6" stopIfTrue="1" operator="containsText" text="SIN RIESGO">
      <formula>NOT(ISERROR(SEARCH("SIN RIESGO",S93)))</formula>
    </cfRule>
  </conditionalFormatting>
  <conditionalFormatting sqref="S93">
    <cfRule type="containsText" dxfId="4453" priority="1" stopIfTrue="1" operator="containsText" text="SIN RIESGO">
      <formula>NOT(ISERROR(SEARCH("SIN RIESGO",S93)))</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0"/>
  </sheetPr>
  <dimension ref="A1:IV763"/>
  <sheetViews>
    <sheetView zoomScale="60" zoomScaleNormal="70" workbookViewId="0">
      <pane xSplit="3" ySplit="10" topLeftCell="D11" activePane="bottomRight" state="frozenSplit"/>
      <selection pane="topRight" activeCell="D1" sqref="D1"/>
      <selection pane="bottomLeft" activeCell="A11" sqref="A11"/>
      <selection pane="bottomRight" activeCell="C530" sqref="C530"/>
    </sheetView>
  </sheetViews>
  <sheetFormatPr baseColWidth="10" defaultColWidth="0" defaultRowHeight="14.25" zeroHeight="1"/>
  <cols>
    <col min="1" max="1" width="34" style="141" customWidth="1"/>
    <col min="2" max="2" width="52" style="202" customWidth="1"/>
    <col min="3" max="3" width="55.5703125" style="121" customWidth="1"/>
    <col min="4" max="4" width="23.5703125" style="176" customWidth="1"/>
    <col min="5" max="18" width="10.7109375" style="13" customWidth="1"/>
    <col min="19" max="19" width="42.28515625" style="13" bestFit="1" customWidth="1"/>
    <col min="20" max="20" width="9.85546875" style="13" hidden="1" customWidth="1"/>
    <col min="21" max="16384" width="11.42578125" style="13" hidden="1"/>
  </cols>
  <sheetData>
    <row r="1" spans="1:256" s="7" customFormat="1" ht="18" customHeight="1">
      <c r="A1" s="129"/>
      <c r="B1" s="551" t="s">
        <v>258</v>
      </c>
      <c r="C1" s="551"/>
      <c r="D1" s="551"/>
      <c r="E1" s="100"/>
      <c r="F1" s="100"/>
      <c r="G1" s="100"/>
      <c r="H1" s="100"/>
      <c r="I1" s="100"/>
      <c r="J1" s="100"/>
      <c r="K1" s="100"/>
      <c r="L1" s="100"/>
      <c r="M1" s="100"/>
      <c r="N1" s="100"/>
      <c r="O1" s="100"/>
      <c r="P1" s="100"/>
      <c r="Q1" s="100"/>
      <c r="R1" s="101"/>
      <c r="S1" s="39" t="s">
        <v>546</v>
      </c>
      <c r="T1" s="3"/>
      <c r="U1" s="5"/>
      <c r="V1" s="6"/>
      <c r="W1" s="6"/>
    </row>
    <row r="2" spans="1:256" s="9" customFormat="1" ht="18" customHeight="1">
      <c r="A2" s="129"/>
      <c r="B2" s="552" t="s">
        <v>259</v>
      </c>
      <c r="C2" s="552"/>
      <c r="D2" s="552"/>
      <c r="E2" s="99"/>
      <c r="F2" s="99"/>
      <c r="G2" s="99"/>
      <c r="H2" s="99"/>
      <c r="I2" s="99"/>
      <c r="J2" s="99"/>
      <c r="K2" s="99"/>
      <c r="L2" s="99"/>
      <c r="M2" s="99"/>
      <c r="N2" s="99"/>
      <c r="O2" s="99"/>
      <c r="P2" s="99"/>
      <c r="Q2" s="99"/>
      <c r="R2" s="102"/>
      <c r="S2" s="40" t="s">
        <v>260</v>
      </c>
      <c r="T2" s="3"/>
      <c r="U2" s="8"/>
      <c r="V2" s="6"/>
      <c r="W2" s="6"/>
    </row>
    <row r="3" spans="1:256" s="7" customFormat="1" ht="18" customHeight="1">
      <c r="A3" s="129"/>
      <c r="B3" s="63" t="s">
        <v>4368</v>
      </c>
      <c r="C3" s="422"/>
      <c r="D3" s="425"/>
      <c r="E3" s="69"/>
      <c r="F3" s="69"/>
      <c r="G3" s="69"/>
      <c r="H3" s="69"/>
      <c r="I3" s="69"/>
      <c r="J3" s="69"/>
      <c r="K3" s="69"/>
      <c r="L3" s="69"/>
      <c r="M3" s="69"/>
      <c r="N3" s="69"/>
      <c r="O3" s="69"/>
      <c r="P3" s="69"/>
      <c r="Q3" s="69"/>
      <c r="R3" s="103"/>
      <c r="S3" s="40" t="s">
        <v>547</v>
      </c>
      <c r="T3" s="3"/>
      <c r="U3" s="5"/>
      <c r="V3" s="6"/>
      <c r="W3" s="6"/>
    </row>
    <row r="4" spans="1:256" s="7" customFormat="1" ht="18" customHeight="1">
      <c r="A4" s="129"/>
      <c r="B4" s="551" t="s">
        <v>4569</v>
      </c>
      <c r="C4" s="551"/>
      <c r="D4" s="551"/>
      <c r="E4" s="37"/>
      <c r="F4" s="37"/>
      <c r="G4" s="37"/>
      <c r="H4" s="37"/>
      <c r="I4" s="37"/>
      <c r="J4" s="37"/>
      <c r="K4" s="37"/>
      <c r="L4" s="37"/>
      <c r="M4" s="37"/>
      <c r="N4" s="37"/>
      <c r="O4" s="37"/>
      <c r="P4" s="37"/>
      <c r="Q4" s="37"/>
      <c r="R4" s="38"/>
      <c r="S4" s="40" t="s">
        <v>261</v>
      </c>
      <c r="T4" s="3"/>
      <c r="U4" s="5"/>
      <c r="V4" s="6"/>
      <c r="W4" s="6"/>
    </row>
    <row r="5" spans="1:256" s="32" customFormat="1" ht="15" customHeight="1">
      <c r="A5" s="130"/>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56" s="32" customFormat="1" ht="16.5" customHeight="1">
      <c r="A6" s="130"/>
      <c r="B6" s="558"/>
      <c r="C6" s="553"/>
      <c r="D6" s="557"/>
      <c r="E6" s="544"/>
      <c r="F6" s="544"/>
      <c r="G6" s="544"/>
      <c r="H6" s="539"/>
      <c r="I6" s="539"/>
      <c r="J6" s="539"/>
      <c r="K6" s="546"/>
      <c r="L6" s="546"/>
      <c r="M6" s="546"/>
      <c r="N6" s="543"/>
      <c r="O6" s="543"/>
      <c r="P6" s="543"/>
      <c r="Q6" s="562"/>
      <c r="R6" s="562"/>
      <c r="S6" s="538"/>
    </row>
    <row r="7" spans="1:256" s="32" customFormat="1" ht="3.75" customHeight="1">
      <c r="A7" s="555"/>
      <c r="B7" s="555"/>
      <c r="C7" s="43"/>
      <c r="D7" s="126"/>
      <c r="E7" s="44"/>
      <c r="F7" s="44"/>
      <c r="G7" s="44"/>
      <c r="H7" s="44"/>
      <c r="I7" s="44"/>
      <c r="J7" s="44"/>
      <c r="K7" s="44"/>
      <c r="L7" s="44"/>
      <c r="M7" s="44"/>
      <c r="N7" s="44"/>
      <c r="O7" s="44"/>
      <c r="P7" s="44"/>
      <c r="Q7" s="44"/>
      <c r="R7" s="44"/>
      <c r="S7" s="41"/>
    </row>
    <row r="8" spans="1:256" s="32" customFormat="1" ht="27" customHeight="1">
      <c r="A8" s="128" t="s">
        <v>1786</v>
      </c>
      <c r="B8" s="291"/>
      <c r="C8" s="127"/>
      <c r="D8" s="127"/>
      <c r="E8" s="127"/>
      <c r="F8" s="127"/>
      <c r="G8" s="127"/>
      <c r="H8" s="127"/>
      <c r="I8" s="127"/>
      <c r="J8" s="127"/>
      <c r="K8" s="127"/>
      <c r="L8" s="127"/>
      <c r="M8" s="127"/>
      <c r="N8" s="127"/>
      <c r="O8" s="127"/>
      <c r="P8" s="127"/>
      <c r="Q8" s="127"/>
      <c r="R8" s="127"/>
      <c r="S8" s="267"/>
    </row>
    <row r="9" spans="1:256" s="10" customFormat="1" ht="18" customHeight="1">
      <c r="A9" s="556" t="s">
        <v>37</v>
      </c>
      <c r="B9" s="554" t="s">
        <v>38</v>
      </c>
      <c r="C9" s="554" t="s">
        <v>262</v>
      </c>
      <c r="D9" s="569" t="s">
        <v>454</v>
      </c>
      <c r="E9" s="554" t="s">
        <v>33</v>
      </c>
      <c r="F9" s="554"/>
      <c r="G9" s="554"/>
      <c r="H9" s="554"/>
      <c r="I9" s="554"/>
      <c r="J9" s="554"/>
      <c r="K9" s="554"/>
      <c r="L9" s="554"/>
      <c r="M9" s="554"/>
      <c r="N9" s="554"/>
      <c r="O9" s="554"/>
      <c r="P9" s="554"/>
      <c r="Q9" s="567" t="s">
        <v>34</v>
      </c>
      <c r="R9" s="567" t="s">
        <v>36</v>
      </c>
      <c r="S9" s="554" t="s">
        <v>35</v>
      </c>
      <c r="T9" s="11"/>
    </row>
    <row r="10" spans="1:256" s="10" customFormat="1" ht="24" customHeight="1">
      <c r="A10" s="556"/>
      <c r="B10" s="554"/>
      <c r="C10" s="554"/>
      <c r="D10" s="570"/>
      <c r="E10" s="273" t="s">
        <v>21</v>
      </c>
      <c r="F10" s="273" t="s">
        <v>22</v>
      </c>
      <c r="G10" s="273" t="s">
        <v>23</v>
      </c>
      <c r="H10" s="273" t="s">
        <v>24</v>
      </c>
      <c r="I10" s="273" t="s">
        <v>25</v>
      </c>
      <c r="J10" s="273" t="s">
        <v>26</v>
      </c>
      <c r="K10" s="273" t="s">
        <v>27</v>
      </c>
      <c r="L10" s="273" t="s">
        <v>28</v>
      </c>
      <c r="M10" s="273" t="s">
        <v>29</v>
      </c>
      <c r="N10" s="273" t="s">
        <v>30</v>
      </c>
      <c r="O10" s="273" t="s">
        <v>31</v>
      </c>
      <c r="P10" s="273" t="s">
        <v>32</v>
      </c>
      <c r="Q10" s="567"/>
      <c r="R10" s="567"/>
      <c r="S10" s="554"/>
      <c r="T10" s="11"/>
    </row>
    <row r="11" spans="1:256" ht="32.1" customHeight="1">
      <c r="A11" s="82" t="s">
        <v>4093</v>
      </c>
      <c r="B11" s="495" t="s">
        <v>1742</v>
      </c>
      <c r="C11" s="517" t="s">
        <v>1743</v>
      </c>
      <c r="D11" s="199">
        <v>44</v>
      </c>
      <c r="E11" s="119"/>
      <c r="F11" s="119"/>
      <c r="G11" s="119"/>
      <c r="H11" s="119">
        <v>97.9</v>
      </c>
      <c r="I11" s="119"/>
      <c r="J11" s="200"/>
      <c r="K11" s="119"/>
      <c r="L11" s="119"/>
      <c r="M11" s="119">
        <v>97.9</v>
      </c>
      <c r="N11" s="119"/>
      <c r="O11" s="119"/>
      <c r="P11" s="119"/>
      <c r="Q11" s="226">
        <f t="shared" ref="Q11:Q74" si="0">AVERAGE(E11:P11)</f>
        <v>97.9</v>
      </c>
      <c r="R11" s="144" t="str">
        <f t="shared" ref="R11:R42" si="1">IF(Q11&lt;5,"SI","NO")</f>
        <v>NO</v>
      </c>
      <c r="S11" s="201" t="str">
        <f t="shared" ref="S11:S74" si="2">IF(Q11&lt;5,"Sin Riesgo",IF(Q11 &lt;=14,"Bajo",IF(Q11&lt;=35,"Medio",IF(Q11&lt;=80,"Alto","Inviable Sanitariamente"))))</f>
        <v>Inviable Sanitariamente</v>
      </c>
      <c r="T11" s="197"/>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8"/>
      <c r="IO11" s="198"/>
      <c r="IP11" s="198"/>
      <c r="IQ11" s="198"/>
      <c r="IR11" s="198"/>
      <c r="IS11" s="198"/>
      <c r="IT11" s="198"/>
      <c r="IU11" s="198"/>
      <c r="IV11" s="198"/>
    </row>
    <row r="12" spans="1:256" ht="32.1" customHeight="1">
      <c r="A12" s="82" t="s">
        <v>4093</v>
      </c>
      <c r="B12" s="495" t="s">
        <v>1744</v>
      </c>
      <c r="C12" s="517" t="s">
        <v>1745</v>
      </c>
      <c r="D12" s="119">
        <v>287</v>
      </c>
      <c r="E12" s="200"/>
      <c r="F12" s="200"/>
      <c r="G12" s="200"/>
      <c r="H12" s="200">
        <v>97.9</v>
      </c>
      <c r="I12" s="200"/>
      <c r="J12" s="200"/>
      <c r="K12" s="200">
        <v>76.92</v>
      </c>
      <c r="L12" s="200"/>
      <c r="M12" s="200"/>
      <c r="N12" s="200"/>
      <c r="O12" s="200"/>
      <c r="P12" s="200"/>
      <c r="Q12" s="226">
        <f t="shared" si="0"/>
        <v>87.41</v>
      </c>
      <c r="R12" s="144" t="str">
        <f t="shared" si="1"/>
        <v>NO</v>
      </c>
      <c r="S12" s="201" t="str">
        <f t="shared" si="2"/>
        <v>Inviable Sanitariamente</v>
      </c>
      <c r="T12" s="197"/>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8"/>
      <c r="IO12" s="198"/>
      <c r="IP12" s="198"/>
      <c r="IQ12" s="198"/>
      <c r="IR12" s="198"/>
      <c r="IS12" s="198"/>
      <c r="IT12" s="198"/>
      <c r="IU12" s="198"/>
      <c r="IV12" s="198"/>
    </row>
    <row r="13" spans="1:256" ht="32.1" customHeight="1">
      <c r="A13" s="82" t="s">
        <v>4093</v>
      </c>
      <c r="B13" s="495" t="s">
        <v>1746</v>
      </c>
      <c r="C13" s="518" t="s">
        <v>2105</v>
      </c>
      <c r="D13" s="119">
        <v>400</v>
      </c>
      <c r="E13" s="200"/>
      <c r="F13" s="200"/>
      <c r="G13" s="200"/>
      <c r="H13" s="200">
        <v>97.9</v>
      </c>
      <c r="I13" s="200"/>
      <c r="J13" s="200"/>
      <c r="K13" s="200"/>
      <c r="L13" s="200"/>
      <c r="M13" s="200">
        <v>97.9</v>
      </c>
      <c r="N13" s="200"/>
      <c r="O13" s="200"/>
      <c r="P13" s="200"/>
      <c r="Q13" s="226">
        <f t="shared" si="0"/>
        <v>97.9</v>
      </c>
      <c r="R13" s="144" t="str">
        <f t="shared" si="1"/>
        <v>NO</v>
      </c>
      <c r="S13" s="201" t="str">
        <f t="shared" si="2"/>
        <v>Inviable Sanitariamente</v>
      </c>
      <c r="T13" s="197"/>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c r="IR13" s="198"/>
      <c r="IS13" s="198"/>
      <c r="IT13" s="198"/>
      <c r="IU13" s="198"/>
      <c r="IV13" s="198"/>
    </row>
    <row r="14" spans="1:256" ht="32.1" customHeight="1">
      <c r="A14" s="82" t="s">
        <v>4093</v>
      </c>
      <c r="B14" s="495" t="s">
        <v>1747</v>
      </c>
      <c r="C14" s="517" t="s">
        <v>1748</v>
      </c>
      <c r="D14" s="119">
        <v>297</v>
      </c>
      <c r="E14" s="200">
        <v>19.350000000000001</v>
      </c>
      <c r="F14" s="200">
        <v>19.350000000000001</v>
      </c>
      <c r="G14" s="200">
        <v>0</v>
      </c>
      <c r="H14" s="200">
        <v>70.97</v>
      </c>
      <c r="I14" s="200">
        <v>17.75</v>
      </c>
      <c r="J14" s="200">
        <v>19.350000000000001</v>
      </c>
      <c r="K14" s="200">
        <v>0</v>
      </c>
      <c r="L14" s="200">
        <v>19.350000000000001</v>
      </c>
      <c r="M14" s="200">
        <v>19.350000000000001</v>
      </c>
      <c r="N14" s="200">
        <v>19.350000000000001</v>
      </c>
      <c r="O14" s="200">
        <v>27.1</v>
      </c>
      <c r="P14" s="200">
        <v>19.350000000000001</v>
      </c>
      <c r="Q14" s="226">
        <f t="shared" si="0"/>
        <v>20.939166666666665</v>
      </c>
      <c r="R14" s="144" t="str">
        <f t="shared" si="1"/>
        <v>NO</v>
      </c>
      <c r="S14" s="201" t="str">
        <f t="shared" si="2"/>
        <v>Medio</v>
      </c>
      <c r="T14" s="197"/>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c r="IR14" s="198"/>
      <c r="IS14" s="198"/>
      <c r="IT14" s="198"/>
      <c r="IU14" s="198"/>
      <c r="IV14" s="198"/>
    </row>
    <row r="15" spans="1:256" ht="32.1" customHeight="1">
      <c r="A15" s="82" t="s">
        <v>4093</v>
      </c>
      <c r="B15" s="495" t="s">
        <v>1749</v>
      </c>
      <c r="C15" s="517" t="s">
        <v>1750</v>
      </c>
      <c r="D15" s="119">
        <v>831</v>
      </c>
      <c r="E15" s="200">
        <v>38.71</v>
      </c>
      <c r="F15" s="200">
        <v>19.350000000000001</v>
      </c>
      <c r="G15" s="200">
        <v>0</v>
      </c>
      <c r="H15" s="200">
        <v>97.35</v>
      </c>
      <c r="I15" s="200">
        <v>89.94</v>
      </c>
      <c r="J15" s="200">
        <v>19.350000000000001</v>
      </c>
      <c r="K15" s="200">
        <v>19.350000000000001</v>
      </c>
      <c r="L15" s="200">
        <v>19.350000000000001</v>
      </c>
      <c r="M15" s="200">
        <v>0</v>
      </c>
      <c r="N15" s="200">
        <v>19.350000000000001</v>
      </c>
      <c r="O15" s="200">
        <v>0</v>
      </c>
      <c r="P15" s="200">
        <v>19.350000000000001</v>
      </c>
      <c r="Q15" s="226">
        <f t="shared" si="0"/>
        <v>28.50833333333334</v>
      </c>
      <c r="R15" s="144" t="str">
        <f t="shared" si="1"/>
        <v>NO</v>
      </c>
      <c r="S15" s="201" t="str">
        <f t="shared" si="2"/>
        <v>Medio</v>
      </c>
      <c r="T15" s="197"/>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c r="IR15" s="198"/>
      <c r="IS15" s="198"/>
      <c r="IT15" s="198"/>
      <c r="IU15" s="198"/>
      <c r="IV15" s="198"/>
    </row>
    <row r="16" spans="1:256" ht="32.1" customHeight="1">
      <c r="A16" s="82" t="s">
        <v>4093</v>
      </c>
      <c r="B16" s="495" t="s">
        <v>1742</v>
      </c>
      <c r="C16" s="517" t="s">
        <v>1751</v>
      </c>
      <c r="D16" s="119">
        <v>96</v>
      </c>
      <c r="E16" s="200">
        <v>90.32</v>
      </c>
      <c r="F16" s="200">
        <v>0</v>
      </c>
      <c r="G16" s="200">
        <v>80.709999999999994</v>
      </c>
      <c r="H16" s="200">
        <v>58.06</v>
      </c>
      <c r="I16" s="200">
        <v>24.85</v>
      </c>
      <c r="J16" s="200">
        <v>19.350000000000001</v>
      </c>
      <c r="K16" s="200">
        <v>19.350000000000001</v>
      </c>
      <c r="L16" s="200">
        <v>38.71</v>
      </c>
      <c r="M16" s="200">
        <v>90.32</v>
      </c>
      <c r="N16" s="200">
        <v>19.350000000000001</v>
      </c>
      <c r="O16" s="200">
        <v>70.97</v>
      </c>
      <c r="P16" s="200">
        <v>19.34</v>
      </c>
      <c r="Q16" s="226">
        <f t="shared" si="0"/>
        <v>44.277500000000003</v>
      </c>
      <c r="R16" s="144" t="str">
        <f t="shared" si="1"/>
        <v>NO</v>
      </c>
      <c r="S16" s="201" t="str">
        <f t="shared" si="2"/>
        <v>Alto</v>
      </c>
      <c r="T16" s="197"/>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c r="IT16" s="198"/>
      <c r="IU16" s="198"/>
      <c r="IV16" s="198"/>
    </row>
    <row r="17" spans="1:256" ht="32.1" customHeight="1">
      <c r="A17" s="82" t="s">
        <v>4093</v>
      </c>
      <c r="B17" s="495" t="s">
        <v>1752</v>
      </c>
      <c r="C17" s="517" t="s">
        <v>1753</v>
      </c>
      <c r="D17" s="119">
        <v>605</v>
      </c>
      <c r="E17" s="200">
        <v>0</v>
      </c>
      <c r="F17" s="200">
        <v>0</v>
      </c>
      <c r="G17" s="200">
        <v>0</v>
      </c>
      <c r="H17" s="200">
        <v>19.350000000000001</v>
      </c>
      <c r="I17" s="200">
        <v>17.75</v>
      </c>
      <c r="J17" s="200">
        <v>0</v>
      </c>
      <c r="K17" s="200">
        <v>70.97</v>
      </c>
      <c r="L17" s="200">
        <v>19.350000000000001</v>
      </c>
      <c r="M17" s="200">
        <v>0</v>
      </c>
      <c r="N17" s="200">
        <v>19.350000000000001</v>
      </c>
      <c r="O17" s="200">
        <v>0</v>
      </c>
      <c r="P17" s="200">
        <v>0</v>
      </c>
      <c r="Q17" s="226">
        <f t="shared" si="0"/>
        <v>12.230833333333331</v>
      </c>
      <c r="R17" s="144" t="str">
        <f t="shared" si="1"/>
        <v>NO</v>
      </c>
      <c r="S17" s="201" t="str">
        <f t="shared" si="2"/>
        <v>Bajo</v>
      </c>
      <c r="T17" s="197"/>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c r="IN17" s="198"/>
      <c r="IO17" s="198"/>
      <c r="IP17" s="198"/>
      <c r="IQ17" s="198"/>
      <c r="IR17" s="198"/>
      <c r="IS17" s="198"/>
      <c r="IT17" s="198"/>
      <c r="IU17" s="198"/>
      <c r="IV17" s="198"/>
    </row>
    <row r="18" spans="1:256" ht="32.1" customHeight="1">
      <c r="A18" s="82" t="s">
        <v>4093</v>
      </c>
      <c r="B18" s="495" t="s">
        <v>1754</v>
      </c>
      <c r="C18" s="517" t="s">
        <v>1755</v>
      </c>
      <c r="D18" s="114">
        <v>28</v>
      </c>
      <c r="E18" s="200"/>
      <c r="F18" s="200"/>
      <c r="G18" s="200"/>
      <c r="H18" s="200"/>
      <c r="I18" s="200"/>
      <c r="J18" s="200">
        <v>97.9</v>
      </c>
      <c r="K18" s="200">
        <v>76.92</v>
      </c>
      <c r="L18" s="200"/>
      <c r="M18" s="200"/>
      <c r="N18" s="200"/>
      <c r="O18" s="200"/>
      <c r="P18" s="200"/>
      <c r="Q18" s="226">
        <f t="shared" si="0"/>
        <v>87.41</v>
      </c>
      <c r="R18" s="144" t="str">
        <f t="shared" si="1"/>
        <v>NO</v>
      </c>
      <c r="S18" s="201" t="str">
        <f t="shared" si="2"/>
        <v>Inviable Sanitariamente</v>
      </c>
      <c r="T18" s="197"/>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c r="IR18" s="198"/>
      <c r="IS18" s="198"/>
      <c r="IT18" s="198"/>
      <c r="IU18" s="198"/>
      <c r="IV18" s="198"/>
    </row>
    <row r="19" spans="1:256" ht="32.1" customHeight="1">
      <c r="A19" s="82" t="s">
        <v>4093</v>
      </c>
      <c r="B19" s="495" t="s">
        <v>1756</v>
      </c>
      <c r="C19" s="517" t="s">
        <v>1757</v>
      </c>
      <c r="D19" s="199">
        <v>48</v>
      </c>
      <c r="E19" s="200"/>
      <c r="F19" s="200"/>
      <c r="G19" s="200"/>
      <c r="H19" s="200"/>
      <c r="I19" s="200"/>
      <c r="J19" s="200">
        <v>76.900000000000006</v>
      </c>
      <c r="K19" s="200"/>
      <c r="L19" s="200"/>
      <c r="M19" s="200"/>
      <c r="N19" s="200"/>
      <c r="O19" s="200"/>
      <c r="P19" s="200"/>
      <c r="Q19" s="226">
        <f t="shared" si="0"/>
        <v>76.900000000000006</v>
      </c>
      <c r="R19" s="144" t="str">
        <f t="shared" si="1"/>
        <v>NO</v>
      </c>
      <c r="S19" s="201" t="str">
        <f t="shared" si="2"/>
        <v>Alto</v>
      </c>
      <c r="T19" s="197"/>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c r="IN19" s="198"/>
      <c r="IO19" s="198"/>
      <c r="IP19" s="198"/>
      <c r="IQ19" s="198"/>
      <c r="IR19" s="198"/>
      <c r="IS19" s="198"/>
      <c r="IT19" s="198"/>
      <c r="IU19" s="198"/>
      <c r="IV19" s="198"/>
    </row>
    <row r="20" spans="1:256" ht="32.1" customHeight="1">
      <c r="A20" s="82" t="s">
        <v>4093</v>
      </c>
      <c r="B20" s="495" t="s">
        <v>1758</v>
      </c>
      <c r="C20" s="519" t="s">
        <v>2106</v>
      </c>
      <c r="D20" s="119">
        <v>76</v>
      </c>
      <c r="E20" s="200"/>
      <c r="F20" s="200"/>
      <c r="G20" s="200"/>
      <c r="H20" s="200"/>
      <c r="I20" s="200">
        <v>76.92</v>
      </c>
      <c r="J20" s="200"/>
      <c r="K20" s="200"/>
      <c r="L20" s="200"/>
      <c r="M20" s="200">
        <v>97.9</v>
      </c>
      <c r="N20" s="200"/>
      <c r="O20" s="200"/>
      <c r="P20" s="200"/>
      <c r="Q20" s="226">
        <f t="shared" si="0"/>
        <v>87.41</v>
      </c>
      <c r="R20" s="144" t="str">
        <f t="shared" si="1"/>
        <v>NO</v>
      </c>
      <c r="S20" s="201" t="str">
        <f t="shared" si="2"/>
        <v>Inviable Sanitariamente</v>
      </c>
      <c r="T20" s="197"/>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c r="IN20" s="198"/>
      <c r="IO20" s="198"/>
      <c r="IP20" s="198"/>
      <c r="IQ20" s="198"/>
      <c r="IR20" s="198"/>
      <c r="IS20" s="198"/>
      <c r="IT20" s="198"/>
      <c r="IU20" s="198"/>
      <c r="IV20" s="198"/>
    </row>
    <row r="21" spans="1:256" ht="32.1" customHeight="1">
      <c r="A21" s="82" t="s">
        <v>4093</v>
      </c>
      <c r="B21" s="495" t="s">
        <v>1759</v>
      </c>
      <c r="C21" s="517" t="s">
        <v>1760</v>
      </c>
      <c r="D21" s="114">
        <v>40</v>
      </c>
      <c r="E21" s="200"/>
      <c r="F21" s="200"/>
      <c r="G21" s="200"/>
      <c r="H21" s="200"/>
      <c r="I21" s="200"/>
      <c r="J21" s="200">
        <v>76.92</v>
      </c>
      <c r="K21" s="200"/>
      <c r="L21" s="200"/>
      <c r="M21" s="200"/>
      <c r="N21" s="200"/>
      <c r="O21" s="200"/>
      <c r="P21" s="200"/>
      <c r="Q21" s="226">
        <f t="shared" si="0"/>
        <v>76.92</v>
      </c>
      <c r="R21" s="144" t="str">
        <f t="shared" si="1"/>
        <v>NO</v>
      </c>
      <c r="S21" s="201" t="str">
        <f t="shared" si="2"/>
        <v>Alto</v>
      </c>
      <c r="T21" s="197"/>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c r="IN21" s="198"/>
      <c r="IO21" s="198"/>
      <c r="IP21" s="198"/>
      <c r="IQ21" s="198"/>
      <c r="IR21" s="198"/>
      <c r="IS21" s="198"/>
      <c r="IT21" s="198"/>
      <c r="IU21" s="198"/>
      <c r="IV21" s="198"/>
    </row>
    <row r="22" spans="1:256" ht="32.1" customHeight="1">
      <c r="A22" s="82" t="s">
        <v>4093</v>
      </c>
      <c r="B22" s="495" t="s">
        <v>1761</v>
      </c>
      <c r="C22" s="517" t="s">
        <v>1762</v>
      </c>
      <c r="D22" s="119">
        <v>64</v>
      </c>
      <c r="E22" s="200"/>
      <c r="F22" s="200"/>
      <c r="G22" s="200"/>
      <c r="H22" s="200"/>
      <c r="I22" s="200"/>
      <c r="J22" s="200">
        <v>76.92</v>
      </c>
      <c r="K22" s="200">
        <v>76.92</v>
      </c>
      <c r="L22" s="200"/>
      <c r="M22" s="200"/>
      <c r="N22" s="200"/>
      <c r="O22" s="200"/>
      <c r="P22" s="200"/>
      <c r="Q22" s="226">
        <f t="shared" si="0"/>
        <v>76.92</v>
      </c>
      <c r="R22" s="144" t="str">
        <f t="shared" si="1"/>
        <v>NO</v>
      </c>
      <c r="S22" s="201" t="str">
        <f t="shared" si="2"/>
        <v>Alto</v>
      </c>
      <c r="T22" s="197"/>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c r="IN22" s="198"/>
      <c r="IO22" s="198"/>
      <c r="IP22" s="198"/>
      <c r="IQ22" s="198"/>
      <c r="IR22" s="198"/>
      <c r="IS22" s="198"/>
      <c r="IT22" s="198"/>
      <c r="IU22" s="198"/>
      <c r="IV22" s="198"/>
    </row>
    <row r="23" spans="1:256" ht="32.1" customHeight="1">
      <c r="A23" s="82" t="s">
        <v>4093</v>
      </c>
      <c r="B23" s="495" t="s">
        <v>1763</v>
      </c>
      <c r="C23" s="517" t="s">
        <v>1764</v>
      </c>
      <c r="D23" s="119">
        <v>75</v>
      </c>
      <c r="E23" s="200"/>
      <c r="F23" s="200"/>
      <c r="G23" s="200"/>
      <c r="H23" s="200">
        <v>97.9</v>
      </c>
      <c r="I23" s="200"/>
      <c r="J23" s="200"/>
      <c r="K23" s="200">
        <v>76.92</v>
      </c>
      <c r="L23" s="200"/>
      <c r="M23" s="200"/>
      <c r="N23" s="200"/>
      <c r="O23" s="200"/>
      <c r="P23" s="200"/>
      <c r="Q23" s="226">
        <f t="shared" si="0"/>
        <v>87.41</v>
      </c>
      <c r="R23" s="144" t="str">
        <f t="shared" si="1"/>
        <v>NO</v>
      </c>
      <c r="S23" s="201" t="str">
        <f t="shared" si="2"/>
        <v>Inviable Sanitariamente</v>
      </c>
      <c r="T23" s="197"/>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c r="IN23" s="198"/>
      <c r="IO23" s="198"/>
      <c r="IP23" s="198"/>
      <c r="IQ23" s="198"/>
      <c r="IR23" s="198"/>
      <c r="IS23" s="198"/>
      <c r="IT23" s="198"/>
      <c r="IU23" s="198"/>
      <c r="IV23" s="198"/>
    </row>
    <row r="24" spans="1:256" ht="32.1" customHeight="1">
      <c r="A24" s="82" t="s">
        <v>4093</v>
      </c>
      <c r="B24" s="495" t="s">
        <v>1765</v>
      </c>
      <c r="C24" s="519" t="s">
        <v>2107</v>
      </c>
      <c r="D24" s="114">
        <v>87</v>
      </c>
      <c r="E24" s="200"/>
      <c r="F24" s="200"/>
      <c r="G24" s="200"/>
      <c r="H24" s="200">
        <v>76.92</v>
      </c>
      <c r="I24" s="200"/>
      <c r="J24" s="200"/>
      <c r="K24" s="200"/>
      <c r="L24" s="200"/>
      <c r="M24" s="200"/>
      <c r="N24" s="200"/>
      <c r="O24" s="200"/>
      <c r="P24" s="200"/>
      <c r="Q24" s="226">
        <f t="shared" si="0"/>
        <v>76.92</v>
      </c>
      <c r="R24" s="144" t="str">
        <f t="shared" si="1"/>
        <v>NO</v>
      </c>
      <c r="S24" s="201" t="str">
        <f t="shared" si="2"/>
        <v>Alto</v>
      </c>
      <c r="T24" s="197"/>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row>
    <row r="25" spans="1:256" ht="32.1" customHeight="1">
      <c r="A25" s="82" t="s">
        <v>4093</v>
      </c>
      <c r="B25" s="495" t="s">
        <v>1766</v>
      </c>
      <c r="C25" s="520" t="s">
        <v>2108</v>
      </c>
      <c r="D25" s="119">
        <v>11</v>
      </c>
      <c r="E25" s="200"/>
      <c r="F25" s="200"/>
      <c r="G25" s="200"/>
      <c r="H25" s="200">
        <v>97.9</v>
      </c>
      <c r="I25" s="200"/>
      <c r="J25" s="200"/>
      <c r="K25" s="200"/>
      <c r="L25" s="200"/>
      <c r="M25" s="200"/>
      <c r="N25" s="200"/>
      <c r="O25" s="200"/>
      <c r="P25" s="200"/>
      <c r="Q25" s="226">
        <f t="shared" si="0"/>
        <v>97.9</v>
      </c>
      <c r="R25" s="144" t="str">
        <f t="shared" si="1"/>
        <v>NO</v>
      </c>
      <c r="S25" s="201" t="str">
        <f t="shared" si="2"/>
        <v>Inviable Sanitariamente</v>
      </c>
      <c r="T25" s="197"/>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8"/>
      <c r="IO25" s="198"/>
      <c r="IP25" s="198"/>
      <c r="IQ25" s="198"/>
      <c r="IR25" s="198"/>
      <c r="IS25" s="198"/>
      <c r="IT25" s="198"/>
      <c r="IU25" s="198"/>
      <c r="IV25" s="198"/>
    </row>
    <row r="26" spans="1:256" ht="32.1" customHeight="1">
      <c r="A26" s="82" t="s">
        <v>4093</v>
      </c>
      <c r="B26" s="495" t="s">
        <v>1767</v>
      </c>
      <c r="C26" s="519" t="s">
        <v>2109</v>
      </c>
      <c r="D26" s="119">
        <v>34</v>
      </c>
      <c r="E26" s="200"/>
      <c r="F26" s="200"/>
      <c r="G26" s="200"/>
      <c r="H26" s="200">
        <v>76.92</v>
      </c>
      <c r="I26" s="200"/>
      <c r="J26" s="200"/>
      <c r="K26" s="200"/>
      <c r="L26" s="200">
        <v>76.92</v>
      </c>
      <c r="M26" s="200"/>
      <c r="N26" s="200"/>
      <c r="O26" s="200"/>
      <c r="P26" s="200"/>
      <c r="Q26" s="226">
        <f t="shared" si="0"/>
        <v>76.92</v>
      </c>
      <c r="R26" s="144" t="str">
        <f t="shared" si="1"/>
        <v>NO</v>
      </c>
      <c r="S26" s="201" t="str">
        <f t="shared" si="2"/>
        <v>Alto</v>
      </c>
      <c r="T26" s="197"/>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8"/>
      <c r="IO26" s="198"/>
      <c r="IP26" s="198"/>
      <c r="IQ26" s="198"/>
      <c r="IR26" s="198"/>
      <c r="IS26" s="198"/>
      <c r="IT26" s="198"/>
      <c r="IU26" s="198"/>
      <c r="IV26" s="198"/>
    </row>
    <row r="27" spans="1:256" ht="32.1" customHeight="1">
      <c r="A27" s="82" t="s">
        <v>4093</v>
      </c>
      <c r="B27" s="495" t="s">
        <v>1768</v>
      </c>
      <c r="C27" s="519" t="s">
        <v>2110</v>
      </c>
      <c r="D27" s="119">
        <v>188</v>
      </c>
      <c r="E27" s="200"/>
      <c r="F27" s="200"/>
      <c r="G27" s="200"/>
      <c r="H27" s="200">
        <v>97.9</v>
      </c>
      <c r="I27" s="200"/>
      <c r="J27" s="200"/>
      <c r="K27" s="200">
        <v>76.92</v>
      </c>
      <c r="L27" s="200"/>
      <c r="M27" s="200"/>
      <c r="N27" s="200"/>
      <c r="O27" s="200"/>
      <c r="P27" s="200"/>
      <c r="Q27" s="226">
        <f t="shared" si="0"/>
        <v>87.41</v>
      </c>
      <c r="R27" s="144" t="str">
        <f t="shared" si="1"/>
        <v>NO</v>
      </c>
      <c r="S27" s="201" t="str">
        <f t="shared" si="2"/>
        <v>Inviable Sanitariamente</v>
      </c>
      <c r="T27" s="197"/>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c r="IT27" s="198"/>
      <c r="IU27" s="198"/>
      <c r="IV27" s="198"/>
    </row>
    <row r="28" spans="1:256" ht="32.1" customHeight="1">
      <c r="A28" s="82" t="s">
        <v>4093</v>
      </c>
      <c r="B28" s="495" t="s">
        <v>482</v>
      </c>
      <c r="C28" s="519" t="s">
        <v>2111</v>
      </c>
      <c r="D28" s="199">
        <v>25</v>
      </c>
      <c r="E28" s="200"/>
      <c r="F28" s="200"/>
      <c r="G28" s="200"/>
      <c r="H28" s="200">
        <v>76.92</v>
      </c>
      <c r="I28" s="200"/>
      <c r="J28" s="200"/>
      <c r="K28" s="200">
        <v>76.92</v>
      </c>
      <c r="L28" s="200"/>
      <c r="M28" s="200"/>
      <c r="N28" s="200"/>
      <c r="O28" s="200"/>
      <c r="P28" s="200"/>
      <c r="Q28" s="226">
        <f t="shared" si="0"/>
        <v>76.92</v>
      </c>
      <c r="R28" s="144" t="str">
        <f t="shared" si="1"/>
        <v>NO</v>
      </c>
      <c r="S28" s="201" t="str">
        <f t="shared" si="2"/>
        <v>Alto</v>
      </c>
      <c r="T28" s="197"/>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c r="IR28" s="198"/>
      <c r="IS28" s="198"/>
      <c r="IT28" s="198"/>
      <c r="IU28" s="198"/>
      <c r="IV28" s="198"/>
    </row>
    <row r="29" spans="1:256" ht="32.1" customHeight="1">
      <c r="A29" s="82" t="s">
        <v>4093</v>
      </c>
      <c r="B29" s="495" t="s">
        <v>1769</v>
      </c>
      <c r="C29" s="519" t="s">
        <v>2112</v>
      </c>
      <c r="D29" s="199">
        <v>130</v>
      </c>
      <c r="E29" s="200"/>
      <c r="F29" s="200"/>
      <c r="G29" s="200"/>
      <c r="H29" s="200"/>
      <c r="I29" s="200">
        <v>97.9</v>
      </c>
      <c r="J29" s="200"/>
      <c r="K29" s="200">
        <v>97.4</v>
      </c>
      <c r="L29" s="200"/>
      <c r="M29" s="200"/>
      <c r="N29" s="200"/>
      <c r="O29" s="200"/>
      <c r="P29" s="200"/>
      <c r="Q29" s="226">
        <f t="shared" si="0"/>
        <v>97.65</v>
      </c>
      <c r="R29" s="144" t="str">
        <f t="shared" si="1"/>
        <v>NO</v>
      </c>
      <c r="S29" s="201" t="str">
        <f t="shared" si="2"/>
        <v>Inviable Sanitariamente</v>
      </c>
      <c r="T29" s="197"/>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c r="IR29" s="198"/>
      <c r="IS29" s="198"/>
      <c r="IT29" s="198"/>
      <c r="IU29" s="198"/>
      <c r="IV29" s="198"/>
    </row>
    <row r="30" spans="1:256" ht="32.1" customHeight="1">
      <c r="A30" s="82" t="s">
        <v>4093</v>
      </c>
      <c r="B30" s="495" t="s">
        <v>1769</v>
      </c>
      <c r="C30" s="517" t="s">
        <v>1770</v>
      </c>
      <c r="D30" s="119">
        <v>96</v>
      </c>
      <c r="E30" s="200"/>
      <c r="F30" s="200"/>
      <c r="G30" s="200"/>
      <c r="H30" s="200"/>
      <c r="I30" s="200">
        <v>97.9</v>
      </c>
      <c r="J30" s="200"/>
      <c r="K30" s="200">
        <v>97.4</v>
      </c>
      <c r="L30" s="200"/>
      <c r="M30" s="200"/>
      <c r="N30" s="200"/>
      <c r="O30" s="200"/>
      <c r="P30" s="200"/>
      <c r="Q30" s="226">
        <f t="shared" si="0"/>
        <v>97.65</v>
      </c>
      <c r="R30" s="144" t="str">
        <f t="shared" si="1"/>
        <v>NO</v>
      </c>
      <c r="S30" s="201" t="str">
        <f t="shared" si="2"/>
        <v>Inviable Sanitariamente</v>
      </c>
      <c r="T30" s="197"/>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c r="IR30" s="198"/>
      <c r="IS30" s="198"/>
      <c r="IT30" s="198"/>
      <c r="IU30" s="198"/>
      <c r="IV30" s="198"/>
    </row>
    <row r="31" spans="1:256" ht="32.1" customHeight="1">
      <c r="A31" s="82" t="s">
        <v>4093</v>
      </c>
      <c r="B31" s="495" t="s">
        <v>1771</v>
      </c>
      <c r="C31" s="517" t="s">
        <v>1772</v>
      </c>
      <c r="D31" s="119">
        <v>77</v>
      </c>
      <c r="E31" s="200">
        <v>76.92</v>
      </c>
      <c r="F31" s="200">
        <v>70.97</v>
      </c>
      <c r="G31" s="200">
        <v>70.97</v>
      </c>
      <c r="H31" s="200">
        <v>70.97</v>
      </c>
      <c r="I31" s="200">
        <v>65.09</v>
      </c>
      <c r="J31" s="200">
        <v>90.32</v>
      </c>
      <c r="K31" s="200">
        <v>70.97</v>
      </c>
      <c r="L31" s="200">
        <v>38.71</v>
      </c>
      <c r="M31" s="200">
        <v>70.97</v>
      </c>
      <c r="N31" s="200">
        <v>38.71</v>
      </c>
      <c r="O31" s="200">
        <v>70.97</v>
      </c>
      <c r="P31" s="200"/>
      <c r="Q31" s="226">
        <f t="shared" si="0"/>
        <v>66.87</v>
      </c>
      <c r="R31" s="144" t="str">
        <f t="shared" si="1"/>
        <v>NO</v>
      </c>
      <c r="S31" s="201" t="str">
        <f t="shared" si="2"/>
        <v>Alto</v>
      </c>
      <c r="T31" s="197"/>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c r="IT31" s="198"/>
      <c r="IU31" s="198"/>
      <c r="IV31" s="198"/>
    </row>
    <row r="32" spans="1:256" ht="32.1" customHeight="1">
      <c r="A32" s="82" t="s">
        <v>4093</v>
      </c>
      <c r="B32" s="495" t="s">
        <v>1773</v>
      </c>
      <c r="C32" s="518" t="s">
        <v>2113</v>
      </c>
      <c r="D32" s="119">
        <v>30</v>
      </c>
      <c r="E32" s="200"/>
      <c r="F32" s="200"/>
      <c r="G32" s="200"/>
      <c r="H32" s="200"/>
      <c r="I32" s="200">
        <v>97.9</v>
      </c>
      <c r="J32" s="200"/>
      <c r="K32" s="200"/>
      <c r="L32" s="200"/>
      <c r="M32" s="200">
        <v>97.9</v>
      </c>
      <c r="N32" s="200"/>
      <c r="O32" s="200"/>
      <c r="P32" s="200"/>
      <c r="Q32" s="226">
        <f t="shared" si="0"/>
        <v>97.9</v>
      </c>
      <c r="R32" s="144" t="str">
        <f t="shared" si="1"/>
        <v>NO</v>
      </c>
      <c r="S32" s="201" t="str">
        <f t="shared" si="2"/>
        <v>Inviable Sanitariamente</v>
      </c>
      <c r="T32" s="197"/>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c r="IT32" s="198"/>
      <c r="IU32" s="198"/>
      <c r="IV32" s="198"/>
    </row>
    <row r="33" spans="1:256" ht="32.1" customHeight="1">
      <c r="A33" s="82" t="s">
        <v>4093</v>
      </c>
      <c r="B33" s="495" t="s">
        <v>1774</v>
      </c>
      <c r="C33" s="518" t="s">
        <v>2114</v>
      </c>
      <c r="D33" s="119">
        <v>32</v>
      </c>
      <c r="E33" s="200"/>
      <c r="F33" s="200"/>
      <c r="G33" s="200"/>
      <c r="H33" s="200"/>
      <c r="I33" s="200">
        <v>100</v>
      </c>
      <c r="J33" s="200"/>
      <c r="K33" s="200"/>
      <c r="L33" s="200"/>
      <c r="M33" s="200">
        <v>97.9</v>
      </c>
      <c r="N33" s="200"/>
      <c r="O33" s="200"/>
      <c r="P33" s="200"/>
      <c r="Q33" s="226">
        <f t="shared" si="0"/>
        <v>98.95</v>
      </c>
      <c r="R33" s="144" t="str">
        <f t="shared" si="1"/>
        <v>NO</v>
      </c>
      <c r="S33" s="201" t="str">
        <f t="shared" si="2"/>
        <v>Inviable Sanitariamente</v>
      </c>
      <c r="T33" s="197"/>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row>
    <row r="34" spans="1:256" ht="32.1" customHeight="1">
      <c r="A34" s="82" t="s">
        <v>4093</v>
      </c>
      <c r="B34" s="495" t="s">
        <v>1775</v>
      </c>
      <c r="C34" s="519" t="s">
        <v>2115</v>
      </c>
      <c r="D34" s="119">
        <v>50</v>
      </c>
      <c r="E34" s="200"/>
      <c r="F34" s="200"/>
      <c r="G34" s="200"/>
      <c r="H34" s="200"/>
      <c r="I34" s="200">
        <v>76.92</v>
      </c>
      <c r="J34" s="200"/>
      <c r="K34" s="200"/>
      <c r="L34" s="200">
        <v>76.92</v>
      </c>
      <c r="M34" s="200"/>
      <c r="N34" s="200"/>
      <c r="O34" s="200"/>
      <c r="P34" s="200"/>
      <c r="Q34" s="226">
        <f t="shared" si="0"/>
        <v>76.92</v>
      </c>
      <c r="R34" s="144" t="str">
        <f t="shared" si="1"/>
        <v>NO</v>
      </c>
      <c r="S34" s="201" t="str">
        <f t="shared" si="2"/>
        <v>Alto</v>
      </c>
      <c r="T34" s="197"/>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c r="IR34" s="198"/>
      <c r="IS34" s="198"/>
      <c r="IT34" s="198"/>
      <c r="IU34" s="198"/>
      <c r="IV34" s="198"/>
    </row>
    <row r="35" spans="1:256" ht="32.1" customHeight="1">
      <c r="A35" s="82" t="s">
        <v>4093</v>
      </c>
      <c r="B35" s="495" t="s">
        <v>1776</v>
      </c>
      <c r="C35" s="520" t="s">
        <v>2116</v>
      </c>
      <c r="D35" s="199">
        <v>25</v>
      </c>
      <c r="E35" s="200"/>
      <c r="F35" s="200"/>
      <c r="G35" s="200"/>
      <c r="H35" s="200"/>
      <c r="I35" s="200">
        <v>97.9</v>
      </c>
      <c r="J35" s="200"/>
      <c r="K35" s="200"/>
      <c r="L35" s="200"/>
      <c r="M35" s="200">
        <v>97.9</v>
      </c>
      <c r="N35" s="200"/>
      <c r="O35" s="200"/>
      <c r="P35" s="200"/>
      <c r="Q35" s="226">
        <f t="shared" si="0"/>
        <v>97.9</v>
      </c>
      <c r="R35" s="144" t="str">
        <f t="shared" si="1"/>
        <v>NO</v>
      </c>
      <c r="S35" s="201" t="str">
        <f t="shared" si="2"/>
        <v>Inviable Sanitariamente</v>
      </c>
      <c r="T35" s="197"/>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c r="IR35" s="198"/>
      <c r="IS35" s="198"/>
      <c r="IT35" s="198"/>
      <c r="IU35" s="198"/>
      <c r="IV35" s="198"/>
    </row>
    <row r="36" spans="1:256" ht="32.1" customHeight="1">
      <c r="A36" s="82" t="s">
        <v>4093</v>
      </c>
      <c r="B36" s="495" t="s">
        <v>1777</v>
      </c>
      <c r="C36" s="520" t="s">
        <v>2117</v>
      </c>
      <c r="D36" s="199">
        <v>636</v>
      </c>
      <c r="E36" s="200"/>
      <c r="F36" s="200"/>
      <c r="G36" s="200"/>
      <c r="H36" s="200"/>
      <c r="I36" s="200"/>
      <c r="J36" s="200"/>
      <c r="K36" s="200"/>
      <c r="L36" s="200"/>
      <c r="M36" s="200"/>
      <c r="N36" s="200"/>
      <c r="O36" s="200"/>
      <c r="P36" s="200">
        <v>97.3</v>
      </c>
      <c r="Q36" s="226">
        <f t="shared" si="0"/>
        <v>97.3</v>
      </c>
      <c r="R36" s="144" t="str">
        <f t="shared" si="1"/>
        <v>NO</v>
      </c>
      <c r="S36" s="201" t="str">
        <f t="shared" si="2"/>
        <v>Inviable Sanitariamente</v>
      </c>
      <c r="T36" s="197"/>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c r="IQ36" s="198"/>
      <c r="IR36" s="198"/>
      <c r="IS36" s="198"/>
      <c r="IT36" s="198"/>
      <c r="IU36" s="198"/>
      <c r="IV36" s="198"/>
    </row>
    <row r="37" spans="1:256" ht="32.1" customHeight="1">
      <c r="A37" s="82" t="s">
        <v>4093</v>
      </c>
      <c r="B37" s="495" t="s">
        <v>1778</v>
      </c>
      <c r="C37" s="517" t="s">
        <v>2118</v>
      </c>
      <c r="D37" s="119">
        <v>366</v>
      </c>
      <c r="E37" s="200"/>
      <c r="F37" s="200"/>
      <c r="G37" s="200"/>
      <c r="H37" s="200"/>
      <c r="I37" s="200"/>
      <c r="J37" s="200"/>
      <c r="K37" s="200"/>
      <c r="L37" s="200"/>
      <c r="M37" s="200">
        <v>97.3</v>
      </c>
      <c r="N37" s="200"/>
      <c r="O37" s="200"/>
      <c r="P37" s="200"/>
      <c r="Q37" s="226">
        <f t="shared" si="0"/>
        <v>97.3</v>
      </c>
      <c r="R37" s="144" t="str">
        <f t="shared" si="1"/>
        <v>NO</v>
      </c>
      <c r="S37" s="201" t="str">
        <f t="shared" si="2"/>
        <v>Inviable Sanitariamente</v>
      </c>
      <c r="T37" s="197"/>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c r="IT37" s="198"/>
      <c r="IU37" s="198"/>
      <c r="IV37" s="198"/>
    </row>
    <row r="38" spans="1:256" ht="32.1" customHeight="1">
      <c r="A38" s="82" t="s">
        <v>4093</v>
      </c>
      <c r="B38" s="495" t="s">
        <v>2</v>
      </c>
      <c r="C38" s="517" t="s">
        <v>2119</v>
      </c>
      <c r="D38" s="119">
        <v>90</v>
      </c>
      <c r="E38" s="200"/>
      <c r="F38" s="200"/>
      <c r="G38" s="200"/>
      <c r="H38" s="200"/>
      <c r="I38" s="200"/>
      <c r="J38" s="200"/>
      <c r="K38" s="200"/>
      <c r="L38" s="200"/>
      <c r="M38" s="200"/>
      <c r="N38" s="200"/>
      <c r="O38" s="200">
        <v>97.3</v>
      </c>
      <c r="P38" s="200"/>
      <c r="Q38" s="226">
        <f t="shared" si="0"/>
        <v>97.3</v>
      </c>
      <c r="R38" s="144" t="str">
        <f t="shared" si="1"/>
        <v>NO</v>
      </c>
      <c r="S38" s="201" t="str">
        <f t="shared" si="2"/>
        <v>Inviable Sanitariamente</v>
      </c>
      <c r="T38" s="197"/>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row>
    <row r="39" spans="1:256" ht="32.1" customHeight="1">
      <c r="A39" s="82" t="s">
        <v>4093</v>
      </c>
      <c r="B39" s="495" t="s">
        <v>2</v>
      </c>
      <c r="C39" s="519" t="s">
        <v>2120</v>
      </c>
      <c r="D39" s="119">
        <v>256</v>
      </c>
      <c r="E39" s="200"/>
      <c r="F39" s="200"/>
      <c r="G39" s="200"/>
      <c r="H39" s="200"/>
      <c r="I39" s="200"/>
      <c r="J39" s="200"/>
      <c r="K39" s="200"/>
      <c r="L39" s="200"/>
      <c r="M39" s="200"/>
      <c r="N39" s="200"/>
      <c r="O39" s="200">
        <v>97.3</v>
      </c>
      <c r="P39" s="200"/>
      <c r="Q39" s="226">
        <f t="shared" si="0"/>
        <v>97.3</v>
      </c>
      <c r="R39" s="144" t="str">
        <f t="shared" si="1"/>
        <v>NO</v>
      </c>
      <c r="S39" s="201" t="str">
        <f t="shared" si="2"/>
        <v>Inviable Sanitariamente</v>
      </c>
      <c r="T39" s="197"/>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row>
    <row r="40" spans="1:256" ht="32.1" customHeight="1">
      <c r="A40" s="82" t="s">
        <v>4093</v>
      </c>
      <c r="B40" s="495" t="s">
        <v>1779</v>
      </c>
      <c r="C40" s="519" t="s">
        <v>2121</v>
      </c>
      <c r="D40" s="119">
        <v>208</v>
      </c>
      <c r="E40" s="200"/>
      <c r="F40" s="200"/>
      <c r="G40" s="200"/>
      <c r="H40" s="200"/>
      <c r="I40" s="200"/>
      <c r="J40" s="200">
        <v>97.3</v>
      </c>
      <c r="K40" s="200"/>
      <c r="L40" s="200"/>
      <c r="M40" s="200"/>
      <c r="N40" s="200"/>
      <c r="O40" s="200"/>
      <c r="P40" s="200"/>
      <c r="Q40" s="226">
        <f t="shared" si="0"/>
        <v>97.3</v>
      </c>
      <c r="R40" s="144" t="str">
        <f t="shared" si="1"/>
        <v>NO</v>
      </c>
      <c r="S40" s="201" t="str">
        <f t="shared" si="2"/>
        <v>Inviable Sanitariamente</v>
      </c>
      <c r="T40" s="197"/>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row>
    <row r="41" spans="1:256" ht="32.1" customHeight="1">
      <c r="A41" s="82" t="s">
        <v>4093</v>
      </c>
      <c r="B41" s="495" t="s">
        <v>1780</v>
      </c>
      <c r="C41" s="517" t="s">
        <v>1781</v>
      </c>
      <c r="D41" s="119">
        <v>35</v>
      </c>
      <c r="E41" s="200"/>
      <c r="F41" s="200"/>
      <c r="G41" s="200"/>
      <c r="H41" s="200"/>
      <c r="I41" s="200"/>
      <c r="J41" s="200">
        <v>97.9</v>
      </c>
      <c r="K41" s="200">
        <v>76.92</v>
      </c>
      <c r="L41" s="200"/>
      <c r="M41" s="200"/>
      <c r="N41" s="200"/>
      <c r="O41" s="200"/>
      <c r="P41" s="200"/>
      <c r="Q41" s="226">
        <f t="shared" si="0"/>
        <v>87.41</v>
      </c>
      <c r="R41" s="144" t="str">
        <f t="shared" si="1"/>
        <v>NO</v>
      </c>
      <c r="S41" s="201" t="str">
        <f t="shared" si="2"/>
        <v>Inviable Sanitariamente</v>
      </c>
      <c r="T41" s="197"/>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row>
    <row r="42" spans="1:256" ht="32.1" customHeight="1">
      <c r="A42" s="82" t="s">
        <v>4093</v>
      </c>
      <c r="B42" s="495" t="s">
        <v>1782</v>
      </c>
      <c r="C42" s="519" t="s">
        <v>2254</v>
      </c>
      <c r="D42" s="119">
        <v>90</v>
      </c>
      <c r="E42" s="200"/>
      <c r="F42" s="200"/>
      <c r="G42" s="200"/>
      <c r="H42" s="200"/>
      <c r="I42" s="200"/>
      <c r="J42" s="200">
        <v>97.9</v>
      </c>
      <c r="K42" s="200"/>
      <c r="L42" s="200"/>
      <c r="M42" s="200">
        <v>97.9</v>
      </c>
      <c r="N42" s="200"/>
      <c r="O42" s="200"/>
      <c r="P42" s="200"/>
      <c r="Q42" s="226">
        <f t="shared" si="0"/>
        <v>97.9</v>
      </c>
      <c r="R42" s="144" t="str">
        <f t="shared" si="1"/>
        <v>NO</v>
      </c>
      <c r="S42" s="201" t="str">
        <f t="shared" si="2"/>
        <v>Inviable Sanitariamente</v>
      </c>
      <c r="T42" s="197"/>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c r="HU42" s="198"/>
      <c r="HV42" s="198"/>
      <c r="HW42" s="198"/>
      <c r="HX42" s="198"/>
      <c r="HY42" s="198"/>
      <c r="HZ42" s="198"/>
      <c r="IA42" s="198"/>
      <c r="IB42" s="198"/>
      <c r="IC42" s="198"/>
      <c r="ID42" s="198"/>
      <c r="IE42" s="198"/>
      <c r="IF42" s="198"/>
      <c r="IG42" s="198"/>
      <c r="IH42" s="198"/>
      <c r="II42" s="198"/>
      <c r="IJ42" s="198"/>
      <c r="IK42" s="198"/>
      <c r="IL42" s="198"/>
      <c r="IM42" s="198"/>
      <c r="IN42" s="198"/>
      <c r="IO42" s="198"/>
      <c r="IP42" s="198"/>
      <c r="IQ42" s="198"/>
      <c r="IR42" s="198"/>
      <c r="IS42" s="198"/>
      <c r="IT42" s="198"/>
      <c r="IU42" s="198"/>
      <c r="IV42" s="198"/>
    </row>
    <row r="43" spans="1:256" ht="32.1" customHeight="1">
      <c r="A43" s="82" t="s">
        <v>4093</v>
      </c>
      <c r="B43" s="495" t="s">
        <v>1783</v>
      </c>
      <c r="C43" s="519" t="s">
        <v>2122</v>
      </c>
      <c r="D43" s="119">
        <v>40</v>
      </c>
      <c r="E43" s="200"/>
      <c r="F43" s="200"/>
      <c r="G43" s="200"/>
      <c r="H43" s="200"/>
      <c r="I43" s="200"/>
      <c r="J43" s="200">
        <v>97.9</v>
      </c>
      <c r="K43" s="200"/>
      <c r="L43" s="200"/>
      <c r="M43" s="200">
        <v>76.900000000000006</v>
      </c>
      <c r="N43" s="200"/>
      <c r="O43" s="200"/>
      <c r="P43" s="200"/>
      <c r="Q43" s="226">
        <f t="shared" si="0"/>
        <v>87.4</v>
      </c>
      <c r="R43" s="144" t="str">
        <f t="shared" ref="R43:R74" si="3">IF(Q43&lt;5,"SI","NO")</f>
        <v>NO</v>
      </c>
      <c r="S43" s="201" t="str">
        <f t="shared" si="2"/>
        <v>Inviable Sanitariamente</v>
      </c>
      <c r="T43" s="197"/>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c r="HU43" s="198"/>
      <c r="HV43" s="198"/>
      <c r="HW43" s="198"/>
      <c r="HX43" s="198"/>
      <c r="HY43" s="198"/>
      <c r="HZ43" s="198"/>
      <c r="IA43" s="198"/>
      <c r="IB43" s="198"/>
      <c r="IC43" s="198"/>
      <c r="ID43" s="198"/>
      <c r="IE43" s="198"/>
      <c r="IF43" s="198"/>
      <c r="IG43" s="198"/>
      <c r="IH43" s="198"/>
      <c r="II43" s="198"/>
      <c r="IJ43" s="198"/>
      <c r="IK43" s="198"/>
      <c r="IL43" s="198"/>
      <c r="IM43" s="198"/>
      <c r="IN43" s="198"/>
      <c r="IO43" s="198"/>
      <c r="IP43" s="198"/>
      <c r="IQ43" s="198"/>
      <c r="IR43" s="198"/>
      <c r="IS43" s="198"/>
      <c r="IT43" s="198"/>
      <c r="IU43" s="198"/>
      <c r="IV43" s="198"/>
    </row>
    <row r="44" spans="1:256" ht="32.1" customHeight="1">
      <c r="A44" s="82" t="s">
        <v>4093</v>
      </c>
      <c r="B44" s="495" t="s">
        <v>1784</v>
      </c>
      <c r="C44" s="517" t="s">
        <v>1785</v>
      </c>
      <c r="D44" s="199">
        <v>128</v>
      </c>
      <c r="E44" s="200"/>
      <c r="F44" s="200"/>
      <c r="G44" s="200"/>
      <c r="H44" s="200"/>
      <c r="I44" s="200">
        <v>76.92</v>
      </c>
      <c r="J44" s="200"/>
      <c r="K44" s="200"/>
      <c r="L44" s="200"/>
      <c r="M44" s="200"/>
      <c r="N44" s="200"/>
      <c r="O44" s="200"/>
      <c r="P44" s="200"/>
      <c r="Q44" s="226">
        <f t="shared" si="0"/>
        <v>76.92</v>
      </c>
      <c r="R44" s="144" t="str">
        <f t="shared" si="3"/>
        <v>NO</v>
      </c>
      <c r="S44" s="201" t="str">
        <f t="shared" si="2"/>
        <v>Alto</v>
      </c>
      <c r="T44" s="197"/>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c r="HU44" s="198"/>
      <c r="HV44" s="198"/>
      <c r="HW44" s="198"/>
      <c r="HX44" s="198"/>
      <c r="HY44" s="198"/>
      <c r="HZ44" s="198"/>
      <c r="IA44" s="198"/>
      <c r="IB44" s="198"/>
      <c r="IC44" s="198"/>
      <c r="ID44" s="198"/>
      <c r="IE44" s="198"/>
      <c r="IF44" s="198"/>
      <c r="IG44" s="198"/>
      <c r="IH44" s="198"/>
      <c r="II44" s="198"/>
      <c r="IJ44" s="198"/>
      <c r="IK44" s="198"/>
      <c r="IL44" s="198"/>
      <c r="IM44" s="198"/>
      <c r="IN44" s="198"/>
      <c r="IO44" s="198"/>
      <c r="IP44" s="198"/>
      <c r="IQ44" s="198"/>
      <c r="IR44" s="198"/>
      <c r="IS44" s="198"/>
      <c r="IT44" s="198"/>
      <c r="IU44" s="198"/>
      <c r="IV44" s="198"/>
    </row>
    <row r="45" spans="1:256" ht="32.1" customHeight="1">
      <c r="A45" s="82" t="s">
        <v>164</v>
      </c>
      <c r="B45" s="495" t="s">
        <v>58</v>
      </c>
      <c r="C45" s="517" t="s">
        <v>1787</v>
      </c>
      <c r="D45" s="119"/>
      <c r="E45" s="200"/>
      <c r="F45" s="200"/>
      <c r="G45" s="200"/>
      <c r="H45" s="200"/>
      <c r="I45" s="200"/>
      <c r="J45" s="200"/>
      <c r="K45" s="200"/>
      <c r="L45" s="200"/>
      <c r="M45" s="200"/>
      <c r="N45" s="200"/>
      <c r="O45" s="200"/>
      <c r="P45" s="200"/>
      <c r="Q45" s="226" t="e">
        <f t="shared" si="0"/>
        <v>#DIV/0!</v>
      </c>
      <c r="R45" s="144" t="e">
        <f t="shared" si="3"/>
        <v>#DIV/0!</v>
      </c>
      <c r="S45" s="201" t="e">
        <f t="shared" si="2"/>
        <v>#DIV/0!</v>
      </c>
      <c r="T45" s="15"/>
    </row>
    <row r="46" spans="1:256" ht="32.1" customHeight="1">
      <c r="A46" s="82" t="s">
        <v>164</v>
      </c>
      <c r="B46" s="495" t="s">
        <v>1788</v>
      </c>
      <c r="C46" s="517" t="s">
        <v>1789</v>
      </c>
      <c r="D46" s="119"/>
      <c r="E46" s="200"/>
      <c r="F46" s="200"/>
      <c r="G46" s="200"/>
      <c r="H46" s="200"/>
      <c r="I46" s="200"/>
      <c r="J46" s="200"/>
      <c r="K46" s="200"/>
      <c r="L46" s="200"/>
      <c r="M46" s="200"/>
      <c r="N46" s="200"/>
      <c r="O46" s="200"/>
      <c r="P46" s="200"/>
      <c r="Q46" s="226" t="e">
        <f t="shared" si="0"/>
        <v>#DIV/0!</v>
      </c>
      <c r="R46" s="144" t="e">
        <f t="shared" si="3"/>
        <v>#DIV/0!</v>
      </c>
      <c r="S46" s="201" t="e">
        <f t="shared" si="2"/>
        <v>#DIV/0!</v>
      </c>
      <c r="T46" s="15"/>
    </row>
    <row r="47" spans="1:256" ht="32.1" customHeight="1">
      <c r="A47" s="82" t="s">
        <v>164</v>
      </c>
      <c r="B47" s="521" t="s">
        <v>1790</v>
      </c>
      <c r="C47" s="520" t="s">
        <v>1791</v>
      </c>
      <c r="D47" s="227"/>
      <c r="E47" s="200"/>
      <c r="F47" s="200"/>
      <c r="G47" s="200"/>
      <c r="H47" s="200"/>
      <c r="I47" s="200"/>
      <c r="J47" s="200"/>
      <c r="K47" s="200"/>
      <c r="L47" s="200"/>
      <c r="M47" s="200"/>
      <c r="N47" s="200"/>
      <c r="O47" s="200"/>
      <c r="P47" s="200"/>
      <c r="Q47" s="226" t="e">
        <f t="shared" si="0"/>
        <v>#DIV/0!</v>
      </c>
      <c r="R47" s="144" t="e">
        <f t="shared" si="3"/>
        <v>#DIV/0!</v>
      </c>
      <c r="S47" s="201" t="e">
        <f t="shared" si="2"/>
        <v>#DIV/0!</v>
      </c>
      <c r="T47" s="15"/>
    </row>
    <row r="48" spans="1:256" ht="32.1" customHeight="1">
      <c r="A48" s="82" t="s">
        <v>164</v>
      </c>
      <c r="B48" s="522" t="s">
        <v>1792</v>
      </c>
      <c r="C48" s="519" t="s">
        <v>1793</v>
      </c>
      <c r="D48" s="199">
        <v>160</v>
      </c>
      <c r="E48" s="200"/>
      <c r="F48" s="200"/>
      <c r="G48" s="200"/>
      <c r="H48" s="200">
        <v>53.1</v>
      </c>
      <c r="I48" s="200"/>
      <c r="J48" s="200"/>
      <c r="K48" s="200"/>
      <c r="L48" s="200"/>
      <c r="M48" s="200"/>
      <c r="N48" s="200"/>
      <c r="O48" s="408"/>
      <c r="P48" s="200"/>
      <c r="Q48" s="410">
        <f>AVERAGE(E48:P48)</f>
        <v>53.1</v>
      </c>
      <c r="R48" s="144" t="str">
        <f t="shared" si="3"/>
        <v>NO</v>
      </c>
      <c r="S48" s="201" t="str">
        <f t="shared" si="2"/>
        <v>Alto</v>
      </c>
      <c r="T48" s="15"/>
    </row>
    <row r="49" spans="1:20" ht="32.1" customHeight="1">
      <c r="A49" s="82" t="s">
        <v>164</v>
      </c>
      <c r="B49" s="522" t="s">
        <v>1794</v>
      </c>
      <c r="C49" s="519" t="s">
        <v>1795</v>
      </c>
      <c r="D49" s="119"/>
      <c r="E49" s="200"/>
      <c r="F49" s="200"/>
      <c r="G49" s="200"/>
      <c r="H49" s="200"/>
      <c r="I49" s="200"/>
      <c r="J49" s="200"/>
      <c r="K49" s="200"/>
      <c r="L49" s="200"/>
      <c r="M49" s="200"/>
      <c r="N49" s="200"/>
      <c r="O49" s="200"/>
      <c r="P49" s="200"/>
      <c r="Q49" s="410" t="e">
        <f t="shared" si="0"/>
        <v>#DIV/0!</v>
      </c>
      <c r="R49" s="144" t="e">
        <f t="shared" si="3"/>
        <v>#DIV/0!</v>
      </c>
      <c r="S49" s="201" t="e">
        <f t="shared" si="2"/>
        <v>#DIV/0!</v>
      </c>
      <c r="T49" s="15"/>
    </row>
    <row r="50" spans="1:20" ht="32.1" customHeight="1">
      <c r="A50" s="82" t="s">
        <v>164</v>
      </c>
      <c r="B50" s="522" t="s">
        <v>1796</v>
      </c>
      <c r="C50" s="519" t="s">
        <v>1797</v>
      </c>
      <c r="D50" s="199">
        <v>1350</v>
      </c>
      <c r="E50" s="200"/>
      <c r="F50" s="200"/>
      <c r="G50" s="200"/>
      <c r="H50" s="200"/>
      <c r="I50" s="200"/>
      <c r="J50" s="200">
        <v>53.1</v>
      </c>
      <c r="K50" s="200"/>
      <c r="L50" s="411"/>
      <c r="M50" s="200"/>
      <c r="N50" s="200"/>
      <c r="O50" s="200"/>
      <c r="P50" s="200"/>
      <c r="Q50" s="410">
        <f>AVERAGE(E50:P50)</f>
        <v>53.1</v>
      </c>
      <c r="R50" s="144" t="str">
        <f t="shared" si="3"/>
        <v>NO</v>
      </c>
      <c r="S50" s="201" t="str">
        <f t="shared" si="2"/>
        <v>Alto</v>
      </c>
      <c r="T50" s="15"/>
    </row>
    <row r="51" spans="1:20" ht="32.1" customHeight="1">
      <c r="A51" s="82" t="s">
        <v>164</v>
      </c>
      <c r="B51" s="523" t="s">
        <v>1800</v>
      </c>
      <c r="C51" s="520" t="s">
        <v>2090</v>
      </c>
      <c r="D51" s="119">
        <v>102</v>
      </c>
      <c r="E51" s="200"/>
      <c r="F51" s="200"/>
      <c r="G51" s="200"/>
      <c r="H51" s="200"/>
      <c r="I51" s="200"/>
      <c r="J51" s="200"/>
      <c r="K51" s="200">
        <v>88.67</v>
      </c>
      <c r="L51" s="200"/>
      <c r="M51" s="200"/>
      <c r="N51" s="408"/>
      <c r="O51" s="200"/>
      <c r="P51" s="200"/>
      <c r="Q51" s="410">
        <f>AVERAGE(E51:P51)</f>
        <v>88.67</v>
      </c>
      <c r="R51" s="144" t="str">
        <f t="shared" si="3"/>
        <v>NO</v>
      </c>
      <c r="S51" s="201" t="str">
        <f t="shared" si="2"/>
        <v>Inviable Sanitariamente</v>
      </c>
      <c r="T51" s="15"/>
    </row>
    <row r="52" spans="1:20" ht="32.1" customHeight="1">
      <c r="A52" s="82" t="s">
        <v>164</v>
      </c>
      <c r="B52" s="522" t="s">
        <v>1801</v>
      </c>
      <c r="C52" s="520" t="s">
        <v>2091</v>
      </c>
      <c r="D52" s="119"/>
      <c r="E52" s="200"/>
      <c r="F52" s="200"/>
      <c r="G52" s="200"/>
      <c r="H52" s="200"/>
      <c r="I52" s="200"/>
      <c r="J52" s="200"/>
      <c r="K52" s="200"/>
      <c r="L52" s="200"/>
      <c r="M52" s="200"/>
      <c r="N52" s="200"/>
      <c r="O52" s="200"/>
      <c r="P52" s="200"/>
      <c r="Q52" s="410" t="e">
        <f t="shared" si="0"/>
        <v>#DIV/0!</v>
      </c>
      <c r="R52" s="144" t="e">
        <f t="shared" si="3"/>
        <v>#DIV/0!</v>
      </c>
      <c r="S52" s="201" t="e">
        <f t="shared" si="2"/>
        <v>#DIV/0!</v>
      </c>
      <c r="T52" s="15"/>
    </row>
    <row r="53" spans="1:20" ht="32.1" customHeight="1">
      <c r="A53" s="82" t="s">
        <v>164</v>
      </c>
      <c r="B53" s="522" t="s">
        <v>733</v>
      </c>
      <c r="C53" s="519" t="s">
        <v>2092</v>
      </c>
      <c r="D53" s="208">
        <v>98</v>
      </c>
      <c r="E53" s="200"/>
      <c r="F53" s="200"/>
      <c r="G53" s="200"/>
      <c r="H53" s="200">
        <v>53.1</v>
      </c>
      <c r="I53" s="200"/>
      <c r="J53" s="200"/>
      <c r="K53" s="200"/>
      <c r="L53" s="200"/>
      <c r="M53" s="200"/>
      <c r="N53" s="408"/>
      <c r="O53" s="200"/>
      <c r="P53" s="200"/>
      <c r="Q53" s="410">
        <f>AVERAGE(E53:P53)</f>
        <v>53.1</v>
      </c>
      <c r="R53" s="144" t="str">
        <f t="shared" si="3"/>
        <v>NO</v>
      </c>
      <c r="S53" s="201" t="str">
        <f t="shared" si="2"/>
        <v>Alto</v>
      </c>
      <c r="T53" s="15"/>
    </row>
    <row r="54" spans="1:20" ht="32.1" customHeight="1">
      <c r="A54" s="82" t="s">
        <v>164</v>
      </c>
      <c r="B54" s="522" t="s">
        <v>1802</v>
      </c>
      <c r="C54" s="519" t="s">
        <v>1803</v>
      </c>
      <c r="D54" s="148">
        <v>1350</v>
      </c>
      <c r="E54" s="200"/>
      <c r="F54" s="200"/>
      <c r="G54" s="200"/>
      <c r="H54" s="200"/>
      <c r="I54" s="200">
        <v>26.55</v>
      </c>
      <c r="J54" s="200"/>
      <c r="K54" s="200"/>
      <c r="L54" s="411"/>
      <c r="M54" s="200"/>
      <c r="N54" s="200"/>
      <c r="O54" s="200"/>
      <c r="P54" s="200"/>
      <c r="Q54" s="410">
        <f>AVERAGE(E54:P54)</f>
        <v>26.55</v>
      </c>
      <c r="R54" s="144" t="str">
        <f t="shared" si="3"/>
        <v>NO</v>
      </c>
      <c r="S54" s="201" t="str">
        <f t="shared" si="2"/>
        <v>Medio</v>
      </c>
      <c r="T54" s="15"/>
    </row>
    <row r="55" spans="1:20" ht="32.1" customHeight="1">
      <c r="A55" s="82" t="s">
        <v>164</v>
      </c>
      <c r="B55" s="522" t="s">
        <v>1214</v>
      </c>
      <c r="C55" s="519" t="s">
        <v>2093</v>
      </c>
      <c r="D55" s="114">
        <v>45</v>
      </c>
      <c r="E55" s="200"/>
      <c r="F55" s="200"/>
      <c r="G55" s="200"/>
      <c r="H55" s="200"/>
      <c r="I55" s="200"/>
      <c r="J55" s="200"/>
      <c r="K55" s="200">
        <v>88.4</v>
      </c>
      <c r="L55" s="200"/>
      <c r="M55" s="200"/>
      <c r="N55" s="408"/>
      <c r="O55" s="200"/>
      <c r="P55" s="200"/>
      <c r="Q55" s="410">
        <f>AVERAGE(E55:P55)</f>
        <v>88.4</v>
      </c>
      <c r="R55" s="144" t="str">
        <f t="shared" si="3"/>
        <v>NO</v>
      </c>
      <c r="S55" s="201" t="str">
        <f t="shared" si="2"/>
        <v>Inviable Sanitariamente</v>
      </c>
      <c r="T55" s="15"/>
    </row>
    <row r="56" spans="1:20" ht="32.1" customHeight="1">
      <c r="A56" s="82" t="s">
        <v>164</v>
      </c>
      <c r="B56" s="522" t="s">
        <v>1804</v>
      </c>
      <c r="C56" s="519" t="s">
        <v>1805</v>
      </c>
      <c r="D56" s="119">
        <v>99</v>
      </c>
      <c r="E56" s="200"/>
      <c r="F56" s="200"/>
      <c r="G56" s="200"/>
      <c r="H56" s="200"/>
      <c r="I56" s="200"/>
      <c r="J56" s="200">
        <v>53.1</v>
      </c>
      <c r="K56" s="411"/>
      <c r="L56" s="200"/>
      <c r="M56" s="200"/>
      <c r="N56" s="200"/>
      <c r="O56" s="200"/>
      <c r="P56" s="200"/>
      <c r="Q56" s="410">
        <f>AVERAGE(E56:P56)</f>
        <v>53.1</v>
      </c>
      <c r="R56" s="144" t="str">
        <f t="shared" si="3"/>
        <v>NO</v>
      </c>
      <c r="S56" s="201" t="str">
        <f t="shared" si="2"/>
        <v>Alto</v>
      </c>
      <c r="T56" s="15"/>
    </row>
    <row r="57" spans="1:20" ht="32.1" customHeight="1">
      <c r="A57" s="82" t="s">
        <v>164</v>
      </c>
      <c r="B57" s="522" t="s">
        <v>1807</v>
      </c>
      <c r="C57" s="519" t="s">
        <v>1808</v>
      </c>
      <c r="D57" s="148">
        <v>1350</v>
      </c>
      <c r="E57" s="200"/>
      <c r="F57" s="200"/>
      <c r="G57" s="200"/>
      <c r="H57" s="200"/>
      <c r="I57" s="200"/>
      <c r="J57" s="200"/>
      <c r="K57" s="200">
        <v>23.2</v>
      </c>
      <c r="L57" s="200"/>
      <c r="M57" s="200"/>
      <c r="N57" s="409"/>
      <c r="O57" s="200"/>
      <c r="P57" s="200"/>
      <c r="Q57" s="410">
        <v>32.17</v>
      </c>
      <c r="R57" s="144" t="str">
        <f t="shared" si="3"/>
        <v>NO</v>
      </c>
      <c r="S57" s="201" t="str">
        <f t="shared" si="2"/>
        <v>Medio</v>
      </c>
      <c r="T57" s="15"/>
    </row>
    <row r="58" spans="1:20" ht="32.1" customHeight="1">
      <c r="A58" s="82" t="s">
        <v>164</v>
      </c>
      <c r="B58" s="522" t="s">
        <v>1809</v>
      </c>
      <c r="C58" s="519" t="s">
        <v>1810</v>
      </c>
      <c r="D58" s="119">
        <v>89</v>
      </c>
      <c r="E58" s="200"/>
      <c r="F58" s="200"/>
      <c r="G58" s="200"/>
      <c r="H58" s="200"/>
      <c r="I58" s="200"/>
      <c r="J58" s="200">
        <v>97.35</v>
      </c>
      <c r="K58" s="200"/>
      <c r="L58" s="200"/>
      <c r="M58" s="200"/>
      <c r="N58" s="200"/>
      <c r="O58" s="200"/>
      <c r="P58" s="200"/>
      <c r="Q58" s="226">
        <f t="shared" si="0"/>
        <v>97.35</v>
      </c>
      <c r="R58" s="144" t="str">
        <f t="shared" si="3"/>
        <v>NO</v>
      </c>
      <c r="S58" s="201" t="str">
        <f t="shared" si="2"/>
        <v>Inviable Sanitariamente</v>
      </c>
      <c r="T58" s="15"/>
    </row>
    <row r="59" spans="1:20" ht="32.1" customHeight="1">
      <c r="A59" s="82" t="s">
        <v>164</v>
      </c>
      <c r="B59" s="522" t="s">
        <v>1811</v>
      </c>
      <c r="C59" s="519" t="s">
        <v>1812</v>
      </c>
      <c r="D59" s="199">
        <v>230</v>
      </c>
      <c r="E59" s="200"/>
      <c r="F59" s="200"/>
      <c r="G59" s="200"/>
      <c r="H59" s="200"/>
      <c r="I59" s="200"/>
      <c r="J59" s="200">
        <v>53.1</v>
      </c>
      <c r="K59" s="200"/>
      <c r="L59" s="200"/>
      <c r="M59" s="200"/>
      <c r="N59" s="200"/>
      <c r="O59" s="200"/>
      <c r="P59" s="200"/>
      <c r="Q59" s="226">
        <f t="shared" si="0"/>
        <v>53.1</v>
      </c>
      <c r="R59" s="144" t="str">
        <f t="shared" si="3"/>
        <v>NO</v>
      </c>
      <c r="S59" s="201" t="str">
        <f t="shared" si="2"/>
        <v>Alto</v>
      </c>
      <c r="T59" s="15"/>
    </row>
    <row r="60" spans="1:20" ht="32.1" customHeight="1">
      <c r="A60" s="82" t="s">
        <v>164</v>
      </c>
      <c r="B60" s="522" t="s">
        <v>1813</v>
      </c>
      <c r="C60" s="524" t="s">
        <v>1814</v>
      </c>
      <c r="D60" s="119">
        <v>72</v>
      </c>
      <c r="E60" s="200"/>
      <c r="F60" s="200"/>
      <c r="G60" s="200"/>
      <c r="H60" s="200"/>
      <c r="I60" s="200">
        <v>53.1</v>
      </c>
      <c r="J60" s="200">
        <v>53.1</v>
      </c>
      <c r="K60" s="408"/>
      <c r="L60" s="200"/>
      <c r="M60" s="200"/>
      <c r="N60" s="200"/>
      <c r="O60" s="200"/>
      <c r="P60" s="200"/>
      <c r="Q60" s="226">
        <f>AVERAGE(E60:P60)</f>
        <v>53.1</v>
      </c>
      <c r="R60" s="144" t="str">
        <f t="shared" si="3"/>
        <v>NO</v>
      </c>
      <c r="S60" s="201" t="str">
        <f t="shared" si="2"/>
        <v>Alto</v>
      </c>
      <c r="T60" s="15"/>
    </row>
    <row r="61" spans="1:20" ht="32.1" customHeight="1">
      <c r="A61" s="82" t="s">
        <v>164</v>
      </c>
      <c r="B61" s="522" t="s">
        <v>686</v>
      </c>
      <c r="C61" s="519" t="s">
        <v>1815</v>
      </c>
      <c r="D61" s="119"/>
      <c r="E61" s="200"/>
      <c r="F61" s="200"/>
      <c r="G61" s="200"/>
      <c r="H61" s="200"/>
      <c r="I61" s="200"/>
      <c r="J61" s="200"/>
      <c r="K61" s="200"/>
      <c r="L61" s="409"/>
      <c r="M61" s="200"/>
      <c r="N61" s="200"/>
      <c r="O61" s="200"/>
      <c r="P61" s="200"/>
      <c r="Q61" s="226" t="e">
        <f>AVERAGE(E61:P61)</f>
        <v>#DIV/0!</v>
      </c>
      <c r="R61" s="144" t="e">
        <f t="shared" si="3"/>
        <v>#DIV/0!</v>
      </c>
      <c r="S61" s="201" t="e">
        <f t="shared" si="2"/>
        <v>#DIV/0!</v>
      </c>
      <c r="T61" s="15"/>
    </row>
    <row r="62" spans="1:20" ht="32.1" customHeight="1">
      <c r="A62" s="82" t="s">
        <v>164</v>
      </c>
      <c r="B62" s="522" t="s">
        <v>58</v>
      </c>
      <c r="C62" s="519" t="s">
        <v>1816</v>
      </c>
      <c r="D62" s="148"/>
      <c r="E62" s="200"/>
      <c r="F62" s="200"/>
      <c r="G62" s="200"/>
      <c r="H62" s="200"/>
      <c r="I62" s="200"/>
      <c r="J62" s="200"/>
      <c r="K62" s="200"/>
      <c r="L62" s="200"/>
      <c r="M62" s="200"/>
      <c r="N62" s="200"/>
      <c r="O62" s="200"/>
      <c r="P62" s="200"/>
      <c r="Q62" s="226" t="e">
        <f t="shared" si="0"/>
        <v>#DIV/0!</v>
      </c>
      <c r="R62" s="144" t="e">
        <f t="shared" si="3"/>
        <v>#DIV/0!</v>
      </c>
      <c r="S62" s="201" t="e">
        <f t="shared" si="2"/>
        <v>#DIV/0!</v>
      </c>
      <c r="T62" s="15"/>
    </row>
    <row r="63" spans="1:20" ht="32.1" customHeight="1">
      <c r="A63" s="82" t="s">
        <v>164</v>
      </c>
      <c r="B63" s="522" t="s">
        <v>1817</v>
      </c>
      <c r="C63" s="519" t="s">
        <v>1818</v>
      </c>
      <c r="D63" s="148"/>
      <c r="E63" s="200"/>
      <c r="F63" s="200"/>
      <c r="G63" s="200"/>
      <c r="H63" s="200"/>
      <c r="I63" s="200"/>
      <c r="J63" s="200"/>
      <c r="K63" s="200"/>
      <c r="L63" s="200"/>
      <c r="M63" s="200"/>
      <c r="N63" s="200"/>
      <c r="O63" s="200"/>
      <c r="P63" s="200"/>
      <c r="Q63" s="226" t="e">
        <f t="shared" si="0"/>
        <v>#DIV/0!</v>
      </c>
      <c r="R63" s="144" t="e">
        <f t="shared" si="3"/>
        <v>#DIV/0!</v>
      </c>
      <c r="S63" s="201" t="e">
        <f t="shared" si="2"/>
        <v>#DIV/0!</v>
      </c>
      <c r="T63" s="15"/>
    </row>
    <row r="64" spans="1:20" ht="32.1" customHeight="1">
      <c r="A64" s="82" t="s">
        <v>164</v>
      </c>
      <c r="B64" s="522" t="s">
        <v>1819</v>
      </c>
      <c r="C64" s="519" t="s">
        <v>1820</v>
      </c>
      <c r="D64" s="119">
        <v>1350</v>
      </c>
      <c r="E64" s="200"/>
      <c r="F64" s="200"/>
      <c r="G64" s="200"/>
      <c r="H64" s="200"/>
      <c r="I64" s="200"/>
      <c r="J64" s="200"/>
      <c r="K64" s="200">
        <v>24.4</v>
      </c>
      <c r="L64" s="200"/>
      <c r="M64" s="200"/>
      <c r="N64" s="411"/>
      <c r="O64" s="200"/>
      <c r="P64" s="200"/>
      <c r="Q64" s="226">
        <f>AVERAGE(E64:P64)</f>
        <v>24.4</v>
      </c>
      <c r="R64" s="144" t="str">
        <f t="shared" si="3"/>
        <v>NO</v>
      </c>
      <c r="S64" s="201" t="str">
        <f t="shared" si="2"/>
        <v>Medio</v>
      </c>
      <c r="T64" s="15"/>
    </row>
    <row r="65" spans="1:20" ht="32.1" customHeight="1">
      <c r="A65" s="82" t="s">
        <v>164</v>
      </c>
      <c r="B65" s="522" t="s">
        <v>1802</v>
      </c>
      <c r="C65" s="519" t="s">
        <v>1821</v>
      </c>
      <c r="D65" s="148">
        <v>110</v>
      </c>
      <c r="E65" s="200"/>
      <c r="F65" s="200"/>
      <c r="G65" s="200"/>
      <c r="H65" s="200"/>
      <c r="I65" s="200">
        <v>26.55</v>
      </c>
      <c r="J65" s="200"/>
      <c r="K65" s="200"/>
      <c r="L65" s="200"/>
      <c r="M65" s="200"/>
      <c r="N65" s="200"/>
      <c r="O65" s="200"/>
      <c r="P65" s="200"/>
      <c r="Q65" s="226">
        <f t="shared" si="0"/>
        <v>26.55</v>
      </c>
      <c r="R65" s="144" t="str">
        <f t="shared" si="3"/>
        <v>NO</v>
      </c>
      <c r="S65" s="201" t="str">
        <f t="shared" si="2"/>
        <v>Medio</v>
      </c>
      <c r="T65" s="15"/>
    </row>
    <row r="66" spans="1:20" ht="32.1" customHeight="1">
      <c r="A66" s="82" t="s">
        <v>164</v>
      </c>
      <c r="B66" s="522" t="s">
        <v>1822</v>
      </c>
      <c r="C66" s="519" t="s">
        <v>1823</v>
      </c>
      <c r="D66" s="148"/>
      <c r="E66" s="200"/>
      <c r="F66" s="200"/>
      <c r="G66" s="200"/>
      <c r="H66" s="200"/>
      <c r="I66" s="200"/>
      <c r="J66" s="200"/>
      <c r="K66" s="200"/>
      <c r="L66" s="200"/>
      <c r="M66" s="200"/>
      <c r="N66" s="411"/>
      <c r="O66" s="200"/>
      <c r="P66" s="200"/>
      <c r="Q66" s="226" t="e">
        <f>AVERAGE(E66:P66)</f>
        <v>#DIV/0!</v>
      </c>
      <c r="R66" s="144" t="e">
        <f t="shared" si="3"/>
        <v>#DIV/0!</v>
      </c>
      <c r="S66" s="201" t="e">
        <f t="shared" si="2"/>
        <v>#DIV/0!</v>
      </c>
      <c r="T66" s="15"/>
    </row>
    <row r="67" spans="1:20" ht="32.1" customHeight="1">
      <c r="A67" s="82" t="s">
        <v>164</v>
      </c>
      <c r="B67" s="522" t="s">
        <v>1824</v>
      </c>
      <c r="C67" s="519" t="s">
        <v>2094</v>
      </c>
      <c r="D67" s="148">
        <v>60</v>
      </c>
      <c r="E67" s="200"/>
      <c r="F67" s="200"/>
      <c r="G67" s="200"/>
      <c r="H67" s="200"/>
      <c r="I67" s="200"/>
      <c r="J67" s="200"/>
      <c r="K67" s="200">
        <v>90.19</v>
      </c>
      <c r="L67" s="200"/>
      <c r="M67" s="200"/>
      <c r="N67" s="408"/>
      <c r="O67" s="200"/>
      <c r="P67" s="200"/>
      <c r="Q67" s="226">
        <f>AVERAGE(E67:P67)</f>
        <v>90.19</v>
      </c>
      <c r="R67" s="144" t="str">
        <f t="shared" si="3"/>
        <v>NO</v>
      </c>
      <c r="S67" s="201" t="str">
        <f t="shared" si="2"/>
        <v>Inviable Sanitariamente</v>
      </c>
      <c r="T67" s="15"/>
    </row>
    <row r="68" spans="1:20" ht="32.1" customHeight="1">
      <c r="A68" s="82" t="s">
        <v>164</v>
      </c>
      <c r="B68" s="522" t="s">
        <v>1826</v>
      </c>
      <c r="C68" s="519" t="s">
        <v>1827</v>
      </c>
      <c r="D68" s="148">
        <v>960</v>
      </c>
      <c r="E68" s="200"/>
      <c r="F68" s="200"/>
      <c r="G68" s="200"/>
      <c r="H68" s="200">
        <v>100</v>
      </c>
      <c r="I68" s="200"/>
      <c r="J68" s="200"/>
      <c r="K68" s="200"/>
      <c r="L68" s="200"/>
      <c r="M68" s="200"/>
      <c r="N68" s="200"/>
      <c r="O68" s="200"/>
      <c r="P68" s="200"/>
      <c r="Q68" s="226">
        <f t="shared" si="0"/>
        <v>100</v>
      </c>
      <c r="R68" s="144" t="str">
        <f t="shared" si="3"/>
        <v>NO</v>
      </c>
      <c r="S68" s="201" t="str">
        <f t="shared" si="2"/>
        <v>Inviable Sanitariamente</v>
      </c>
      <c r="T68" s="15"/>
    </row>
    <row r="69" spans="1:20" ht="32.1" customHeight="1">
      <c r="A69" s="82" t="s">
        <v>164</v>
      </c>
      <c r="B69" s="522" t="s">
        <v>1828</v>
      </c>
      <c r="C69" s="519" t="s">
        <v>1829</v>
      </c>
      <c r="D69" s="199"/>
      <c r="E69" s="200"/>
      <c r="F69" s="200"/>
      <c r="G69" s="200"/>
      <c r="H69" s="200"/>
      <c r="I69" s="200"/>
      <c r="J69" s="200"/>
      <c r="K69" s="200"/>
      <c r="L69" s="200"/>
      <c r="M69" s="200"/>
      <c r="N69" s="200"/>
      <c r="O69" s="200"/>
      <c r="P69" s="200"/>
      <c r="Q69" s="226" t="e">
        <f t="shared" si="0"/>
        <v>#DIV/0!</v>
      </c>
      <c r="R69" s="144" t="e">
        <f t="shared" si="3"/>
        <v>#DIV/0!</v>
      </c>
      <c r="S69" s="201" t="e">
        <f t="shared" si="2"/>
        <v>#DIV/0!</v>
      </c>
      <c r="T69" s="15"/>
    </row>
    <row r="70" spans="1:20" ht="32.1" customHeight="1">
      <c r="A70" s="82" t="s">
        <v>164</v>
      </c>
      <c r="B70" s="522" t="s">
        <v>1830</v>
      </c>
      <c r="C70" s="519" t="s">
        <v>2095</v>
      </c>
      <c r="D70" s="148">
        <v>24</v>
      </c>
      <c r="E70" s="200"/>
      <c r="F70" s="200"/>
      <c r="G70" s="200"/>
      <c r="H70" s="200"/>
      <c r="I70" s="200"/>
      <c r="J70" s="200">
        <v>55.75</v>
      </c>
      <c r="K70" s="411"/>
      <c r="L70" s="200"/>
      <c r="M70" s="200"/>
      <c r="N70" s="200"/>
      <c r="O70" s="200"/>
      <c r="P70" s="200"/>
      <c r="Q70" s="410">
        <f>AVERAGE(E70:P70)</f>
        <v>55.75</v>
      </c>
      <c r="R70" s="144" t="str">
        <f t="shared" si="3"/>
        <v>NO</v>
      </c>
      <c r="S70" s="201" t="str">
        <f t="shared" si="2"/>
        <v>Alto</v>
      </c>
      <c r="T70" s="15"/>
    </row>
    <row r="71" spans="1:20" ht="32.1" customHeight="1">
      <c r="A71" s="82" t="s">
        <v>164</v>
      </c>
      <c r="B71" s="522" t="s">
        <v>1125</v>
      </c>
      <c r="C71" s="519" t="s">
        <v>1831</v>
      </c>
      <c r="D71" s="119">
        <v>28</v>
      </c>
      <c r="E71" s="200"/>
      <c r="F71" s="200"/>
      <c r="G71" s="200"/>
      <c r="H71" s="200"/>
      <c r="I71" s="200"/>
      <c r="J71" s="200"/>
      <c r="K71" s="200">
        <v>85.37</v>
      </c>
      <c r="L71" s="200"/>
      <c r="M71" s="200"/>
      <c r="N71" s="408"/>
      <c r="O71" s="200"/>
      <c r="P71" s="200"/>
      <c r="Q71" s="410">
        <f>AVERAGE(E71:P71)</f>
        <v>85.37</v>
      </c>
      <c r="R71" s="144" t="str">
        <f t="shared" si="3"/>
        <v>NO</v>
      </c>
      <c r="S71" s="201" t="str">
        <f t="shared" si="2"/>
        <v>Inviable Sanitariamente</v>
      </c>
      <c r="T71" s="15"/>
    </row>
    <row r="72" spans="1:20" ht="32.1" customHeight="1">
      <c r="A72" s="82" t="s">
        <v>164</v>
      </c>
      <c r="B72" s="522" t="s">
        <v>1832</v>
      </c>
      <c r="C72" s="519" t="s">
        <v>1833</v>
      </c>
      <c r="D72" s="119">
        <v>1350</v>
      </c>
      <c r="E72" s="200"/>
      <c r="F72" s="200"/>
      <c r="G72" s="200"/>
      <c r="H72" s="200"/>
      <c r="I72" s="200"/>
      <c r="J72" s="200"/>
      <c r="K72" s="200">
        <v>23.2</v>
      </c>
      <c r="L72" s="411"/>
      <c r="M72" s="200"/>
      <c r="N72" s="200"/>
      <c r="O72" s="200"/>
      <c r="P72" s="200"/>
      <c r="Q72" s="410">
        <f>AVERAGE(E72:P72)</f>
        <v>23.2</v>
      </c>
      <c r="R72" s="144" t="str">
        <f t="shared" si="3"/>
        <v>NO</v>
      </c>
      <c r="S72" s="201" t="str">
        <f t="shared" si="2"/>
        <v>Medio</v>
      </c>
      <c r="T72" s="15"/>
    </row>
    <row r="73" spans="1:20" ht="32.1" customHeight="1">
      <c r="A73" s="82" t="s">
        <v>164</v>
      </c>
      <c r="B73" s="522" t="s">
        <v>1834</v>
      </c>
      <c r="C73" s="519" t="s">
        <v>1835</v>
      </c>
      <c r="D73" s="148"/>
      <c r="E73" s="200"/>
      <c r="F73" s="200"/>
      <c r="G73" s="200"/>
      <c r="H73" s="200"/>
      <c r="I73" s="200"/>
      <c r="J73" s="200"/>
      <c r="K73" s="200"/>
      <c r="L73" s="200"/>
      <c r="M73" s="200"/>
      <c r="N73" s="200"/>
      <c r="O73" s="200"/>
      <c r="P73" s="200"/>
      <c r="Q73" s="410" t="e">
        <f t="shared" si="0"/>
        <v>#DIV/0!</v>
      </c>
      <c r="R73" s="144" t="e">
        <f t="shared" si="3"/>
        <v>#DIV/0!</v>
      </c>
      <c r="S73" s="201" t="e">
        <f t="shared" si="2"/>
        <v>#DIV/0!</v>
      </c>
      <c r="T73" s="15"/>
    </row>
    <row r="74" spans="1:20" ht="32.1" customHeight="1">
      <c r="A74" s="82" t="s">
        <v>164</v>
      </c>
      <c r="B74" s="523" t="s">
        <v>1836</v>
      </c>
      <c r="C74" s="520" t="s">
        <v>1837</v>
      </c>
      <c r="D74" s="199"/>
      <c r="E74" s="200"/>
      <c r="F74" s="200"/>
      <c r="G74" s="200"/>
      <c r="H74" s="200"/>
      <c r="I74" s="200"/>
      <c r="J74" s="200"/>
      <c r="K74" s="200"/>
      <c r="L74" s="200"/>
      <c r="M74" s="200"/>
      <c r="N74" s="200"/>
      <c r="O74" s="200"/>
      <c r="P74" s="200"/>
      <c r="Q74" s="410" t="e">
        <f t="shared" si="0"/>
        <v>#DIV/0!</v>
      </c>
      <c r="R74" s="144" t="e">
        <f t="shared" si="3"/>
        <v>#DIV/0!</v>
      </c>
      <c r="S74" s="201" t="e">
        <f t="shared" si="2"/>
        <v>#DIV/0!</v>
      </c>
      <c r="T74" s="15"/>
    </row>
    <row r="75" spans="1:20" ht="32.1" customHeight="1">
      <c r="A75" s="82" t="s">
        <v>164</v>
      </c>
      <c r="B75" s="522" t="s">
        <v>1838</v>
      </c>
      <c r="C75" s="519" t="s">
        <v>1839</v>
      </c>
      <c r="D75" s="119"/>
      <c r="E75" s="200"/>
      <c r="F75" s="200"/>
      <c r="G75" s="200"/>
      <c r="H75" s="200"/>
      <c r="I75" s="200"/>
      <c r="J75" s="200"/>
      <c r="K75" s="200"/>
      <c r="L75" s="200"/>
      <c r="M75" s="200"/>
      <c r="N75" s="200"/>
      <c r="O75" s="200"/>
      <c r="P75" s="200"/>
      <c r="Q75" s="410" t="e">
        <f t="shared" ref="Q75:Q137" si="4">AVERAGE(E75:P75)</f>
        <v>#DIV/0!</v>
      </c>
      <c r="R75" s="144" t="e">
        <f t="shared" ref="R75:R109" si="5">IF(Q75&lt;5,"SI","NO")</f>
        <v>#DIV/0!</v>
      </c>
      <c r="S75" s="201" t="e">
        <f t="shared" ref="S75:S137" si="6">IF(Q75&lt;5,"Sin Riesgo",IF(Q75 &lt;=14,"Bajo",IF(Q75&lt;=35,"Medio",IF(Q75&lt;=80,"Alto","Inviable Sanitariamente"))))</f>
        <v>#DIV/0!</v>
      </c>
      <c r="T75" s="15"/>
    </row>
    <row r="76" spans="1:20" ht="32.1" customHeight="1">
      <c r="A76" s="82" t="s">
        <v>164</v>
      </c>
      <c r="B76" s="522" t="s">
        <v>1840</v>
      </c>
      <c r="C76" s="519" t="s">
        <v>1841</v>
      </c>
      <c r="D76" s="148">
        <v>1350</v>
      </c>
      <c r="E76" s="200"/>
      <c r="F76" s="200"/>
      <c r="G76" s="200"/>
      <c r="H76" s="200"/>
      <c r="I76" s="200"/>
      <c r="J76" s="200">
        <v>26.6</v>
      </c>
      <c r="K76" s="200"/>
      <c r="L76" s="411"/>
      <c r="M76" s="200"/>
      <c r="N76" s="200"/>
      <c r="O76" s="200"/>
      <c r="P76" s="200"/>
      <c r="Q76" s="410">
        <f>AVERAGE(E76:P76)</f>
        <v>26.6</v>
      </c>
      <c r="R76" s="144" t="str">
        <f t="shared" si="5"/>
        <v>NO</v>
      </c>
      <c r="S76" s="201" t="str">
        <f t="shared" si="6"/>
        <v>Medio</v>
      </c>
      <c r="T76" s="15"/>
    </row>
    <row r="77" spans="1:20" ht="32.1" customHeight="1">
      <c r="A77" s="82" t="s">
        <v>164</v>
      </c>
      <c r="B77" s="522" t="s">
        <v>686</v>
      </c>
      <c r="C77" s="519" t="s">
        <v>1842</v>
      </c>
      <c r="D77" s="148"/>
      <c r="E77" s="200"/>
      <c r="F77" s="200"/>
      <c r="G77" s="200"/>
      <c r="H77" s="200"/>
      <c r="I77" s="200"/>
      <c r="J77" s="200"/>
      <c r="K77" s="200"/>
      <c r="L77" s="200"/>
      <c r="M77" s="200"/>
      <c r="N77" s="200"/>
      <c r="O77" s="200"/>
      <c r="P77" s="200"/>
      <c r="Q77" s="410" t="e">
        <f t="shared" si="4"/>
        <v>#DIV/0!</v>
      </c>
      <c r="R77" s="144" t="e">
        <f t="shared" si="5"/>
        <v>#DIV/0!</v>
      </c>
      <c r="S77" s="201" t="e">
        <f t="shared" si="6"/>
        <v>#DIV/0!</v>
      </c>
      <c r="T77" s="15"/>
    </row>
    <row r="78" spans="1:20" ht="32.1" customHeight="1">
      <c r="A78" s="82" t="s">
        <v>164</v>
      </c>
      <c r="B78" s="522" t="s">
        <v>1843</v>
      </c>
      <c r="C78" s="519" t="s">
        <v>1844</v>
      </c>
      <c r="D78" s="119"/>
      <c r="E78" s="200"/>
      <c r="F78" s="200"/>
      <c r="G78" s="200"/>
      <c r="H78" s="200"/>
      <c r="I78" s="200"/>
      <c r="J78" s="200"/>
      <c r="K78" s="200"/>
      <c r="L78" s="200"/>
      <c r="M78" s="200"/>
      <c r="N78" s="200"/>
      <c r="O78" s="200"/>
      <c r="P78" s="200"/>
      <c r="Q78" s="410" t="e">
        <f t="shared" si="4"/>
        <v>#DIV/0!</v>
      </c>
      <c r="R78" s="144" t="e">
        <f t="shared" si="5"/>
        <v>#DIV/0!</v>
      </c>
      <c r="S78" s="201" t="e">
        <f t="shared" si="6"/>
        <v>#DIV/0!</v>
      </c>
      <c r="T78" s="15"/>
    </row>
    <row r="79" spans="1:20" ht="32.1" customHeight="1">
      <c r="A79" s="82" t="s">
        <v>164</v>
      </c>
      <c r="B79" s="522" t="s">
        <v>1845</v>
      </c>
      <c r="C79" s="519" t="s">
        <v>1846</v>
      </c>
      <c r="D79" s="209"/>
      <c r="E79" s="200"/>
      <c r="F79" s="200"/>
      <c r="G79" s="200"/>
      <c r="H79" s="200"/>
      <c r="I79" s="200"/>
      <c r="J79" s="200"/>
      <c r="K79" s="200"/>
      <c r="L79" s="200"/>
      <c r="M79" s="200"/>
      <c r="N79" s="200"/>
      <c r="O79" s="200"/>
      <c r="P79" s="200"/>
      <c r="Q79" s="226" t="e">
        <f t="shared" si="4"/>
        <v>#DIV/0!</v>
      </c>
      <c r="R79" s="144" t="e">
        <f t="shared" si="5"/>
        <v>#DIV/0!</v>
      </c>
      <c r="S79" s="201" t="e">
        <f t="shared" si="6"/>
        <v>#DIV/0!</v>
      </c>
      <c r="T79" s="36"/>
    </row>
    <row r="80" spans="1:20" ht="32.1" customHeight="1">
      <c r="A80" s="82" t="s">
        <v>164</v>
      </c>
      <c r="B80" s="522" t="s">
        <v>1847</v>
      </c>
      <c r="C80" s="519" t="s">
        <v>1848</v>
      </c>
      <c r="D80" s="148">
        <v>1350</v>
      </c>
      <c r="E80" s="200"/>
      <c r="F80" s="200"/>
      <c r="G80" s="200"/>
      <c r="H80" s="200"/>
      <c r="I80" s="200"/>
      <c r="J80" s="200">
        <v>26.6</v>
      </c>
      <c r="K80" s="200"/>
      <c r="L80" s="200"/>
      <c r="M80" s="200"/>
      <c r="N80" s="411"/>
      <c r="O80" s="200"/>
      <c r="P80" s="200"/>
      <c r="Q80" s="410">
        <f>AVERAGE(E80:P80)</f>
        <v>26.6</v>
      </c>
      <c r="R80" s="144" t="str">
        <f t="shared" si="5"/>
        <v>NO</v>
      </c>
      <c r="S80" s="201" t="str">
        <f>IF(Q80&lt;5,"Sin Riesgo",IF(Q80 &lt;=14,"Bajo",IF(Q80&lt;=35,"Medio",IF(Q80&lt;=80,"Alto","Inviable Sanitariamente"))))</f>
        <v>Medio</v>
      </c>
      <c r="T80" s="36"/>
    </row>
    <row r="81" spans="1:20" ht="32.1" customHeight="1">
      <c r="A81" s="82" t="s">
        <v>164</v>
      </c>
      <c r="B81" s="522" t="s">
        <v>1849</v>
      </c>
      <c r="C81" s="519" t="s">
        <v>1850</v>
      </c>
      <c r="D81" s="199">
        <v>50</v>
      </c>
      <c r="E81" s="200"/>
      <c r="F81" s="200"/>
      <c r="G81" s="200"/>
      <c r="H81" s="200"/>
      <c r="I81" s="200"/>
      <c r="J81" s="200">
        <v>26.6</v>
      </c>
      <c r="K81" s="200"/>
      <c r="L81" s="200"/>
      <c r="M81" s="200"/>
      <c r="N81" s="408"/>
      <c r="O81" s="200"/>
      <c r="P81" s="200"/>
      <c r="Q81" s="410">
        <f>AVERAGE(E81:P81)</f>
        <v>26.6</v>
      </c>
      <c r="R81" s="144" t="str">
        <f t="shared" si="5"/>
        <v>NO</v>
      </c>
      <c r="S81" s="201" t="str">
        <f t="shared" si="6"/>
        <v>Medio</v>
      </c>
      <c r="T81" s="36"/>
    </row>
    <row r="82" spans="1:20" ht="32.1" customHeight="1">
      <c r="A82" s="82" t="s">
        <v>164</v>
      </c>
      <c r="B82" s="522" t="s">
        <v>777</v>
      </c>
      <c r="C82" s="519" t="s">
        <v>1851</v>
      </c>
      <c r="D82" s="119">
        <v>1350</v>
      </c>
      <c r="E82" s="200"/>
      <c r="F82" s="200"/>
      <c r="G82" s="200"/>
      <c r="H82" s="200"/>
      <c r="I82" s="200"/>
      <c r="J82" s="200">
        <v>0</v>
      </c>
      <c r="K82" s="200"/>
      <c r="L82" s="411"/>
      <c r="M82" s="200"/>
      <c r="N82" s="200"/>
      <c r="O82" s="200"/>
      <c r="P82" s="200"/>
      <c r="Q82" s="410">
        <f>AVERAGE(E82:P82)</f>
        <v>0</v>
      </c>
      <c r="R82" s="144" t="str">
        <f t="shared" si="5"/>
        <v>SI</v>
      </c>
      <c r="S82" s="201" t="str">
        <f t="shared" si="6"/>
        <v>Sin Riesgo</v>
      </c>
      <c r="T82" s="36"/>
    </row>
    <row r="83" spans="1:20" ht="32.1" customHeight="1">
      <c r="A83" s="82" t="s">
        <v>164</v>
      </c>
      <c r="B83" s="522" t="s">
        <v>1852</v>
      </c>
      <c r="C83" s="519" t="s">
        <v>1853</v>
      </c>
      <c r="D83" s="219">
        <v>1350</v>
      </c>
      <c r="E83" s="200"/>
      <c r="F83" s="200"/>
      <c r="G83" s="200"/>
      <c r="H83" s="200"/>
      <c r="I83" s="200"/>
      <c r="J83" s="200"/>
      <c r="K83" s="200"/>
      <c r="L83" s="411"/>
      <c r="M83" s="200"/>
      <c r="N83" s="200"/>
      <c r="O83" s="409"/>
      <c r="P83" s="200"/>
      <c r="Q83" s="410">
        <v>45.65</v>
      </c>
      <c r="R83" s="144" t="str">
        <f t="shared" si="5"/>
        <v>NO</v>
      </c>
      <c r="S83" s="201" t="str">
        <f t="shared" si="6"/>
        <v>Alto</v>
      </c>
      <c r="T83" s="15"/>
    </row>
    <row r="84" spans="1:20" ht="32.1" customHeight="1">
      <c r="A84" s="82" t="s">
        <v>164</v>
      </c>
      <c r="B84" s="522" t="s">
        <v>1854</v>
      </c>
      <c r="C84" s="519" t="s">
        <v>1855</v>
      </c>
      <c r="D84" s="209">
        <v>1350</v>
      </c>
      <c r="E84" s="200"/>
      <c r="F84" s="200"/>
      <c r="G84" s="200"/>
      <c r="H84" s="200"/>
      <c r="I84" s="200"/>
      <c r="J84" s="200"/>
      <c r="K84" s="200"/>
      <c r="L84" s="200"/>
      <c r="M84" s="200"/>
      <c r="N84" s="200"/>
      <c r="O84" s="409"/>
      <c r="P84" s="200"/>
      <c r="Q84" s="410">
        <v>46.8</v>
      </c>
      <c r="R84" s="144" t="str">
        <f t="shared" si="5"/>
        <v>NO</v>
      </c>
      <c r="S84" s="201" t="str">
        <f t="shared" si="6"/>
        <v>Alto</v>
      </c>
      <c r="T84" s="15"/>
    </row>
    <row r="85" spans="1:20" ht="32.1" customHeight="1">
      <c r="A85" s="82" t="s">
        <v>164</v>
      </c>
      <c r="B85" s="522" t="s">
        <v>2096</v>
      </c>
      <c r="C85" s="519" t="s">
        <v>1856</v>
      </c>
      <c r="D85" s="148"/>
      <c r="E85" s="200"/>
      <c r="F85" s="200"/>
      <c r="G85" s="200"/>
      <c r="H85" s="200"/>
      <c r="I85" s="200"/>
      <c r="J85" s="200"/>
      <c r="K85" s="200"/>
      <c r="L85" s="200"/>
      <c r="M85" s="200"/>
      <c r="N85" s="200"/>
      <c r="O85" s="200"/>
      <c r="P85" s="200"/>
      <c r="Q85" s="410" t="e">
        <f t="shared" si="4"/>
        <v>#DIV/0!</v>
      </c>
      <c r="R85" s="144" t="e">
        <f t="shared" si="5"/>
        <v>#DIV/0!</v>
      </c>
      <c r="S85" s="201" t="e">
        <f t="shared" si="6"/>
        <v>#DIV/0!</v>
      </c>
      <c r="T85" s="15"/>
    </row>
    <row r="86" spans="1:20" ht="32.1" customHeight="1">
      <c r="A86" s="82" t="s">
        <v>164</v>
      </c>
      <c r="B86" s="523" t="s">
        <v>1857</v>
      </c>
      <c r="C86" s="520" t="s">
        <v>1858</v>
      </c>
      <c r="D86" s="119">
        <v>1350</v>
      </c>
      <c r="E86" s="200"/>
      <c r="F86" s="200"/>
      <c r="G86" s="200"/>
      <c r="H86" s="200"/>
      <c r="I86" s="200"/>
      <c r="J86" s="200">
        <v>26.55</v>
      </c>
      <c r="K86" s="200"/>
      <c r="L86" s="412"/>
      <c r="M86" s="200"/>
      <c r="N86" s="200"/>
      <c r="O86" s="200"/>
      <c r="P86" s="200"/>
      <c r="Q86" s="410">
        <f>AVERAGE(E86:P86)</f>
        <v>26.55</v>
      </c>
      <c r="R86" s="144" t="str">
        <f t="shared" si="5"/>
        <v>NO</v>
      </c>
      <c r="S86" s="201" t="str">
        <f t="shared" si="6"/>
        <v>Medio</v>
      </c>
      <c r="T86" s="15"/>
    </row>
    <row r="87" spans="1:20" ht="32.1" customHeight="1">
      <c r="A87" s="82" t="s">
        <v>164</v>
      </c>
      <c r="B87" s="523" t="s">
        <v>1859</v>
      </c>
      <c r="C87" s="520" t="s">
        <v>1860</v>
      </c>
      <c r="D87" s="119">
        <v>1350</v>
      </c>
      <c r="E87" s="200"/>
      <c r="F87" s="200"/>
      <c r="G87" s="200"/>
      <c r="H87" s="200"/>
      <c r="I87" s="200"/>
      <c r="J87" s="200"/>
      <c r="K87" s="200"/>
      <c r="L87" s="411">
        <v>20.8</v>
      </c>
      <c r="M87" s="200"/>
      <c r="N87" s="200"/>
      <c r="O87" s="200"/>
      <c r="P87" s="200"/>
      <c r="Q87" s="410">
        <f>AVERAGE(E87:P87)</f>
        <v>20.8</v>
      </c>
      <c r="R87" s="144" t="str">
        <f t="shared" si="5"/>
        <v>NO</v>
      </c>
      <c r="S87" s="201" t="str">
        <f t="shared" si="6"/>
        <v>Medio</v>
      </c>
      <c r="T87" s="15"/>
    </row>
    <row r="88" spans="1:20" ht="32.1" customHeight="1">
      <c r="A88" s="82" t="s">
        <v>164</v>
      </c>
      <c r="B88" s="523" t="s">
        <v>1861</v>
      </c>
      <c r="C88" s="520" t="s">
        <v>1862</v>
      </c>
      <c r="D88" s="119">
        <v>1350</v>
      </c>
      <c r="E88" s="200"/>
      <c r="F88" s="200"/>
      <c r="G88" s="200"/>
      <c r="H88" s="200"/>
      <c r="I88" s="200"/>
      <c r="J88" s="200">
        <v>26.6</v>
      </c>
      <c r="K88" s="200"/>
      <c r="L88" s="411"/>
      <c r="M88" s="200"/>
      <c r="N88" s="200"/>
      <c r="O88" s="200"/>
      <c r="P88" s="200"/>
      <c r="Q88" s="410">
        <v>70.77</v>
      </c>
      <c r="R88" s="144" t="str">
        <f t="shared" si="5"/>
        <v>NO</v>
      </c>
      <c r="S88" s="201" t="str">
        <f t="shared" si="6"/>
        <v>Alto</v>
      </c>
      <c r="T88" s="15"/>
    </row>
    <row r="89" spans="1:20" ht="32.1" customHeight="1">
      <c r="A89" s="82" t="s">
        <v>164</v>
      </c>
      <c r="B89" s="523" t="s">
        <v>1863</v>
      </c>
      <c r="C89" s="520" t="s">
        <v>1864</v>
      </c>
      <c r="D89" s="119"/>
      <c r="E89" s="200"/>
      <c r="F89" s="200"/>
      <c r="G89" s="200"/>
      <c r="H89" s="200"/>
      <c r="I89" s="200"/>
      <c r="J89" s="200"/>
      <c r="K89" s="200"/>
      <c r="L89" s="200"/>
      <c r="M89" s="200"/>
      <c r="N89" s="200"/>
      <c r="O89" s="200"/>
      <c r="P89" s="200"/>
      <c r="Q89" s="410" t="e">
        <f t="shared" si="4"/>
        <v>#DIV/0!</v>
      </c>
      <c r="R89" s="144" t="e">
        <f t="shared" si="5"/>
        <v>#DIV/0!</v>
      </c>
      <c r="S89" s="201" t="e">
        <f t="shared" si="6"/>
        <v>#DIV/0!</v>
      </c>
      <c r="T89" s="15"/>
    </row>
    <row r="90" spans="1:20" ht="32.1" customHeight="1">
      <c r="A90" s="82" t="s">
        <v>164</v>
      </c>
      <c r="B90" s="499" t="s">
        <v>1865</v>
      </c>
      <c r="C90" s="520" t="s">
        <v>1866</v>
      </c>
      <c r="D90" s="220"/>
      <c r="E90" s="200"/>
      <c r="F90" s="200"/>
      <c r="G90" s="200"/>
      <c r="H90" s="200"/>
      <c r="I90" s="200"/>
      <c r="J90" s="200"/>
      <c r="K90" s="200"/>
      <c r="L90" s="200"/>
      <c r="M90" s="200"/>
      <c r="N90" s="200"/>
      <c r="O90" s="200"/>
      <c r="P90" s="200"/>
      <c r="Q90" s="410" t="e">
        <f t="shared" si="4"/>
        <v>#DIV/0!</v>
      </c>
      <c r="R90" s="144" t="e">
        <f t="shared" si="5"/>
        <v>#DIV/0!</v>
      </c>
      <c r="S90" s="201" t="e">
        <f t="shared" si="6"/>
        <v>#DIV/0!</v>
      </c>
      <c r="T90" s="15"/>
    </row>
    <row r="91" spans="1:20" ht="32.1" customHeight="1">
      <c r="A91" s="82" t="s">
        <v>164</v>
      </c>
      <c r="B91" s="499" t="s">
        <v>2097</v>
      </c>
      <c r="C91" s="525" t="s">
        <v>2098</v>
      </c>
      <c r="D91" s="114">
        <v>50</v>
      </c>
      <c r="E91" s="200"/>
      <c r="F91" s="200"/>
      <c r="G91" s="200"/>
      <c r="H91" s="200"/>
      <c r="I91" s="200"/>
      <c r="J91" s="200"/>
      <c r="K91" s="200">
        <v>65.95</v>
      </c>
      <c r="L91" s="200"/>
      <c r="M91" s="200"/>
      <c r="N91" s="200"/>
      <c r="O91" s="408"/>
      <c r="P91" s="200"/>
      <c r="Q91" s="410">
        <f>AVERAGE(E91:P91)</f>
        <v>65.95</v>
      </c>
      <c r="R91" s="144" t="str">
        <f t="shared" si="5"/>
        <v>NO</v>
      </c>
      <c r="S91" s="201" t="str">
        <f t="shared" si="6"/>
        <v>Alto</v>
      </c>
      <c r="T91" s="15"/>
    </row>
    <row r="92" spans="1:20" ht="32.1" customHeight="1">
      <c r="A92" s="82" t="s">
        <v>164</v>
      </c>
      <c r="B92" s="499" t="s">
        <v>2099</v>
      </c>
      <c r="C92" s="525" t="s">
        <v>2100</v>
      </c>
      <c r="D92" s="221">
        <v>68</v>
      </c>
      <c r="E92" s="200"/>
      <c r="F92" s="200"/>
      <c r="G92" s="200"/>
      <c r="H92" s="200"/>
      <c r="I92" s="200"/>
      <c r="J92" s="200"/>
      <c r="K92" s="200">
        <v>75.099999999999994</v>
      </c>
      <c r="L92" s="200"/>
      <c r="M92" s="200"/>
      <c r="N92" s="200"/>
      <c r="O92" s="408"/>
      <c r="P92" s="200"/>
      <c r="Q92" s="410">
        <f>AVERAGE(E91:P91)</f>
        <v>65.95</v>
      </c>
      <c r="R92" s="144" t="str">
        <f t="shared" si="5"/>
        <v>NO</v>
      </c>
      <c r="S92" s="201" t="str">
        <f t="shared" si="6"/>
        <v>Alto</v>
      </c>
      <c r="T92" s="15"/>
    </row>
    <row r="93" spans="1:20" ht="32.1" customHeight="1">
      <c r="A93" s="82" t="s">
        <v>164</v>
      </c>
      <c r="B93" s="499" t="s">
        <v>2101</v>
      </c>
      <c r="C93" s="525" t="s">
        <v>2102</v>
      </c>
      <c r="D93" s="119"/>
      <c r="E93" s="200"/>
      <c r="F93" s="200"/>
      <c r="G93" s="200"/>
      <c r="H93" s="200"/>
      <c r="I93" s="200"/>
      <c r="J93" s="200"/>
      <c r="K93" s="200"/>
      <c r="L93" s="200"/>
      <c r="M93" s="200"/>
      <c r="N93" s="200"/>
      <c r="O93" s="408"/>
      <c r="P93" s="200"/>
      <c r="Q93" s="410" t="e">
        <f>AVERAGE(E93:P93)</f>
        <v>#DIV/0!</v>
      </c>
      <c r="R93" s="144" t="e">
        <f t="shared" si="5"/>
        <v>#DIV/0!</v>
      </c>
      <c r="S93" s="201" t="e">
        <f t="shared" si="6"/>
        <v>#DIV/0!</v>
      </c>
      <c r="T93" s="15"/>
    </row>
    <row r="94" spans="1:20" ht="32.1" customHeight="1">
      <c r="A94" s="82" t="s">
        <v>164</v>
      </c>
      <c r="B94" s="499" t="s">
        <v>2103</v>
      </c>
      <c r="C94" s="525" t="s">
        <v>2104</v>
      </c>
      <c r="D94" s="119">
        <v>46</v>
      </c>
      <c r="E94" s="200"/>
      <c r="F94" s="200"/>
      <c r="G94" s="200"/>
      <c r="H94" s="200"/>
      <c r="I94" s="200">
        <v>53.1</v>
      </c>
      <c r="J94" s="200"/>
      <c r="K94" s="200"/>
      <c r="L94" s="200"/>
      <c r="M94" s="200"/>
      <c r="N94" s="200"/>
      <c r="O94" s="408"/>
      <c r="P94" s="200"/>
      <c r="Q94" s="410">
        <f>AVERAGE(E94:P94)</f>
        <v>53.1</v>
      </c>
      <c r="R94" s="144" t="str">
        <f t="shared" ref="R94" si="7">IF(Q94&lt;5,"SI","NO")</f>
        <v>NO</v>
      </c>
      <c r="S94" s="201" t="str">
        <f t="shared" ref="S94" si="8">IF(Q94&lt;5,"Sin Riesgo",IF(Q94 &lt;=14,"Bajo",IF(Q94&lt;=35,"Medio",IF(Q94&lt;=80,"Alto","Inviable Sanitariamente"))))</f>
        <v>Alto</v>
      </c>
      <c r="T94" s="15"/>
    </row>
    <row r="95" spans="1:20" ht="32.1" customHeight="1">
      <c r="A95" s="82" t="s">
        <v>164</v>
      </c>
      <c r="B95" s="499" t="s">
        <v>4489</v>
      </c>
      <c r="C95" s="525" t="s">
        <v>4490</v>
      </c>
      <c r="D95" s="119">
        <v>450</v>
      </c>
      <c r="E95" s="200"/>
      <c r="F95" s="200"/>
      <c r="G95" s="200"/>
      <c r="H95" s="200"/>
      <c r="I95" s="200">
        <v>0</v>
      </c>
      <c r="J95" s="200"/>
      <c r="K95" s="200"/>
      <c r="L95" s="200"/>
      <c r="M95" s="200"/>
      <c r="N95" s="200"/>
      <c r="O95" s="408"/>
      <c r="P95" s="200"/>
      <c r="Q95" s="410">
        <f>AVERAGE(E95:P95)</f>
        <v>0</v>
      </c>
      <c r="R95" s="144" t="str">
        <f t="shared" si="5"/>
        <v>SI</v>
      </c>
      <c r="S95" s="201" t="str">
        <f t="shared" si="6"/>
        <v>Sin Riesgo</v>
      </c>
      <c r="T95" s="15"/>
    </row>
    <row r="96" spans="1:20" ht="32.1" customHeight="1">
      <c r="A96" s="82" t="s">
        <v>164</v>
      </c>
      <c r="B96" s="499" t="s">
        <v>2326</v>
      </c>
      <c r="C96" s="525" t="s">
        <v>4490</v>
      </c>
      <c r="D96" s="119">
        <v>405</v>
      </c>
      <c r="E96" s="200"/>
      <c r="F96" s="200"/>
      <c r="G96" s="200"/>
      <c r="H96" s="200"/>
      <c r="I96" s="200">
        <v>0</v>
      </c>
      <c r="J96" s="200"/>
      <c r="K96" s="200"/>
      <c r="L96" s="200"/>
      <c r="M96" s="200"/>
      <c r="N96" s="200"/>
      <c r="O96" s="200"/>
      <c r="P96" s="200"/>
      <c r="Q96" s="410">
        <f t="shared" ref="Q96:Q97" si="9">AVERAGE(E96:P96)</f>
        <v>0</v>
      </c>
      <c r="R96" s="144" t="str">
        <f t="shared" ref="R96:R97" si="10">IF(Q96&lt;5,"SI","NO")</f>
        <v>SI</v>
      </c>
      <c r="S96" s="201" t="str">
        <f t="shared" ref="S96:S97" si="11">IF(Q96&lt;5,"Sin Riesgo",IF(Q96 &lt;=14,"Bajo",IF(Q96&lt;=35,"Medio",IF(Q96&lt;=80,"Alto","Inviable Sanitariamente"))))</f>
        <v>Sin Riesgo</v>
      </c>
      <c r="T96" s="15"/>
    </row>
    <row r="97" spans="1:20" ht="32.1" customHeight="1">
      <c r="A97" s="82" t="s">
        <v>164</v>
      </c>
      <c r="B97" s="499" t="s">
        <v>4491</v>
      </c>
      <c r="C97" s="525" t="s">
        <v>4492</v>
      </c>
      <c r="D97" s="119">
        <v>45</v>
      </c>
      <c r="E97" s="200"/>
      <c r="F97" s="200"/>
      <c r="G97" s="200"/>
      <c r="H97" s="200"/>
      <c r="I97" s="200"/>
      <c r="J97" s="200"/>
      <c r="K97" s="200">
        <v>23.4</v>
      </c>
      <c r="L97" s="200"/>
      <c r="M97" s="200"/>
      <c r="N97" s="200"/>
      <c r="O97" s="200"/>
      <c r="P97" s="200"/>
      <c r="Q97" s="410">
        <f t="shared" si="9"/>
        <v>23.4</v>
      </c>
      <c r="R97" s="144" t="str">
        <f t="shared" si="10"/>
        <v>NO</v>
      </c>
      <c r="S97" s="201" t="str">
        <f t="shared" si="11"/>
        <v>Medio</v>
      </c>
      <c r="T97" s="15"/>
    </row>
    <row r="98" spans="1:20" ht="32.1" customHeight="1">
      <c r="A98" s="82" t="s">
        <v>164</v>
      </c>
      <c r="B98" s="499" t="s">
        <v>2394</v>
      </c>
      <c r="C98" s="525" t="s">
        <v>4493</v>
      </c>
      <c r="D98" s="119">
        <v>540</v>
      </c>
      <c r="E98" s="200"/>
      <c r="F98" s="200"/>
      <c r="G98" s="200"/>
      <c r="H98" s="200"/>
      <c r="I98" s="200"/>
      <c r="J98" s="200"/>
      <c r="K98" s="200"/>
      <c r="L98" s="200">
        <v>25.6</v>
      </c>
      <c r="M98" s="200"/>
      <c r="N98" s="200"/>
      <c r="O98" s="200"/>
      <c r="P98" s="200"/>
      <c r="Q98" s="410">
        <f t="shared" si="4"/>
        <v>25.6</v>
      </c>
      <c r="R98" s="144" t="str">
        <f t="shared" si="5"/>
        <v>NO</v>
      </c>
      <c r="S98" s="201" t="str">
        <f t="shared" si="6"/>
        <v>Medio</v>
      </c>
      <c r="T98" s="15"/>
    </row>
    <row r="99" spans="1:20" ht="32.1" customHeight="1">
      <c r="A99" s="82" t="s">
        <v>164</v>
      </c>
      <c r="B99" s="523" t="s">
        <v>1798</v>
      </c>
      <c r="C99" s="520" t="s">
        <v>1799</v>
      </c>
      <c r="D99" s="119"/>
      <c r="E99" s="200"/>
      <c r="F99" s="200"/>
      <c r="G99" s="200"/>
      <c r="H99" s="200"/>
      <c r="I99" s="200"/>
      <c r="J99" s="200"/>
      <c r="K99" s="200"/>
      <c r="L99" s="200"/>
      <c r="M99" s="200"/>
      <c r="N99" s="200"/>
      <c r="O99" s="200"/>
      <c r="P99" s="200"/>
      <c r="Q99" s="410" t="e">
        <f t="shared" si="4"/>
        <v>#DIV/0!</v>
      </c>
      <c r="R99" s="144" t="e">
        <f t="shared" si="5"/>
        <v>#DIV/0!</v>
      </c>
      <c r="S99" s="201" t="e">
        <f t="shared" si="6"/>
        <v>#DIV/0!</v>
      </c>
      <c r="T99" s="15"/>
    </row>
    <row r="100" spans="1:20" ht="32.1" customHeight="1">
      <c r="A100" s="82" t="s">
        <v>164</v>
      </c>
      <c r="B100" s="522" t="s">
        <v>91</v>
      </c>
      <c r="C100" s="519" t="s">
        <v>1806</v>
      </c>
      <c r="D100" s="119"/>
      <c r="E100" s="200"/>
      <c r="F100" s="200"/>
      <c r="G100" s="200"/>
      <c r="H100" s="200"/>
      <c r="I100" s="200"/>
      <c r="J100" s="200"/>
      <c r="K100" s="200"/>
      <c r="L100" s="200"/>
      <c r="M100" s="200"/>
      <c r="N100" s="200"/>
      <c r="O100" s="200"/>
      <c r="P100" s="200"/>
      <c r="Q100" s="410" t="e">
        <f t="shared" si="4"/>
        <v>#DIV/0!</v>
      </c>
      <c r="R100" s="144" t="e">
        <f t="shared" si="5"/>
        <v>#DIV/0!</v>
      </c>
      <c r="S100" s="201" t="e">
        <f t="shared" si="6"/>
        <v>#DIV/0!</v>
      </c>
      <c r="T100" s="15"/>
    </row>
    <row r="101" spans="1:20" ht="32.1" customHeight="1">
      <c r="A101" s="82" t="s">
        <v>164</v>
      </c>
      <c r="B101" s="522" t="s">
        <v>1817</v>
      </c>
      <c r="C101" s="519" t="s">
        <v>1818</v>
      </c>
      <c r="D101" s="119"/>
      <c r="E101" s="200"/>
      <c r="F101" s="200"/>
      <c r="G101" s="200"/>
      <c r="H101" s="200"/>
      <c r="I101" s="200"/>
      <c r="J101" s="200"/>
      <c r="K101" s="200"/>
      <c r="L101" s="200"/>
      <c r="M101" s="200"/>
      <c r="N101" s="200"/>
      <c r="O101" s="200"/>
      <c r="P101" s="200"/>
      <c r="Q101" s="226" t="e">
        <f t="shared" si="4"/>
        <v>#DIV/0!</v>
      </c>
      <c r="R101" s="144" t="e">
        <f t="shared" si="5"/>
        <v>#DIV/0!</v>
      </c>
      <c r="S101" s="201" t="e">
        <f t="shared" si="6"/>
        <v>#DIV/0!</v>
      </c>
      <c r="T101" s="15"/>
    </row>
    <row r="102" spans="1:20" ht="32.1" customHeight="1">
      <c r="A102" s="82" t="s">
        <v>164</v>
      </c>
      <c r="B102" s="522" t="s">
        <v>1824</v>
      </c>
      <c r="C102" s="519" t="s">
        <v>1825</v>
      </c>
      <c r="D102" s="210"/>
      <c r="E102" s="200"/>
      <c r="F102" s="200"/>
      <c r="G102" s="200"/>
      <c r="H102" s="200"/>
      <c r="I102" s="200"/>
      <c r="J102" s="200"/>
      <c r="K102" s="200"/>
      <c r="L102" s="200"/>
      <c r="M102" s="200"/>
      <c r="N102" s="200"/>
      <c r="O102" s="200"/>
      <c r="P102" s="200"/>
      <c r="Q102" s="226" t="e">
        <f t="shared" si="4"/>
        <v>#DIV/0!</v>
      </c>
      <c r="R102" s="144" t="e">
        <f t="shared" si="5"/>
        <v>#DIV/0!</v>
      </c>
      <c r="S102" s="201" t="e">
        <f t="shared" si="6"/>
        <v>#DIV/0!</v>
      </c>
      <c r="T102" s="36"/>
    </row>
    <row r="103" spans="1:20" s="117" customFormat="1" ht="32.1" customHeight="1">
      <c r="A103" s="82" t="s">
        <v>4094</v>
      </c>
      <c r="B103" s="495" t="s">
        <v>1429</v>
      </c>
      <c r="C103" s="519" t="s">
        <v>2089</v>
      </c>
      <c r="D103" s="199">
        <v>128</v>
      </c>
      <c r="E103" s="200"/>
      <c r="F103" s="200"/>
      <c r="G103" s="200"/>
      <c r="H103" s="200"/>
      <c r="I103" s="200">
        <v>97.3</v>
      </c>
      <c r="J103" s="200"/>
      <c r="K103" s="200"/>
      <c r="L103" s="200"/>
      <c r="M103" s="200"/>
      <c r="N103" s="200"/>
      <c r="O103" s="200"/>
      <c r="P103" s="200"/>
      <c r="Q103" s="226">
        <f t="shared" si="4"/>
        <v>97.3</v>
      </c>
      <c r="R103" s="144" t="str">
        <f t="shared" si="5"/>
        <v>NO</v>
      </c>
      <c r="S103" s="201" t="str">
        <f t="shared" si="6"/>
        <v>Inviable Sanitariamente</v>
      </c>
      <c r="T103" s="150"/>
    </row>
    <row r="104" spans="1:20" s="117" customFormat="1" ht="32.1" customHeight="1">
      <c r="A104" s="82" t="s">
        <v>4094</v>
      </c>
      <c r="B104" s="495" t="s">
        <v>1875</v>
      </c>
      <c r="C104" s="517" t="s">
        <v>1876</v>
      </c>
      <c r="D104" s="199">
        <v>289</v>
      </c>
      <c r="E104" s="200"/>
      <c r="F104" s="200">
        <v>0</v>
      </c>
      <c r="G104" s="200"/>
      <c r="H104" s="200"/>
      <c r="I104" s="200"/>
      <c r="J104" s="200"/>
      <c r="K104" s="200"/>
      <c r="L104" s="200"/>
      <c r="M104" s="200"/>
      <c r="N104" s="200"/>
      <c r="O104" s="200"/>
      <c r="P104" s="200"/>
      <c r="Q104" s="226">
        <f t="shared" si="4"/>
        <v>0</v>
      </c>
      <c r="R104" s="144" t="str">
        <f t="shared" si="5"/>
        <v>SI</v>
      </c>
      <c r="S104" s="201" t="str">
        <f t="shared" si="6"/>
        <v>Sin Riesgo</v>
      </c>
      <c r="T104" s="150"/>
    </row>
    <row r="105" spans="1:20" s="117" customFormat="1" ht="32.1" customHeight="1">
      <c r="A105" s="82" t="s">
        <v>4094</v>
      </c>
      <c r="B105" s="495" t="s">
        <v>1877</v>
      </c>
      <c r="C105" s="517" t="s">
        <v>1878</v>
      </c>
      <c r="D105" s="199">
        <v>62</v>
      </c>
      <c r="E105" s="200"/>
      <c r="F105" s="200"/>
      <c r="G105" s="200">
        <v>97.3</v>
      </c>
      <c r="H105" s="200"/>
      <c r="I105" s="200"/>
      <c r="J105" s="200"/>
      <c r="K105" s="200"/>
      <c r="L105" s="200"/>
      <c r="M105" s="200"/>
      <c r="N105" s="200"/>
      <c r="O105" s="200"/>
      <c r="P105" s="200"/>
      <c r="Q105" s="226">
        <f t="shared" si="4"/>
        <v>97.3</v>
      </c>
      <c r="R105" s="144" t="str">
        <f t="shared" si="5"/>
        <v>NO</v>
      </c>
      <c r="S105" s="201" t="str">
        <f t="shared" si="6"/>
        <v>Inviable Sanitariamente</v>
      </c>
      <c r="T105" s="206"/>
    </row>
    <row r="106" spans="1:20" s="117" customFormat="1" ht="32.1" customHeight="1">
      <c r="A106" s="82" t="s">
        <v>4094</v>
      </c>
      <c r="B106" s="495" t="s">
        <v>1879</v>
      </c>
      <c r="C106" s="517" t="s">
        <v>1880</v>
      </c>
      <c r="D106" s="119">
        <v>41</v>
      </c>
      <c r="E106" s="200"/>
      <c r="F106" s="200">
        <v>97.3</v>
      </c>
      <c r="G106" s="200"/>
      <c r="H106" s="200"/>
      <c r="I106" s="200"/>
      <c r="J106" s="200"/>
      <c r="K106" s="200"/>
      <c r="L106" s="200"/>
      <c r="M106" s="200"/>
      <c r="N106" s="200"/>
      <c r="O106" s="200"/>
      <c r="P106" s="200"/>
      <c r="Q106" s="226">
        <f t="shared" si="4"/>
        <v>97.3</v>
      </c>
      <c r="R106" s="144" t="str">
        <f t="shared" si="5"/>
        <v>NO</v>
      </c>
      <c r="S106" s="201" t="str">
        <f t="shared" si="6"/>
        <v>Inviable Sanitariamente</v>
      </c>
      <c r="T106" s="150"/>
    </row>
    <row r="107" spans="1:20" s="117" customFormat="1" ht="32.1" customHeight="1">
      <c r="A107" s="82" t="s">
        <v>4094</v>
      </c>
      <c r="B107" s="495" t="s">
        <v>1881</v>
      </c>
      <c r="C107" s="517" t="s">
        <v>1882</v>
      </c>
      <c r="D107" s="119">
        <v>27</v>
      </c>
      <c r="E107" s="200"/>
      <c r="F107" s="200">
        <v>97.3</v>
      </c>
      <c r="G107" s="200"/>
      <c r="H107" s="200"/>
      <c r="I107" s="200"/>
      <c r="J107" s="200"/>
      <c r="K107" s="200"/>
      <c r="L107" s="200"/>
      <c r="M107" s="200"/>
      <c r="N107" s="200"/>
      <c r="O107" s="200"/>
      <c r="P107" s="200"/>
      <c r="Q107" s="226">
        <f t="shared" si="4"/>
        <v>97.3</v>
      </c>
      <c r="R107" s="144" t="str">
        <f t="shared" si="5"/>
        <v>NO</v>
      </c>
      <c r="S107" s="201" t="str">
        <f t="shared" si="6"/>
        <v>Inviable Sanitariamente</v>
      </c>
      <c r="T107" s="150"/>
    </row>
    <row r="108" spans="1:20" s="117" customFormat="1" ht="32.1" customHeight="1">
      <c r="A108" s="82" t="s">
        <v>4094</v>
      </c>
      <c r="B108" s="495" t="s">
        <v>847</v>
      </c>
      <c r="C108" s="517" t="s">
        <v>1883</v>
      </c>
      <c r="D108" s="119">
        <v>81</v>
      </c>
      <c r="E108" s="200"/>
      <c r="F108" s="200"/>
      <c r="G108" s="200"/>
      <c r="H108" s="200"/>
      <c r="I108" s="200"/>
      <c r="J108" s="200">
        <v>97.3</v>
      </c>
      <c r="K108" s="200"/>
      <c r="L108" s="200"/>
      <c r="M108" s="200"/>
      <c r="N108" s="200"/>
      <c r="O108" s="200"/>
      <c r="P108" s="200"/>
      <c r="Q108" s="226">
        <f t="shared" si="4"/>
        <v>97.3</v>
      </c>
      <c r="R108" s="144" t="str">
        <f t="shared" si="5"/>
        <v>NO</v>
      </c>
      <c r="S108" s="201" t="str">
        <f t="shared" si="6"/>
        <v>Inviable Sanitariamente</v>
      </c>
      <c r="T108" s="150"/>
    </row>
    <row r="109" spans="1:20" s="117" customFormat="1" ht="32.1" customHeight="1">
      <c r="A109" s="82" t="s">
        <v>4094</v>
      </c>
      <c r="B109" s="495" t="s">
        <v>1884</v>
      </c>
      <c r="C109" s="517" t="s">
        <v>1885</v>
      </c>
      <c r="D109" s="119">
        <v>20</v>
      </c>
      <c r="E109" s="200"/>
      <c r="F109" s="200">
        <v>97.3</v>
      </c>
      <c r="G109" s="200"/>
      <c r="H109" s="200"/>
      <c r="I109" s="200"/>
      <c r="J109" s="200"/>
      <c r="K109" s="200"/>
      <c r="L109" s="200"/>
      <c r="M109" s="200"/>
      <c r="N109" s="200"/>
      <c r="O109" s="200"/>
      <c r="P109" s="200"/>
      <c r="Q109" s="226">
        <f t="shared" si="4"/>
        <v>97.3</v>
      </c>
      <c r="R109" s="144" t="str">
        <f t="shared" si="5"/>
        <v>NO</v>
      </c>
      <c r="S109" s="201" t="str">
        <f t="shared" si="6"/>
        <v>Inviable Sanitariamente</v>
      </c>
      <c r="T109" s="150"/>
    </row>
    <row r="110" spans="1:20" s="117" customFormat="1" ht="32.1" customHeight="1">
      <c r="A110" s="82" t="s">
        <v>4094</v>
      </c>
      <c r="B110" s="495" t="s">
        <v>1886</v>
      </c>
      <c r="C110" s="517" t="s">
        <v>1887</v>
      </c>
      <c r="D110" s="114">
        <v>59</v>
      </c>
      <c r="E110" s="200"/>
      <c r="F110" s="200">
        <v>97.3</v>
      </c>
      <c r="G110" s="200"/>
      <c r="H110" s="200"/>
      <c r="I110" s="200"/>
      <c r="J110" s="200"/>
      <c r="K110" s="200"/>
      <c r="L110" s="200"/>
      <c r="M110" s="200"/>
      <c r="N110" s="200"/>
      <c r="O110" s="200"/>
      <c r="P110" s="200"/>
      <c r="Q110" s="226">
        <f t="shared" si="4"/>
        <v>97.3</v>
      </c>
      <c r="R110" s="144" t="str">
        <f t="shared" ref="R110:R137" si="12">IF(Q110&lt;5,"SI","NO")</f>
        <v>NO</v>
      </c>
      <c r="S110" s="201" t="str">
        <f t="shared" si="6"/>
        <v>Inviable Sanitariamente</v>
      </c>
      <c r="T110" s="150"/>
    </row>
    <row r="111" spans="1:20" s="117" customFormat="1" ht="32.1" customHeight="1">
      <c r="A111" s="82" t="s">
        <v>4094</v>
      </c>
      <c r="B111" s="495" t="s">
        <v>1877</v>
      </c>
      <c r="C111" s="517" t="s">
        <v>1888</v>
      </c>
      <c r="D111" s="119">
        <v>98</v>
      </c>
      <c r="E111" s="200"/>
      <c r="F111" s="200">
        <v>97.3</v>
      </c>
      <c r="G111" s="200"/>
      <c r="H111" s="200"/>
      <c r="I111" s="200"/>
      <c r="J111" s="200"/>
      <c r="K111" s="200"/>
      <c r="L111" s="200"/>
      <c r="M111" s="200"/>
      <c r="N111" s="200"/>
      <c r="O111" s="200"/>
      <c r="P111" s="200"/>
      <c r="Q111" s="226">
        <f t="shared" si="4"/>
        <v>97.3</v>
      </c>
      <c r="R111" s="144" t="str">
        <f t="shared" si="12"/>
        <v>NO</v>
      </c>
      <c r="S111" s="201" t="str">
        <f t="shared" si="6"/>
        <v>Inviable Sanitariamente</v>
      </c>
      <c r="T111" s="150"/>
    </row>
    <row r="112" spans="1:20" s="117" customFormat="1" ht="32.1" customHeight="1">
      <c r="A112" s="82" t="s">
        <v>4094</v>
      </c>
      <c r="B112" s="495" t="s">
        <v>99</v>
      </c>
      <c r="C112" s="517" t="s">
        <v>1889</v>
      </c>
      <c r="D112" s="119">
        <v>29</v>
      </c>
      <c r="E112" s="200"/>
      <c r="F112" s="200">
        <v>97.3</v>
      </c>
      <c r="G112" s="200"/>
      <c r="H112" s="200"/>
      <c r="I112" s="200"/>
      <c r="J112" s="200"/>
      <c r="K112" s="200"/>
      <c r="L112" s="200"/>
      <c r="M112" s="200"/>
      <c r="N112" s="200"/>
      <c r="O112" s="200"/>
      <c r="P112" s="200"/>
      <c r="Q112" s="226">
        <f t="shared" si="4"/>
        <v>97.3</v>
      </c>
      <c r="R112" s="144" t="str">
        <f t="shared" si="12"/>
        <v>NO</v>
      </c>
      <c r="S112" s="201" t="str">
        <f t="shared" si="6"/>
        <v>Inviable Sanitariamente</v>
      </c>
      <c r="T112" s="150"/>
    </row>
    <row r="113" spans="1:20" s="117" customFormat="1" ht="32.1" customHeight="1">
      <c r="A113" s="82" t="s">
        <v>4094</v>
      </c>
      <c r="B113" s="495" t="s">
        <v>1881</v>
      </c>
      <c r="C113" s="517" t="s">
        <v>1890</v>
      </c>
      <c r="D113" s="207">
        <v>35</v>
      </c>
      <c r="E113" s="200"/>
      <c r="F113" s="200"/>
      <c r="G113" s="200"/>
      <c r="H113" s="200"/>
      <c r="I113" s="200"/>
      <c r="J113" s="200">
        <v>97.3</v>
      </c>
      <c r="K113" s="200"/>
      <c r="L113" s="200"/>
      <c r="M113" s="200"/>
      <c r="N113" s="200"/>
      <c r="O113" s="200"/>
      <c r="P113" s="200"/>
      <c r="Q113" s="226">
        <f t="shared" si="4"/>
        <v>97.3</v>
      </c>
      <c r="R113" s="144" t="str">
        <f t="shared" si="12"/>
        <v>NO</v>
      </c>
      <c r="S113" s="201" t="str">
        <f t="shared" si="6"/>
        <v>Inviable Sanitariamente</v>
      </c>
      <c r="T113" s="150"/>
    </row>
    <row r="114" spans="1:20" s="117" customFormat="1" ht="32.1" customHeight="1">
      <c r="A114" s="82" t="s">
        <v>4094</v>
      </c>
      <c r="B114" s="495" t="s">
        <v>101</v>
      </c>
      <c r="C114" s="517" t="s">
        <v>1891</v>
      </c>
      <c r="D114" s="199">
        <v>40</v>
      </c>
      <c r="E114" s="200"/>
      <c r="F114" s="200"/>
      <c r="G114" s="200"/>
      <c r="H114" s="200"/>
      <c r="I114" s="200"/>
      <c r="J114" s="200">
        <v>97.3</v>
      </c>
      <c r="K114" s="200"/>
      <c r="L114" s="200"/>
      <c r="M114" s="200"/>
      <c r="N114" s="200"/>
      <c r="O114" s="200"/>
      <c r="P114" s="200"/>
      <c r="Q114" s="226">
        <f t="shared" si="4"/>
        <v>97.3</v>
      </c>
      <c r="R114" s="144" t="str">
        <f t="shared" si="12"/>
        <v>NO</v>
      </c>
      <c r="S114" s="201" t="str">
        <f t="shared" si="6"/>
        <v>Inviable Sanitariamente</v>
      </c>
      <c r="T114" s="150"/>
    </row>
    <row r="115" spans="1:20" s="214" customFormat="1" ht="32.1" customHeight="1">
      <c r="A115" s="82" t="s">
        <v>165</v>
      </c>
      <c r="B115" s="494" t="s">
        <v>1892</v>
      </c>
      <c r="C115" s="517" t="s">
        <v>1893</v>
      </c>
      <c r="D115" s="222">
        <v>80</v>
      </c>
      <c r="E115" s="200"/>
      <c r="F115" s="200">
        <v>0</v>
      </c>
      <c r="G115" s="200"/>
      <c r="H115" s="200">
        <v>0</v>
      </c>
      <c r="I115" s="200"/>
      <c r="J115" s="200">
        <v>0</v>
      </c>
      <c r="K115" s="200"/>
      <c r="L115" s="200">
        <v>0</v>
      </c>
      <c r="M115" s="200"/>
      <c r="N115" s="200"/>
      <c r="O115" s="200"/>
      <c r="P115" s="200"/>
      <c r="Q115" s="226">
        <f t="shared" si="4"/>
        <v>0</v>
      </c>
      <c r="R115" s="144" t="str">
        <f t="shared" si="12"/>
        <v>SI</v>
      </c>
      <c r="S115" s="201" t="str">
        <f t="shared" si="6"/>
        <v>Sin Riesgo</v>
      </c>
      <c r="T115" s="213"/>
    </row>
    <row r="116" spans="1:20" s="214" customFormat="1" ht="32.1" customHeight="1">
      <c r="A116" s="82" t="s">
        <v>165</v>
      </c>
      <c r="B116" s="494" t="s">
        <v>0</v>
      </c>
      <c r="C116" s="517" t="s">
        <v>1894</v>
      </c>
      <c r="D116" s="221">
        <v>12</v>
      </c>
      <c r="E116" s="200"/>
      <c r="F116" s="200">
        <v>55.94</v>
      </c>
      <c r="G116" s="200"/>
      <c r="H116" s="200">
        <v>0</v>
      </c>
      <c r="I116" s="200"/>
      <c r="J116" s="200">
        <v>0</v>
      </c>
      <c r="K116" s="200"/>
      <c r="L116" s="200">
        <v>0</v>
      </c>
      <c r="M116" s="200"/>
      <c r="N116" s="200"/>
      <c r="O116" s="200"/>
      <c r="P116" s="200"/>
      <c r="Q116" s="226">
        <f t="shared" si="4"/>
        <v>13.984999999999999</v>
      </c>
      <c r="R116" s="144" t="str">
        <f t="shared" si="12"/>
        <v>NO</v>
      </c>
      <c r="S116" s="201" t="str">
        <f t="shared" si="6"/>
        <v>Bajo</v>
      </c>
      <c r="T116" s="213"/>
    </row>
    <row r="117" spans="1:20" s="214" customFormat="1" ht="32.1" customHeight="1">
      <c r="A117" s="82" t="s">
        <v>165</v>
      </c>
      <c r="B117" s="494" t="s">
        <v>1895</v>
      </c>
      <c r="C117" s="517" t="s">
        <v>1896</v>
      </c>
      <c r="D117" s="222">
        <v>80</v>
      </c>
      <c r="E117" s="200"/>
      <c r="F117" s="200">
        <v>0</v>
      </c>
      <c r="G117" s="200"/>
      <c r="H117" s="200">
        <v>0</v>
      </c>
      <c r="I117" s="200"/>
      <c r="J117" s="200">
        <v>0</v>
      </c>
      <c r="K117" s="200"/>
      <c r="L117" s="200">
        <v>0</v>
      </c>
      <c r="M117" s="200"/>
      <c r="N117" s="200"/>
      <c r="O117" s="200"/>
      <c r="P117" s="200"/>
      <c r="Q117" s="226">
        <f t="shared" si="4"/>
        <v>0</v>
      </c>
      <c r="R117" s="144" t="str">
        <f t="shared" si="12"/>
        <v>SI</v>
      </c>
      <c r="S117" s="201" t="str">
        <f t="shared" si="6"/>
        <v>Sin Riesgo</v>
      </c>
      <c r="T117" s="213"/>
    </row>
    <row r="118" spans="1:20" s="214" customFormat="1" ht="32.1" customHeight="1">
      <c r="A118" s="82" t="s">
        <v>165</v>
      </c>
      <c r="B118" s="494" t="s">
        <v>1897</v>
      </c>
      <c r="C118" s="517" t="s">
        <v>1898</v>
      </c>
      <c r="D118" s="221">
        <v>5</v>
      </c>
      <c r="E118" s="200"/>
      <c r="F118" s="200">
        <v>0</v>
      </c>
      <c r="G118" s="200"/>
      <c r="H118" s="200">
        <v>0</v>
      </c>
      <c r="I118" s="200"/>
      <c r="J118" s="200">
        <v>26.55</v>
      </c>
      <c r="K118" s="200"/>
      <c r="L118" s="200">
        <v>0</v>
      </c>
      <c r="M118" s="200"/>
      <c r="N118" s="200"/>
      <c r="O118" s="200"/>
      <c r="P118" s="200"/>
      <c r="Q118" s="226">
        <f t="shared" si="4"/>
        <v>6.6375000000000002</v>
      </c>
      <c r="R118" s="144" t="str">
        <f t="shared" si="12"/>
        <v>NO</v>
      </c>
      <c r="S118" s="201" t="str">
        <f t="shared" si="6"/>
        <v>Bajo</v>
      </c>
      <c r="T118" s="213"/>
    </row>
    <row r="119" spans="1:20" s="214" customFormat="1" ht="32.1" customHeight="1">
      <c r="A119" s="82" t="s">
        <v>165</v>
      </c>
      <c r="B119" s="494" t="s">
        <v>1899</v>
      </c>
      <c r="C119" s="517" t="s">
        <v>1900</v>
      </c>
      <c r="D119" s="221">
        <v>42</v>
      </c>
      <c r="E119" s="200"/>
      <c r="F119" s="200">
        <v>0</v>
      </c>
      <c r="G119" s="200"/>
      <c r="H119" s="200">
        <v>0</v>
      </c>
      <c r="I119" s="200"/>
      <c r="J119" s="200">
        <v>0</v>
      </c>
      <c r="K119" s="200"/>
      <c r="L119" s="200">
        <v>0</v>
      </c>
      <c r="M119" s="200"/>
      <c r="N119" s="200"/>
      <c r="O119" s="200"/>
      <c r="P119" s="200"/>
      <c r="Q119" s="226">
        <f t="shared" si="4"/>
        <v>0</v>
      </c>
      <c r="R119" s="144" t="str">
        <f t="shared" si="12"/>
        <v>SI</v>
      </c>
      <c r="S119" s="201" t="str">
        <f t="shared" si="6"/>
        <v>Sin Riesgo</v>
      </c>
      <c r="T119" s="213"/>
    </row>
    <row r="120" spans="1:20" s="214" customFormat="1" ht="32.1" customHeight="1">
      <c r="A120" s="82" t="s">
        <v>165</v>
      </c>
      <c r="B120" s="494" t="s">
        <v>1323</v>
      </c>
      <c r="C120" s="517" t="s">
        <v>1901</v>
      </c>
      <c r="D120" s="221">
        <v>45</v>
      </c>
      <c r="E120" s="200"/>
      <c r="F120" s="200">
        <v>0</v>
      </c>
      <c r="G120" s="200"/>
      <c r="H120" s="200">
        <v>0</v>
      </c>
      <c r="I120" s="200"/>
      <c r="J120" s="200">
        <v>0</v>
      </c>
      <c r="K120" s="200"/>
      <c r="L120" s="200">
        <v>0</v>
      </c>
      <c r="M120" s="200"/>
      <c r="N120" s="200"/>
      <c r="O120" s="200"/>
      <c r="P120" s="200"/>
      <c r="Q120" s="226">
        <f t="shared" si="4"/>
        <v>0</v>
      </c>
      <c r="R120" s="144" t="str">
        <f t="shared" si="12"/>
        <v>SI</v>
      </c>
      <c r="S120" s="201" t="str">
        <f t="shared" si="6"/>
        <v>Sin Riesgo</v>
      </c>
      <c r="T120" s="213"/>
    </row>
    <row r="121" spans="1:20" s="214" customFormat="1" ht="32.1" customHeight="1">
      <c r="A121" s="82" t="s">
        <v>165</v>
      </c>
      <c r="B121" s="494" t="s">
        <v>917</v>
      </c>
      <c r="C121" s="517" t="s">
        <v>1902</v>
      </c>
      <c r="D121" s="221">
        <v>72</v>
      </c>
      <c r="E121" s="200"/>
      <c r="F121" s="200">
        <v>0</v>
      </c>
      <c r="G121" s="200"/>
      <c r="H121" s="200">
        <v>0</v>
      </c>
      <c r="I121" s="200"/>
      <c r="J121" s="200">
        <v>0</v>
      </c>
      <c r="K121" s="200"/>
      <c r="L121" s="200">
        <v>0</v>
      </c>
      <c r="M121" s="200"/>
      <c r="N121" s="200"/>
      <c r="O121" s="200"/>
      <c r="P121" s="200"/>
      <c r="Q121" s="226">
        <f t="shared" si="4"/>
        <v>0</v>
      </c>
      <c r="R121" s="144" t="str">
        <f t="shared" si="12"/>
        <v>SI</v>
      </c>
      <c r="S121" s="201" t="str">
        <f t="shared" si="6"/>
        <v>Sin Riesgo</v>
      </c>
      <c r="T121" s="213"/>
    </row>
    <row r="122" spans="1:20" s="214" customFormat="1" ht="32.1" customHeight="1">
      <c r="A122" s="82" t="s">
        <v>165</v>
      </c>
      <c r="B122" s="522" t="s">
        <v>611</v>
      </c>
      <c r="C122" s="519" t="s">
        <v>1903</v>
      </c>
      <c r="D122" s="221">
        <v>9</v>
      </c>
      <c r="E122" s="200"/>
      <c r="F122" s="200">
        <v>0</v>
      </c>
      <c r="G122" s="200"/>
      <c r="H122" s="200">
        <v>0</v>
      </c>
      <c r="I122" s="200"/>
      <c r="J122" s="200">
        <v>0</v>
      </c>
      <c r="K122" s="200"/>
      <c r="L122" s="200">
        <v>0</v>
      </c>
      <c r="M122" s="200"/>
      <c r="N122" s="200"/>
      <c r="O122" s="200"/>
      <c r="P122" s="200"/>
      <c r="Q122" s="226">
        <f t="shared" si="4"/>
        <v>0</v>
      </c>
      <c r="R122" s="144" t="str">
        <f t="shared" si="12"/>
        <v>SI</v>
      </c>
      <c r="S122" s="201" t="str">
        <f t="shared" si="6"/>
        <v>Sin Riesgo</v>
      </c>
      <c r="T122" s="213"/>
    </row>
    <row r="123" spans="1:20" s="214" customFormat="1" ht="32.1" customHeight="1">
      <c r="A123" s="82" t="s">
        <v>165</v>
      </c>
      <c r="B123" s="522" t="s">
        <v>1905</v>
      </c>
      <c r="C123" s="519" t="s">
        <v>1906</v>
      </c>
      <c r="D123" s="221">
        <v>32</v>
      </c>
      <c r="E123" s="200"/>
      <c r="F123" s="200">
        <v>0</v>
      </c>
      <c r="G123" s="200"/>
      <c r="H123" s="200">
        <v>0</v>
      </c>
      <c r="I123" s="200"/>
      <c r="J123" s="200">
        <v>0</v>
      </c>
      <c r="K123" s="200"/>
      <c r="L123" s="200">
        <v>0</v>
      </c>
      <c r="M123" s="200"/>
      <c r="N123" s="200"/>
      <c r="O123" s="200"/>
      <c r="P123" s="200"/>
      <c r="Q123" s="226">
        <f t="shared" si="4"/>
        <v>0</v>
      </c>
      <c r="R123" s="144" t="str">
        <f t="shared" si="12"/>
        <v>SI</v>
      </c>
      <c r="S123" s="201" t="str">
        <f t="shared" si="6"/>
        <v>Sin Riesgo</v>
      </c>
      <c r="T123" s="213"/>
    </row>
    <row r="124" spans="1:20" s="214" customFormat="1" ht="32.1" customHeight="1">
      <c r="A124" s="82" t="s">
        <v>165</v>
      </c>
      <c r="B124" s="522" t="s">
        <v>1907</v>
      </c>
      <c r="C124" s="519" t="s">
        <v>1908</v>
      </c>
      <c r="D124" s="147">
        <v>25</v>
      </c>
      <c r="E124" s="200"/>
      <c r="F124" s="200">
        <v>0</v>
      </c>
      <c r="G124" s="200"/>
      <c r="H124" s="200">
        <v>0</v>
      </c>
      <c r="I124" s="200"/>
      <c r="J124" s="200">
        <v>0</v>
      </c>
      <c r="K124" s="200"/>
      <c r="L124" s="200">
        <v>0</v>
      </c>
      <c r="M124" s="200"/>
      <c r="N124" s="200"/>
      <c r="O124" s="200"/>
      <c r="P124" s="200"/>
      <c r="Q124" s="226">
        <f t="shared" si="4"/>
        <v>0</v>
      </c>
      <c r="R124" s="144" t="str">
        <f t="shared" si="12"/>
        <v>SI</v>
      </c>
      <c r="S124" s="201" t="str">
        <f t="shared" si="6"/>
        <v>Sin Riesgo</v>
      </c>
      <c r="T124" s="213"/>
    </row>
    <row r="125" spans="1:20" s="214" customFormat="1" ht="32.1" customHeight="1">
      <c r="A125" s="82" t="s">
        <v>165</v>
      </c>
      <c r="B125" s="522" t="s">
        <v>1909</v>
      </c>
      <c r="C125" s="519" t="s">
        <v>1910</v>
      </c>
      <c r="D125" s="221">
        <v>18</v>
      </c>
      <c r="E125" s="200"/>
      <c r="F125" s="200">
        <v>0</v>
      </c>
      <c r="G125" s="200"/>
      <c r="H125" s="200">
        <v>0</v>
      </c>
      <c r="I125" s="200"/>
      <c r="J125" s="200">
        <v>0</v>
      </c>
      <c r="K125" s="200"/>
      <c r="L125" s="200">
        <v>0</v>
      </c>
      <c r="M125" s="200"/>
      <c r="N125" s="200"/>
      <c r="O125" s="200"/>
      <c r="P125" s="200"/>
      <c r="Q125" s="226">
        <f t="shared" si="4"/>
        <v>0</v>
      </c>
      <c r="R125" s="144" t="str">
        <f t="shared" si="12"/>
        <v>SI</v>
      </c>
      <c r="S125" s="201" t="str">
        <f t="shared" si="6"/>
        <v>Sin Riesgo</v>
      </c>
      <c r="T125" s="213"/>
    </row>
    <row r="126" spans="1:20" s="214" customFormat="1" ht="32.1" customHeight="1">
      <c r="A126" s="82" t="s">
        <v>165</v>
      </c>
      <c r="B126" s="526" t="s">
        <v>2087</v>
      </c>
      <c r="C126" s="519" t="s">
        <v>2088</v>
      </c>
      <c r="D126" s="221">
        <v>600</v>
      </c>
      <c r="E126" s="200"/>
      <c r="F126" s="200"/>
      <c r="G126" s="200"/>
      <c r="H126" s="200"/>
      <c r="I126" s="200"/>
      <c r="J126" s="200"/>
      <c r="K126" s="200"/>
      <c r="L126" s="200"/>
      <c r="M126" s="200"/>
      <c r="N126" s="200"/>
      <c r="O126" s="200"/>
      <c r="P126" s="200"/>
      <c r="Q126" s="226" t="e">
        <f t="shared" si="4"/>
        <v>#DIV/0!</v>
      </c>
      <c r="R126" s="144" t="e">
        <f t="shared" si="12"/>
        <v>#DIV/0!</v>
      </c>
      <c r="S126" s="201" t="e">
        <f t="shared" si="6"/>
        <v>#DIV/0!</v>
      </c>
      <c r="T126" s="213"/>
    </row>
    <row r="127" spans="1:20" s="212" customFormat="1" ht="32.1" customHeight="1">
      <c r="A127" s="82" t="s">
        <v>47</v>
      </c>
      <c r="B127" s="495" t="s">
        <v>2085</v>
      </c>
      <c r="C127" s="517" t="s">
        <v>1911</v>
      </c>
      <c r="D127" s="199">
        <v>285</v>
      </c>
      <c r="E127" s="200"/>
      <c r="F127" s="200"/>
      <c r="G127" s="200">
        <v>53.1</v>
      </c>
      <c r="H127" s="200"/>
      <c r="I127" s="200"/>
      <c r="J127" s="200"/>
      <c r="K127" s="200"/>
      <c r="L127" s="200"/>
      <c r="M127" s="200"/>
      <c r="N127" s="200"/>
      <c r="O127" s="200"/>
      <c r="P127" s="200"/>
      <c r="Q127" s="226">
        <f t="shared" si="4"/>
        <v>53.1</v>
      </c>
      <c r="R127" s="146" t="str">
        <f t="shared" si="12"/>
        <v>NO</v>
      </c>
      <c r="S127" s="201" t="str">
        <f t="shared" si="6"/>
        <v>Alto</v>
      </c>
      <c r="T127" s="211"/>
    </row>
    <row r="128" spans="1:20" s="212" customFormat="1" ht="32.1" customHeight="1">
      <c r="A128" s="82" t="s">
        <v>47</v>
      </c>
      <c r="B128" s="495" t="s">
        <v>1912</v>
      </c>
      <c r="C128" s="517" t="s">
        <v>1913</v>
      </c>
      <c r="D128" s="199">
        <v>205</v>
      </c>
      <c r="E128" s="200"/>
      <c r="F128" s="200"/>
      <c r="G128" s="200">
        <v>53.1</v>
      </c>
      <c r="H128" s="200"/>
      <c r="I128" s="200"/>
      <c r="J128" s="200"/>
      <c r="K128" s="200"/>
      <c r="L128" s="200"/>
      <c r="M128" s="200"/>
      <c r="N128" s="200"/>
      <c r="O128" s="200"/>
      <c r="P128" s="200"/>
      <c r="Q128" s="226">
        <f t="shared" si="4"/>
        <v>53.1</v>
      </c>
      <c r="R128" s="146" t="str">
        <f t="shared" si="12"/>
        <v>NO</v>
      </c>
      <c r="S128" s="201" t="str">
        <f t="shared" si="6"/>
        <v>Alto</v>
      </c>
      <c r="T128" s="211"/>
    </row>
    <row r="129" spans="1:20" s="212" customFormat="1" ht="32.1" customHeight="1">
      <c r="A129" s="82" t="s">
        <v>47</v>
      </c>
      <c r="B129" s="495" t="s">
        <v>1914</v>
      </c>
      <c r="C129" s="517" t="s">
        <v>1915</v>
      </c>
      <c r="D129" s="199">
        <v>168</v>
      </c>
      <c r="E129" s="200"/>
      <c r="F129" s="200"/>
      <c r="G129" s="200">
        <v>53.1</v>
      </c>
      <c r="H129" s="200"/>
      <c r="I129" s="200"/>
      <c r="J129" s="200"/>
      <c r="K129" s="200">
        <v>53.1</v>
      </c>
      <c r="L129" s="200"/>
      <c r="M129" s="200">
        <v>53.1</v>
      </c>
      <c r="N129" s="200"/>
      <c r="O129" s="200"/>
      <c r="P129" s="200"/>
      <c r="Q129" s="226">
        <f t="shared" si="4"/>
        <v>53.1</v>
      </c>
      <c r="R129" s="146" t="str">
        <f t="shared" si="12"/>
        <v>NO</v>
      </c>
      <c r="S129" s="201" t="str">
        <f t="shared" si="6"/>
        <v>Alto</v>
      </c>
      <c r="T129" s="211"/>
    </row>
    <row r="130" spans="1:20" s="212" customFormat="1" ht="32.1" customHeight="1">
      <c r="A130" s="82" t="s">
        <v>47</v>
      </c>
      <c r="B130" s="495" t="s">
        <v>1916</v>
      </c>
      <c r="C130" s="517" t="s">
        <v>1917</v>
      </c>
      <c r="D130" s="199">
        <v>210</v>
      </c>
      <c r="E130" s="200"/>
      <c r="F130" s="200"/>
      <c r="G130" s="200">
        <v>53.1</v>
      </c>
      <c r="H130" s="200"/>
      <c r="I130" s="200"/>
      <c r="J130" s="200"/>
      <c r="K130" s="200"/>
      <c r="L130" s="200"/>
      <c r="M130" s="200"/>
      <c r="N130" s="200"/>
      <c r="O130" s="200"/>
      <c r="P130" s="200"/>
      <c r="Q130" s="226">
        <f t="shared" si="4"/>
        <v>53.1</v>
      </c>
      <c r="R130" s="146" t="str">
        <f t="shared" si="12"/>
        <v>NO</v>
      </c>
      <c r="S130" s="201" t="str">
        <f t="shared" si="6"/>
        <v>Alto</v>
      </c>
      <c r="T130" s="211"/>
    </row>
    <row r="131" spans="1:20" s="212" customFormat="1" ht="32.1" customHeight="1">
      <c r="A131" s="82" t="s">
        <v>47</v>
      </c>
      <c r="B131" s="495" t="s">
        <v>1918</v>
      </c>
      <c r="C131" s="517" t="s">
        <v>1919</v>
      </c>
      <c r="D131" s="199">
        <v>170</v>
      </c>
      <c r="E131" s="200"/>
      <c r="F131" s="200">
        <v>53.1</v>
      </c>
      <c r="G131" s="200"/>
      <c r="H131" s="200"/>
      <c r="I131" s="200"/>
      <c r="J131" s="200"/>
      <c r="K131" s="200"/>
      <c r="L131" s="200"/>
      <c r="M131" s="200"/>
      <c r="N131" s="200"/>
      <c r="O131" s="200"/>
      <c r="P131" s="200"/>
      <c r="Q131" s="226">
        <f t="shared" si="4"/>
        <v>53.1</v>
      </c>
      <c r="R131" s="146" t="str">
        <f t="shared" si="12"/>
        <v>NO</v>
      </c>
      <c r="S131" s="201" t="str">
        <f t="shared" si="6"/>
        <v>Alto</v>
      </c>
      <c r="T131" s="211"/>
    </row>
    <row r="132" spans="1:20" s="212" customFormat="1" ht="32.1" customHeight="1">
      <c r="A132" s="82" t="s">
        <v>47</v>
      </c>
      <c r="B132" s="495" t="s">
        <v>1429</v>
      </c>
      <c r="C132" s="517" t="s">
        <v>1920</v>
      </c>
      <c r="D132" s="199">
        <v>325</v>
      </c>
      <c r="E132" s="200">
        <v>0</v>
      </c>
      <c r="F132" s="200"/>
      <c r="G132" s="200">
        <v>0</v>
      </c>
      <c r="H132" s="200"/>
      <c r="I132" s="200">
        <v>0</v>
      </c>
      <c r="J132" s="200"/>
      <c r="K132" s="200"/>
      <c r="L132" s="200"/>
      <c r="M132" s="200">
        <v>0</v>
      </c>
      <c r="N132" s="200"/>
      <c r="O132" s="200">
        <v>0</v>
      </c>
      <c r="P132" s="200"/>
      <c r="Q132" s="226">
        <f t="shared" si="4"/>
        <v>0</v>
      </c>
      <c r="R132" s="146" t="str">
        <f t="shared" si="12"/>
        <v>SI</v>
      </c>
      <c r="S132" s="201" t="str">
        <f t="shared" si="6"/>
        <v>Sin Riesgo</v>
      </c>
      <c r="T132" s="211"/>
    </row>
    <row r="133" spans="1:20" s="212" customFormat="1" ht="32.1" customHeight="1">
      <c r="A133" s="82" t="s">
        <v>47</v>
      </c>
      <c r="B133" s="495" t="s">
        <v>1921</v>
      </c>
      <c r="C133" s="517" t="s">
        <v>1922</v>
      </c>
      <c r="D133" s="199">
        <v>220</v>
      </c>
      <c r="E133" s="200"/>
      <c r="F133" s="200"/>
      <c r="G133" s="200"/>
      <c r="H133" s="200"/>
      <c r="I133" s="200">
        <v>53.1</v>
      </c>
      <c r="J133" s="200"/>
      <c r="K133" s="200"/>
      <c r="L133" s="200"/>
      <c r="M133" s="200"/>
      <c r="N133" s="200"/>
      <c r="O133" s="200"/>
      <c r="P133" s="200"/>
      <c r="Q133" s="226">
        <f t="shared" si="4"/>
        <v>53.1</v>
      </c>
      <c r="R133" s="146" t="str">
        <f t="shared" si="12"/>
        <v>NO</v>
      </c>
      <c r="S133" s="201" t="str">
        <f t="shared" si="6"/>
        <v>Alto</v>
      </c>
      <c r="T133" s="211"/>
    </row>
    <row r="134" spans="1:20" s="212" customFormat="1" ht="32.1" customHeight="1">
      <c r="A134" s="82" t="s">
        <v>47</v>
      </c>
      <c r="B134" s="495" t="s">
        <v>1923</v>
      </c>
      <c r="C134" s="517" t="s">
        <v>1924</v>
      </c>
      <c r="D134" s="199">
        <v>110</v>
      </c>
      <c r="E134" s="200"/>
      <c r="F134" s="200"/>
      <c r="G134" s="200"/>
      <c r="H134" s="200"/>
      <c r="I134" s="200"/>
      <c r="J134" s="200"/>
      <c r="K134" s="200">
        <v>53.1</v>
      </c>
      <c r="L134" s="200"/>
      <c r="M134" s="200"/>
      <c r="N134" s="200"/>
      <c r="O134" s="200"/>
      <c r="P134" s="200"/>
      <c r="Q134" s="226">
        <f t="shared" si="4"/>
        <v>53.1</v>
      </c>
      <c r="R134" s="146" t="str">
        <f t="shared" si="12"/>
        <v>NO</v>
      </c>
      <c r="S134" s="201" t="str">
        <f t="shared" si="6"/>
        <v>Alto</v>
      </c>
      <c r="T134" s="211"/>
    </row>
    <row r="135" spans="1:20" s="212" customFormat="1" ht="32.1" customHeight="1">
      <c r="A135" s="82" t="s">
        <v>47</v>
      </c>
      <c r="B135" s="495" t="s">
        <v>733</v>
      </c>
      <c r="C135" s="517" t="s">
        <v>1925</v>
      </c>
      <c r="D135" s="199">
        <v>508</v>
      </c>
      <c r="E135" s="200"/>
      <c r="F135" s="200"/>
      <c r="G135" s="200"/>
      <c r="H135" s="200"/>
      <c r="I135" s="200">
        <v>53.1</v>
      </c>
      <c r="J135" s="200"/>
      <c r="K135" s="200"/>
      <c r="L135" s="200"/>
      <c r="M135" s="200">
        <v>53.1</v>
      </c>
      <c r="N135" s="200"/>
      <c r="O135" s="200"/>
      <c r="P135" s="200"/>
      <c r="Q135" s="226">
        <f t="shared" si="4"/>
        <v>53.1</v>
      </c>
      <c r="R135" s="146" t="str">
        <f t="shared" si="12"/>
        <v>NO</v>
      </c>
      <c r="S135" s="201" t="str">
        <f t="shared" si="6"/>
        <v>Alto</v>
      </c>
      <c r="T135" s="211"/>
    </row>
    <row r="136" spans="1:20" s="212" customFormat="1" ht="32.1" customHeight="1">
      <c r="A136" s="82" t="s">
        <v>47</v>
      </c>
      <c r="B136" s="495" t="s">
        <v>1926</v>
      </c>
      <c r="C136" s="517" t="s">
        <v>1927</v>
      </c>
      <c r="D136" s="199">
        <v>495</v>
      </c>
      <c r="E136" s="200"/>
      <c r="F136" s="200"/>
      <c r="G136" s="200"/>
      <c r="H136" s="200"/>
      <c r="I136" s="200"/>
      <c r="J136" s="200">
        <v>53.1</v>
      </c>
      <c r="K136" s="200"/>
      <c r="L136" s="200"/>
      <c r="M136" s="200">
        <v>53.1</v>
      </c>
      <c r="N136" s="200"/>
      <c r="O136" s="200"/>
      <c r="P136" s="200"/>
      <c r="Q136" s="226">
        <f t="shared" si="4"/>
        <v>53.1</v>
      </c>
      <c r="R136" s="146" t="str">
        <f t="shared" si="12"/>
        <v>NO</v>
      </c>
      <c r="S136" s="201" t="str">
        <f t="shared" si="6"/>
        <v>Alto</v>
      </c>
      <c r="T136" s="211"/>
    </row>
    <row r="137" spans="1:20" s="212" customFormat="1" ht="32.1" customHeight="1">
      <c r="A137" s="82" t="s">
        <v>47</v>
      </c>
      <c r="B137" s="495" t="s">
        <v>16</v>
      </c>
      <c r="C137" s="517" t="s">
        <v>1928</v>
      </c>
      <c r="D137" s="199">
        <v>185</v>
      </c>
      <c r="E137" s="200"/>
      <c r="F137" s="200"/>
      <c r="G137" s="200"/>
      <c r="H137" s="200"/>
      <c r="I137" s="200"/>
      <c r="J137" s="200"/>
      <c r="K137" s="200">
        <v>53.1</v>
      </c>
      <c r="L137" s="200"/>
      <c r="M137" s="200"/>
      <c r="N137" s="200"/>
      <c r="O137" s="200"/>
      <c r="P137" s="200"/>
      <c r="Q137" s="226">
        <f t="shared" si="4"/>
        <v>53.1</v>
      </c>
      <c r="R137" s="146" t="str">
        <f t="shared" si="12"/>
        <v>NO</v>
      </c>
      <c r="S137" s="201" t="str">
        <f t="shared" si="6"/>
        <v>Alto</v>
      </c>
      <c r="T137" s="211"/>
    </row>
    <row r="138" spans="1:20" s="212" customFormat="1" ht="32.1" customHeight="1">
      <c r="A138" s="82" t="s">
        <v>47</v>
      </c>
      <c r="B138" s="495" t="s">
        <v>1929</v>
      </c>
      <c r="C138" s="517" t="s">
        <v>1930</v>
      </c>
      <c r="D138" s="199">
        <v>140</v>
      </c>
      <c r="E138" s="200"/>
      <c r="F138" s="200"/>
      <c r="G138" s="200"/>
      <c r="H138" s="200">
        <v>53.1</v>
      </c>
      <c r="I138" s="200"/>
      <c r="J138" s="200"/>
      <c r="K138" s="200"/>
      <c r="L138" s="200"/>
      <c r="M138" s="200"/>
      <c r="N138" s="200"/>
      <c r="O138" s="200"/>
      <c r="P138" s="200"/>
      <c r="Q138" s="226">
        <f t="shared" ref="Q138:Q201" si="13">AVERAGE(E138:P138)</f>
        <v>53.1</v>
      </c>
      <c r="R138" s="146" t="str">
        <f t="shared" ref="R138:R154" si="14">IF(Q138&lt;5,"SI","NO")</f>
        <v>NO</v>
      </c>
      <c r="S138" s="201" t="str">
        <f t="shared" ref="S138:S201" si="15">IF(Q138&lt;5,"Sin Riesgo",IF(Q138 &lt;=14,"Bajo",IF(Q138&lt;=35,"Medio",IF(Q138&lt;=80,"Alto","Inviable Sanitariamente"))))</f>
        <v>Alto</v>
      </c>
      <c r="T138" s="211"/>
    </row>
    <row r="139" spans="1:20" s="212" customFormat="1" ht="32.1" customHeight="1">
      <c r="A139" s="82" t="s">
        <v>47</v>
      </c>
      <c r="B139" s="495" t="s">
        <v>1931</v>
      </c>
      <c r="C139" s="517" t="s">
        <v>1932</v>
      </c>
      <c r="D139" s="199">
        <v>310</v>
      </c>
      <c r="E139" s="200"/>
      <c r="F139" s="200"/>
      <c r="G139" s="200"/>
      <c r="H139" s="200"/>
      <c r="I139" s="200"/>
      <c r="J139" s="200">
        <v>53.1</v>
      </c>
      <c r="K139" s="200"/>
      <c r="L139" s="200"/>
      <c r="M139" s="200"/>
      <c r="N139" s="200"/>
      <c r="O139" s="200"/>
      <c r="P139" s="200"/>
      <c r="Q139" s="226">
        <f t="shared" si="13"/>
        <v>53.1</v>
      </c>
      <c r="R139" s="146" t="str">
        <f t="shared" si="14"/>
        <v>NO</v>
      </c>
      <c r="S139" s="201" t="str">
        <f t="shared" si="15"/>
        <v>Alto</v>
      </c>
      <c r="T139" s="215"/>
    </row>
    <row r="140" spans="1:20" s="212" customFormat="1" ht="32.1" customHeight="1">
      <c r="A140" s="82" t="s">
        <v>47</v>
      </c>
      <c r="B140" s="495" t="s">
        <v>1933</v>
      </c>
      <c r="C140" s="517" t="s">
        <v>1934</v>
      </c>
      <c r="D140" s="199">
        <v>612</v>
      </c>
      <c r="E140" s="200"/>
      <c r="F140" s="200"/>
      <c r="G140" s="200"/>
      <c r="H140" s="200">
        <v>53.1</v>
      </c>
      <c r="I140" s="200"/>
      <c r="J140" s="200"/>
      <c r="K140" s="200"/>
      <c r="L140" s="200"/>
      <c r="M140" s="200"/>
      <c r="N140" s="200"/>
      <c r="O140" s="200">
        <v>53.1</v>
      </c>
      <c r="P140" s="200"/>
      <c r="Q140" s="226">
        <f t="shared" si="13"/>
        <v>53.1</v>
      </c>
      <c r="R140" s="146" t="str">
        <f t="shared" si="14"/>
        <v>NO</v>
      </c>
      <c r="S140" s="201" t="str">
        <f t="shared" si="15"/>
        <v>Alto</v>
      </c>
      <c r="T140" s="215"/>
    </row>
    <row r="141" spans="1:20" s="212" customFormat="1" ht="32.1" customHeight="1">
      <c r="A141" s="82" t="s">
        <v>47</v>
      </c>
      <c r="B141" s="495" t="s">
        <v>1935</v>
      </c>
      <c r="C141" s="517" t="s">
        <v>1936</v>
      </c>
      <c r="D141" s="199">
        <v>288</v>
      </c>
      <c r="E141" s="200"/>
      <c r="F141" s="200"/>
      <c r="G141" s="200"/>
      <c r="H141" s="200"/>
      <c r="I141" s="200"/>
      <c r="J141" s="200"/>
      <c r="K141" s="200">
        <v>53.1</v>
      </c>
      <c r="L141" s="200"/>
      <c r="M141" s="200"/>
      <c r="N141" s="200"/>
      <c r="O141" s="200"/>
      <c r="P141" s="200"/>
      <c r="Q141" s="226">
        <f t="shared" si="13"/>
        <v>53.1</v>
      </c>
      <c r="R141" s="146" t="str">
        <f t="shared" si="14"/>
        <v>NO</v>
      </c>
      <c r="S141" s="201" t="str">
        <f t="shared" si="15"/>
        <v>Alto</v>
      </c>
      <c r="T141" s="215"/>
    </row>
    <row r="142" spans="1:20" s="212" customFormat="1" ht="32.1" customHeight="1">
      <c r="A142" s="82" t="s">
        <v>47</v>
      </c>
      <c r="B142" s="495" t="s">
        <v>1937</v>
      </c>
      <c r="C142" s="517" t="s">
        <v>1938</v>
      </c>
      <c r="D142" s="199">
        <v>308</v>
      </c>
      <c r="E142" s="200"/>
      <c r="F142" s="200"/>
      <c r="G142" s="200"/>
      <c r="H142" s="200"/>
      <c r="I142" s="200"/>
      <c r="J142" s="200">
        <v>53.1</v>
      </c>
      <c r="K142" s="200"/>
      <c r="L142" s="200"/>
      <c r="M142" s="200"/>
      <c r="N142" s="200"/>
      <c r="O142" s="200"/>
      <c r="P142" s="200"/>
      <c r="Q142" s="226">
        <f t="shared" si="13"/>
        <v>53.1</v>
      </c>
      <c r="R142" s="146" t="str">
        <f t="shared" si="14"/>
        <v>NO</v>
      </c>
      <c r="S142" s="201" t="str">
        <f t="shared" si="15"/>
        <v>Alto</v>
      </c>
      <c r="T142" s="215"/>
    </row>
    <row r="143" spans="1:20" s="212" customFormat="1" ht="32.1" customHeight="1">
      <c r="A143" s="82" t="s">
        <v>47</v>
      </c>
      <c r="B143" s="495" t="s">
        <v>1939</v>
      </c>
      <c r="C143" s="517" t="s">
        <v>1940</v>
      </c>
      <c r="D143" s="199">
        <v>210</v>
      </c>
      <c r="E143" s="200"/>
      <c r="F143" s="200"/>
      <c r="G143" s="200"/>
      <c r="H143" s="200"/>
      <c r="I143" s="200"/>
      <c r="J143" s="200"/>
      <c r="K143" s="200">
        <v>53.1</v>
      </c>
      <c r="L143" s="200"/>
      <c r="M143" s="200"/>
      <c r="N143" s="200"/>
      <c r="O143" s="200"/>
      <c r="P143" s="200"/>
      <c r="Q143" s="226">
        <f t="shared" si="13"/>
        <v>53.1</v>
      </c>
      <c r="R143" s="146" t="str">
        <f t="shared" si="14"/>
        <v>NO</v>
      </c>
      <c r="S143" s="201" t="str">
        <f t="shared" si="15"/>
        <v>Alto</v>
      </c>
      <c r="T143" s="215"/>
    </row>
    <row r="144" spans="1:20" s="212" customFormat="1" ht="32.1" customHeight="1">
      <c r="A144" s="82" t="s">
        <v>47</v>
      </c>
      <c r="B144" s="495" t="s">
        <v>1941</v>
      </c>
      <c r="C144" s="517" t="s">
        <v>1942</v>
      </c>
      <c r="D144" s="199">
        <v>250</v>
      </c>
      <c r="E144" s="200"/>
      <c r="F144" s="200"/>
      <c r="G144" s="200"/>
      <c r="H144" s="200"/>
      <c r="I144" s="200"/>
      <c r="J144" s="200">
        <v>53.1</v>
      </c>
      <c r="K144" s="200"/>
      <c r="L144" s="200"/>
      <c r="M144" s="200"/>
      <c r="N144" s="200"/>
      <c r="O144" s="200"/>
      <c r="P144" s="200"/>
      <c r="Q144" s="226">
        <f t="shared" si="13"/>
        <v>53.1</v>
      </c>
      <c r="R144" s="146" t="str">
        <f t="shared" si="14"/>
        <v>NO</v>
      </c>
      <c r="S144" s="201" t="str">
        <f t="shared" si="15"/>
        <v>Alto</v>
      </c>
      <c r="T144" s="215"/>
    </row>
    <row r="145" spans="1:20" s="212" customFormat="1" ht="32.1" customHeight="1">
      <c r="A145" s="82" t="s">
        <v>47</v>
      </c>
      <c r="B145" s="495" t="s">
        <v>1943</v>
      </c>
      <c r="C145" s="517" t="s">
        <v>1944</v>
      </c>
      <c r="D145" s="199">
        <v>2332</v>
      </c>
      <c r="E145" s="200">
        <v>0</v>
      </c>
      <c r="F145" s="200">
        <v>0</v>
      </c>
      <c r="G145" s="200">
        <v>0</v>
      </c>
      <c r="H145" s="200"/>
      <c r="I145" s="200">
        <v>0</v>
      </c>
      <c r="J145" s="200">
        <v>0</v>
      </c>
      <c r="K145" s="200">
        <v>0</v>
      </c>
      <c r="L145" s="200">
        <v>0</v>
      </c>
      <c r="M145" s="200"/>
      <c r="N145" s="200"/>
      <c r="O145" s="200">
        <v>0</v>
      </c>
      <c r="P145" s="200"/>
      <c r="Q145" s="226">
        <f t="shared" si="13"/>
        <v>0</v>
      </c>
      <c r="R145" s="146" t="str">
        <f t="shared" si="14"/>
        <v>SI</v>
      </c>
      <c r="S145" s="201" t="str">
        <f t="shared" si="15"/>
        <v>Sin Riesgo</v>
      </c>
      <c r="T145" s="215"/>
    </row>
    <row r="146" spans="1:20" s="212" customFormat="1" ht="32.1" customHeight="1">
      <c r="A146" s="82" t="s">
        <v>47</v>
      </c>
      <c r="B146" s="495" t="s">
        <v>1945</v>
      </c>
      <c r="C146" s="517" t="s">
        <v>1946</v>
      </c>
      <c r="D146" s="199">
        <v>125</v>
      </c>
      <c r="E146" s="200"/>
      <c r="F146" s="200"/>
      <c r="G146" s="200"/>
      <c r="H146" s="200"/>
      <c r="I146" s="200"/>
      <c r="J146" s="200">
        <v>53.1</v>
      </c>
      <c r="K146" s="200"/>
      <c r="L146" s="200"/>
      <c r="M146" s="200"/>
      <c r="N146" s="200"/>
      <c r="O146" s="200"/>
      <c r="P146" s="200"/>
      <c r="Q146" s="226">
        <f t="shared" si="13"/>
        <v>53.1</v>
      </c>
      <c r="R146" s="146" t="str">
        <f t="shared" si="14"/>
        <v>NO</v>
      </c>
      <c r="S146" s="201" t="str">
        <f t="shared" si="15"/>
        <v>Alto</v>
      </c>
      <c r="T146" s="215"/>
    </row>
    <row r="147" spans="1:20" s="212" customFormat="1" ht="32.1" customHeight="1">
      <c r="A147" s="82" t="s">
        <v>47</v>
      </c>
      <c r="B147" s="495" t="s">
        <v>1947</v>
      </c>
      <c r="C147" s="517" t="s">
        <v>1948</v>
      </c>
      <c r="D147" s="199">
        <v>152</v>
      </c>
      <c r="E147" s="200"/>
      <c r="F147" s="200"/>
      <c r="G147" s="200"/>
      <c r="H147" s="200"/>
      <c r="I147" s="200"/>
      <c r="J147" s="200">
        <v>53.1</v>
      </c>
      <c r="K147" s="200"/>
      <c r="L147" s="200"/>
      <c r="M147" s="200"/>
      <c r="N147" s="200"/>
      <c r="O147" s="200"/>
      <c r="P147" s="200"/>
      <c r="Q147" s="226">
        <f t="shared" si="13"/>
        <v>53.1</v>
      </c>
      <c r="R147" s="146" t="str">
        <f t="shared" si="14"/>
        <v>NO</v>
      </c>
      <c r="S147" s="201" t="str">
        <f t="shared" si="15"/>
        <v>Alto</v>
      </c>
      <c r="T147" s="215"/>
    </row>
    <row r="148" spans="1:20" s="212" customFormat="1" ht="32.1" customHeight="1">
      <c r="A148" s="82" t="s">
        <v>47</v>
      </c>
      <c r="B148" s="495" t="s">
        <v>1949</v>
      </c>
      <c r="C148" s="517" t="s">
        <v>1950</v>
      </c>
      <c r="D148" s="199">
        <v>195</v>
      </c>
      <c r="E148" s="200"/>
      <c r="F148" s="200">
        <v>53.1</v>
      </c>
      <c r="G148" s="200"/>
      <c r="H148" s="200"/>
      <c r="I148" s="200"/>
      <c r="J148" s="200"/>
      <c r="K148" s="200"/>
      <c r="L148" s="200"/>
      <c r="M148" s="200"/>
      <c r="N148" s="200"/>
      <c r="O148" s="200"/>
      <c r="P148" s="200"/>
      <c r="Q148" s="226">
        <f t="shared" si="13"/>
        <v>53.1</v>
      </c>
      <c r="R148" s="146" t="str">
        <f t="shared" si="14"/>
        <v>NO</v>
      </c>
      <c r="S148" s="201" t="str">
        <f t="shared" si="15"/>
        <v>Alto</v>
      </c>
      <c r="T148" s="215"/>
    </row>
    <row r="149" spans="1:20" s="212" customFormat="1" ht="32.1" customHeight="1">
      <c r="A149" s="82" t="s">
        <v>47</v>
      </c>
      <c r="B149" s="495" t="s">
        <v>1951</v>
      </c>
      <c r="C149" s="517" t="s">
        <v>1952</v>
      </c>
      <c r="D149" s="119">
        <v>245</v>
      </c>
      <c r="E149" s="200"/>
      <c r="F149" s="200"/>
      <c r="G149" s="200"/>
      <c r="H149" s="200">
        <v>53.1</v>
      </c>
      <c r="I149" s="200"/>
      <c r="J149" s="200"/>
      <c r="K149" s="200"/>
      <c r="L149" s="200">
        <v>0</v>
      </c>
      <c r="M149" s="200"/>
      <c r="N149" s="200"/>
      <c r="O149" s="200"/>
      <c r="P149" s="200"/>
      <c r="Q149" s="226">
        <f t="shared" si="13"/>
        <v>26.55</v>
      </c>
      <c r="R149" s="146" t="str">
        <f t="shared" si="14"/>
        <v>NO</v>
      </c>
      <c r="S149" s="201" t="str">
        <f t="shared" si="15"/>
        <v>Medio</v>
      </c>
      <c r="T149" s="215"/>
    </row>
    <row r="150" spans="1:20" s="212" customFormat="1" ht="32.1" customHeight="1">
      <c r="A150" s="82" t="s">
        <v>47</v>
      </c>
      <c r="B150" s="495" t="s">
        <v>1953</v>
      </c>
      <c r="C150" s="517" t="s">
        <v>1954</v>
      </c>
      <c r="D150" s="199">
        <v>242</v>
      </c>
      <c r="E150" s="200"/>
      <c r="F150" s="200">
        <v>53.1</v>
      </c>
      <c r="G150" s="200"/>
      <c r="H150" s="200"/>
      <c r="I150" s="200"/>
      <c r="J150" s="200"/>
      <c r="K150" s="200"/>
      <c r="L150" s="200"/>
      <c r="M150" s="200"/>
      <c r="N150" s="200">
        <v>53.1</v>
      </c>
      <c r="O150" s="200"/>
      <c r="P150" s="200"/>
      <c r="Q150" s="226">
        <f t="shared" si="13"/>
        <v>53.1</v>
      </c>
      <c r="R150" s="146" t="str">
        <f t="shared" si="14"/>
        <v>NO</v>
      </c>
      <c r="S150" s="201" t="str">
        <f t="shared" si="15"/>
        <v>Alto</v>
      </c>
      <c r="T150" s="215"/>
    </row>
    <row r="151" spans="1:20" s="212" customFormat="1" ht="32.1" customHeight="1">
      <c r="A151" s="82" t="s">
        <v>47</v>
      </c>
      <c r="B151" s="495" t="s">
        <v>1955</v>
      </c>
      <c r="C151" s="517" t="s">
        <v>1956</v>
      </c>
      <c r="D151" s="119">
        <v>340</v>
      </c>
      <c r="E151" s="200"/>
      <c r="F151" s="200"/>
      <c r="G151" s="200"/>
      <c r="H151" s="200"/>
      <c r="I151" s="200"/>
      <c r="J151" s="200">
        <v>0</v>
      </c>
      <c r="K151" s="200"/>
      <c r="L151" s="200"/>
      <c r="M151" s="200"/>
      <c r="N151" s="200">
        <v>0</v>
      </c>
      <c r="O151" s="200"/>
      <c r="P151" s="200"/>
      <c r="Q151" s="226">
        <f t="shared" si="13"/>
        <v>0</v>
      </c>
      <c r="R151" s="146" t="str">
        <f t="shared" si="14"/>
        <v>SI</v>
      </c>
      <c r="S151" s="201" t="str">
        <f t="shared" si="15"/>
        <v>Sin Riesgo</v>
      </c>
      <c r="T151" s="215"/>
    </row>
    <row r="152" spans="1:20" s="212" customFormat="1" ht="32.1" customHeight="1">
      <c r="A152" s="82" t="s">
        <v>47</v>
      </c>
      <c r="B152" s="495" t="s">
        <v>1957</v>
      </c>
      <c r="C152" s="517" t="s">
        <v>1958</v>
      </c>
      <c r="D152" s="119">
        <v>240</v>
      </c>
      <c r="E152" s="200"/>
      <c r="F152" s="200"/>
      <c r="G152" s="200"/>
      <c r="H152" s="200"/>
      <c r="I152" s="200">
        <v>53.1</v>
      </c>
      <c r="J152" s="200"/>
      <c r="K152" s="200"/>
      <c r="L152" s="200"/>
      <c r="M152" s="200"/>
      <c r="N152" s="200"/>
      <c r="O152" s="200"/>
      <c r="P152" s="200"/>
      <c r="Q152" s="226">
        <f t="shared" si="13"/>
        <v>53.1</v>
      </c>
      <c r="R152" s="146" t="str">
        <f t="shared" si="14"/>
        <v>NO</v>
      </c>
      <c r="S152" s="201" t="str">
        <f t="shared" si="15"/>
        <v>Alto</v>
      </c>
      <c r="T152" s="215"/>
    </row>
    <row r="153" spans="1:20" s="212" customFormat="1" ht="32.1" customHeight="1">
      <c r="A153" s="82" t="s">
        <v>47</v>
      </c>
      <c r="B153" s="495" t="s">
        <v>1959</v>
      </c>
      <c r="C153" s="517" t="s">
        <v>1960</v>
      </c>
      <c r="D153" s="199">
        <v>196</v>
      </c>
      <c r="E153" s="200"/>
      <c r="F153" s="200"/>
      <c r="G153" s="200">
        <v>53.1</v>
      </c>
      <c r="H153" s="200"/>
      <c r="I153" s="200"/>
      <c r="J153" s="200"/>
      <c r="K153" s="200"/>
      <c r="L153" s="200"/>
      <c r="M153" s="200"/>
      <c r="N153" s="200"/>
      <c r="O153" s="200"/>
      <c r="P153" s="200"/>
      <c r="Q153" s="226">
        <f t="shared" si="13"/>
        <v>53.1</v>
      </c>
      <c r="R153" s="146" t="str">
        <f t="shared" si="14"/>
        <v>NO</v>
      </c>
      <c r="S153" s="201" t="str">
        <f t="shared" si="15"/>
        <v>Alto</v>
      </c>
      <c r="T153" s="215"/>
    </row>
    <row r="154" spans="1:20" s="212" customFormat="1" ht="32.1" customHeight="1">
      <c r="A154" s="82" t="s">
        <v>47</v>
      </c>
      <c r="B154" s="495" t="s">
        <v>10</v>
      </c>
      <c r="C154" s="517" t="s">
        <v>1961</v>
      </c>
      <c r="D154" s="199">
        <v>260</v>
      </c>
      <c r="E154" s="200"/>
      <c r="F154" s="200"/>
      <c r="G154" s="200"/>
      <c r="H154" s="200">
        <v>53.1</v>
      </c>
      <c r="I154" s="200"/>
      <c r="J154" s="200"/>
      <c r="K154" s="200"/>
      <c r="L154" s="200">
        <v>53.1</v>
      </c>
      <c r="M154" s="200"/>
      <c r="N154" s="200"/>
      <c r="O154" s="200"/>
      <c r="P154" s="200"/>
      <c r="Q154" s="226">
        <f t="shared" si="13"/>
        <v>53.1</v>
      </c>
      <c r="R154" s="146" t="str">
        <f t="shared" si="14"/>
        <v>NO</v>
      </c>
      <c r="S154" s="201" t="str">
        <f t="shared" si="15"/>
        <v>Alto</v>
      </c>
      <c r="T154" s="215"/>
    </row>
    <row r="155" spans="1:20" s="117" customFormat="1" ht="32.1" customHeight="1">
      <c r="A155" s="82" t="s">
        <v>166</v>
      </c>
      <c r="B155" s="522" t="s">
        <v>2057</v>
      </c>
      <c r="C155" s="519" t="s">
        <v>2058</v>
      </c>
      <c r="D155" s="119">
        <v>51</v>
      </c>
      <c r="E155" s="200"/>
      <c r="F155" s="200"/>
      <c r="G155" s="200"/>
      <c r="H155" s="200">
        <v>97.3</v>
      </c>
      <c r="I155" s="200"/>
      <c r="J155" s="200"/>
      <c r="K155" s="200"/>
      <c r="L155" s="200"/>
      <c r="M155" s="200"/>
      <c r="N155" s="200"/>
      <c r="O155" s="200"/>
      <c r="P155" s="200"/>
      <c r="Q155" s="226">
        <f t="shared" si="13"/>
        <v>97.3</v>
      </c>
      <c r="R155" s="146" t="s">
        <v>1114</v>
      </c>
      <c r="S155" s="201" t="str">
        <f t="shared" si="15"/>
        <v>Inviable Sanitariamente</v>
      </c>
      <c r="T155" s="217"/>
    </row>
    <row r="156" spans="1:20" s="117" customFormat="1" ht="32.1" customHeight="1">
      <c r="A156" s="82" t="s">
        <v>166</v>
      </c>
      <c r="B156" s="522" t="s">
        <v>2059</v>
      </c>
      <c r="C156" s="519" t="s">
        <v>2060</v>
      </c>
      <c r="D156" s="119">
        <v>146</v>
      </c>
      <c r="E156" s="200"/>
      <c r="F156" s="200">
        <v>97.3</v>
      </c>
      <c r="G156" s="200"/>
      <c r="H156" s="200"/>
      <c r="I156" s="200"/>
      <c r="J156" s="200"/>
      <c r="K156" s="200"/>
      <c r="L156" s="200"/>
      <c r="M156" s="200"/>
      <c r="N156" s="200"/>
      <c r="O156" s="200"/>
      <c r="P156" s="200"/>
      <c r="Q156" s="226">
        <f t="shared" si="13"/>
        <v>97.3</v>
      </c>
      <c r="R156" s="146" t="s">
        <v>1114</v>
      </c>
      <c r="S156" s="201" t="str">
        <f t="shared" si="15"/>
        <v>Inviable Sanitariamente</v>
      </c>
      <c r="T156" s="217"/>
    </row>
    <row r="157" spans="1:20" s="117" customFormat="1" ht="32.1" customHeight="1">
      <c r="A157" s="82" t="s">
        <v>166</v>
      </c>
      <c r="B157" s="522" t="s">
        <v>2061</v>
      </c>
      <c r="C157" s="519" t="s">
        <v>2062</v>
      </c>
      <c r="D157" s="119">
        <v>11</v>
      </c>
      <c r="E157" s="200"/>
      <c r="F157" s="200">
        <v>97.3</v>
      </c>
      <c r="G157" s="200"/>
      <c r="H157" s="200"/>
      <c r="I157" s="200"/>
      <c r="J157" s="200"/>
      <c r="K157" s="200"/>
      <c r="L157" s="200"/>
      <c r="M157" s="200"/>
      <c r="N157" s="200"/>
      <c r="O157" s="200"/>
      <c r="P157" s="200"/>
      <c r="Q157" s="226">
        <f t="shared" si="13"/>
        <v>97.3</v>
      </c>
      <c r="R157" s="146" t="s">
        <v>1114</v>
      </c>
      <c r="S157" s="201" t="str">
        <f t="shared" si="15"/>
        <v>Inviable Sanitariamente</v>
      </c>
      <c r="T157" s="217"/>
    </row>
    <row r="158" spans="1:20" s="117" customFormat="1" ht="32.1" customHeight="1">
      <c r="A158" s="82" t="s">
        <v>166</v>
      </c>
      <c r="B158" s="522" t="s">
        <v>2063</v>
      </c>
      <c r="C158" s="519" t="s">
        <v>2064</v>
      </c>
      <c r="D158" s="119">
        <v>130</v>
      </c>
      <c r="E158" s="200"/>
      <c r="F158" s="200"/>
      <c r="G158" s="200">
        <v>97.3</v>
      </c>
      <c r="H158" s="200"/>
      <c r="I158" s="200"/>
      <c r="J158" s="200"/>
      <c r="K158" s="200"/>
      <c r="L158" s="200"/>
      <c r="M158" s="200"/>
      <c r="N158" s="200"/>
      <c r="O158" s="200"/>
      <c r="P158" s="200"/>
      <c r="Q158" s="226">
        <f t="shared" si="13"/>
        <v>97.3</v>
      </c>
      <c r="R158" s="146" t="s">
        <v>1114</v>
      </c>
      <c r="S158" s="201" t="str">
        <f t="shared" si="15"/>
        <v>Inviable Sanitariamente</v>
      </c>
      <c r="T158" s="217"/>
    </row>
    <row r="159" spans="1:20" s="117" customFormat="1" ht="32.1" customHeight="1">
      <c r="A159" s="82" t="s">
        <v>166</v>
      </c>
      <c r="B159" s="522" t="s">
        <v>2065</v>
      </c>
      <c r="C159" s="519" t="s">
        <v>2066</v>
      </c>
      <c r="D159" s="119">
        <v>16</v>
      </c>
      <c r="E159" s="200"/>
      <c r="F159" s="200"/>
      <c r="G159" s="200"/>
      <c r="H159" s="200"/>
      <c r="I159" s="200">
        <v>97.3</v>
      </c>
      <c r="J159" s="200"/>
      <c r="K159" s="200"/>
      <c r="L159" s="200"/>
      <c r="M159" s="200"/>
      <c r="N159" s="200"/>
      <c r="O159" s="200"/>
      <c r="P159" s="200"/>
      <c r="Q159" s="226">
        <f t="shared" si="13"/>
        <v>97.3</v>
      </c>
      <c r="R159" s="146" t="s">
        <v>1114</v>
      </c>
      <c r="S159" s="201" t="str">
        <f t="shared" si="15"/>
        <v>Inviable Sanitariamente</v>
      </c>
      <c r="T159" s="217"/>
    </row>
    <row r="160" spans="1:20" s="117" customFormat="1" ht="32.1" customHeight="1">
      <c r="A160" s="82" t="s">
        <v>166</v>
      </c>
      <c r="B160" s="522" t="s">
        <v>2067</v>
      </c>
      <c r="C160" s="519" t="s">
        <v>2068</v>
      </c>
      <c r="D160" s="119">
        <v>16</v>
      </c>
      <c r="E160" s="200"/>
      <c r="F160" s="200"/>
      <c r="G160" s="200"/>
      <c r="H160" s="200"/>
      <c r="I160" s="200">
        <v>97.3</v>
      </c>
      <c r="J160" s="200"/>
      <c r="K160" s="200"/>
      <c r="L160" s="200"/>
      <c r="M160" s="200"/>
      <c r="N160" s="200"/>
      <c r="O160" s="200"/>
      <c r="P160" s="200"/>
      <c r="Q160" s="226">
        <f t="shared" si="13"/>
        <v>97.3</v>
      </c>
      <c r="R160" s="146" t="s">
        <v>1114</v>
      </c>
      <c r="S160" s="201" t="str">
        <f t="shared" si="15"/>
        <v>Inviable Sanitariamente</v>
      </c>
      <c r="T160" s="217"/>
    </row>
    <row r="161" spans="1:20" s="117" customFormat="1" ht="32.1" customHeight="1">
      <c r="A161" s="82" t="s">
        <v>166</v>
      </c>
      <c r="B161" s="522" t="s">
        <v>733</v>
      </c>
      <c r="C161" s="519" t="s">
        <v>2069</v>
      </c>
      <c r="D161" s="119"/>
      <c r="E161" s="200"/>
      <c r="F161" s="200"/>
      <c r="G161" s="200"/>
      <c r="H161" s="200"/>
      <c r="I161" s="200"/>
      <c r="J161" s="200"/>
      <c r="K161" s="200"/>
      <c r="L161" s="200"/>
      <c r="M161" s="200"/>
      <c r="N161" s="200"/>
      <c r="O161" s="200"/>
      <c r="P161" s="200"/>
      <c r="Q161" s="226" t="e">
        <f t="shared" si="13"/>
        <v>#DIV/0!</v>
      </c>
      <c r="R161" s="146" t="s">
        <v>1114</v>
      </c>
      <c r="S161" s="201" t="e">
        <f t="shared" si="15"/>
        <v>#DIV/0!</v>
      </c>
      <c r="T161" s="217"/>
    </row>
    <row r="162" spans="1:20" s="117" customFormat="1" ht="32.1" customHeight="1">
      <c r="A162" s="82" t="s">
        <v>166</v>
      </c>
      <c r="B162" s="522" t="s">
        <v>2070</v>
      </c>
      <c r="C162" s="519" t="s">
        <v>2071</v>
      </c>
      <c r="D162" s="114">
        <v>48</v>
      </c>
      <c r="E162" s="200"/>
      <c r="F162" s="200"/>
      <c r="G162" s="200">
        <v>97.3</v>
      </c>
      <c r="H162" s="200"/>
      <c r="I162" s="200"/>
      <c r="J162" s="200"/>
      <c r="K162" s="200"/>
      <c r="L162" s="200"/>
      <c r="M162" s="200"/>
      <c r="N162" s="200"/>
      <c r="O162" s="200"/>
      <c r="P162" s="200"/>
      <c r="Q162" s="226">
        <f t="shared" si="13"/>
        <v>97.3</v>
      </c>
      <c r="R162" s="146" t="s">
        <v>1114</v>
      </c>
      <c r="S162" s="201" t="str">
        <f t="shared" si="15"/>
        <v>Inviable Sanitariamente</v>
      </c>
      <c r="T162" s="217"/>
    </row>
    <row r="163" spans="1:20" s="117" customFormat="1" ht="32.1" customHeight="1">
      <c r="A163" s="82" t="s">
        <v>166</v>
      </c>
      <c r="B163" s="522" t="s">
        <v>48</v>
      </c>
      <c r="C163" s="519" t="s">
        <v>2072</v>
      </c>
      <c r="D163" s="119">
        <v>15</v>
      </c>
      <c r="E163" s="200"/>
      <c r="F163" s="200"/>
      <c r="G163" s="200">
        <v>97.3</v>
      </c>
      <c r="H163" s="200"/>
      <c r="I163" s="200"/>
      <c r="J163" s="200"/>
      <c r="K163" s="200"/>
      <c r="L163" s="200"/>
      <c r="M163" s="200"/>
      <c r="N163" s="200"/>
      <c r="O163" s="200"/>
      <c r="P163" s="200"/>
      <c r="Q163" s="226">
        <f t="shared" si="13"/>
        <v>97.3</v>
      </c>
      <c r="R163" s="146" t="s">
        <v>1114</v>
      </c>
      <c r="S163" s="201" t="str">
        <f t="shared" si="15"/>
        <v>Inviable Sanitariamente</v>
      </c>
      <c r="T163" s="217"/>
    </row>
    <row r="164" spans="1:20" s="117" customFormat="1" ht="32.1" customHeight="1">
      <c r="A164" s="82" t="s">
        <v>166</v>
      </c>
      <c r="B164" s="522" t="s">
        <v>2073</v>
      </c>
      <c r="C164" s="519" t="s">
        <v>2074</v>
      </c>
      <c r="D164" s="119"/>
      <c r="E164" s="200"/>
      <c r="F164" s="200"/>
      <c r="G164" s="200"/>
      <c r="H164" s="200"/>
      <c r="I164" s="200"/>
      <c r="J164" s="200"/>
      <c r="K164" s="200"/>
      <c r="L164" s="200"/>
      <c r="M164" s="200"/>
      <c r="N164" s="200"/>
      <c r="O164" s="200"/>
      <c r="P164" s="200"/>
      <c r="Q164" s="226" t="e">
        <f t="shared" si="13"/>
        <v>#DIV/0!</v>
      </c>
      <c r="R164" s="146" t="s">
        <v>1114</v>
      </c>
      <c r="S164" s="201" t="e">
        <f t="shared" si="15"/>
        <v>#DIV/0!</v>
      </c>
      <c r="T164" s="217"/>
    </row>
    <row r="165" spans="1:20" s="117" customFormat="1" ht="32.1" customHeight="1">
      <c r="A165" s="82" t="s">
        <v>166</v>
      </c>
      <c r="B165" s="522" t="s">
        <v>2075</v>
      </c>
      <c r="C165" s="519" t="s">
        <v>2076</v>
      </c>
      <c r="D165" s="114">
        <v>18</v>
      </c>
      <c r="E165" s="200"/>
      <c r="F165" s="200"/>
      <c r="G165" s="200"/>
      <c r="H165" s="200">
        <v>97.3</v>
      </c>
      <c r="I165" s="200"/>
      <c r="J165" s="200"/>
      <c r="K165" s="200"/>
      <c r="L165" s="200"/>
      <c r="M165" s="200"/>
      <c r="N165" s="200"/>
      <c r="O165" s="200"/>
      <c r="P165" s="200"/>
      <c r="Q165" s="226">
        <f t="shared" si="13"/>
        <v>97.3</v>
      </c>
      <c r="R165" s="146" t="s">
        <v>1114</v>
      </c>
      <c r="S165" s="201" t="str">
        <f t="shared" si="15"/>
        <v>Inviable Sanitariamente</v>
      </c>
      <c r="T165" s="217"/>
    </row>
    <row r="166" spans="1:20" s="117" customFormat="1" ht="32.1" customHeight="1">
      <c r="A166" s="82" t="s">
        <v>166</v>
      </c>
      <c r="B166" s="522" t="s">
        <v>49</v>
      </c>
      <c r="C166" s="519" t="s">
        <v>2077</v>
      </c>
      <c r="D166" s="119">
        <v>18</v>
      </c>
      <c r="E166" s="200"/>
      <c r="F166" s="200"/>
      <c r="G166" s="200"/>
      <c r="H166" s="200">
        <v>97.3</v>
      </c>
      <c r="I166" s="200"/>
      <c r="J166" s="200"/>
      <c r="K166" s="200"/>
      <c r="L166" s="200"/>
      <c r="M166" s="200"/>
      <c r="N166" s="200"/>
      <c r="O166" s="200"/>
      <c r="P166" s="200"/>
      <c r="Q166" s="226">
        <f t="shared" si="13"/>
        <v>97.3</v>
      </c>
      <c r="R166" s="146" t="s">
        <v>1114</v>
      </c>
      <c r="S166" s="201" t="str">
        <f t="shared" si="15"/>
        <v>Inviable Sanitariamente</v>
      </c>
      <c r="T166" s="217"/>
    </row>
    <row r="167" spans="1:20" ht="32.1" customHeight="1">
      <c r="A167" s="82" t="s">
        <v>166</v>
      </c>
      <c r="B167" s="110" t="s">
        <v>2078</v>
      </c>
      <c r="C167" s="527" t="s">
        <v>2079</v>
      </c>
      <c r="D167" s="119"/>
      <c r="E167" s="200"/>
      <c r="F167" s="200"/>
      <c r="G167" s="200"/>
      <c r="H167" s="200"/>
      <c r="I167" s="200"/>
      <c r="J167" s="200"/>
      <c r="K167" s="200"/>
      <c r="L167" s="200"/>
      <c r="M167" s="200"/>
      <c r="N167" s="200"/>
      <c r="O167" s="200"/>
      <c r="P167" s="200"/>
      <c r="Q167" s="226" t="e">
        <f t="shared" si="13"/>
        <v>#DIV/0!</v>
      </c>
      <c r="R167" s="146" t="s">
        <v>1114</v>
      </c>
      <c r="S167" s="201" t="e">
        <f t="shared" si="15"/>
        <v>#DIV/0!</v>
      </c>
      <c r="T167" s="16"/>
    </row>
    <row r="168" spans="1:20" ht="32.1" customHeight="1">
      <c r="A168" s="82" t="s">
        <v>166</v>
      </c>
      <c r="B168" s="110" t="s">
        <v>1425</v>
      </c>
      <c r="C168" s="527" t="s">
        <v>2080</v>
      </c>
      <c r="D168" s="114"/>
      <c r="E168" s="200"/>
      <c r="F168" s="200"/>
      <c r="G168" s="200"/>
      <c r="H168" s="200"/>
      <c r="I168" s="200"/>
      <c r="J168" s="200"/>
      <c r="K168" s="200"/>
      <c r="L168" s="200"/>
      <c r="M168" s="200"/>
      <c r="N168" s="200"/>
      <c r="O168" s="200"/>
      <c r="P168" s="200"/>
      <c r="Q168" s="226" t="e">
        <f t="shared" si="13"/>
        <v>#DIV/0!</v>
      </c>
      <c r="R168" s="146" t="s">
        <v>1114</v>
      </c>
      <c r="S168" s="201" t="e">
        <f t="shared" si="15"/>
        <v>#DIV/0!</v>
      </c>
      <c r="T168" s="16"/>
    </row>
    <row r="169" spans="1:20" ht="32.1" customHeight="1">
      <c r="A169" s="82" t="s">
        <v>166</v>
      </c>
      <c r="B169" s="110" t="s">
        <v>2081</v>
      </c>
      <c r="C169" s="527" t="s">
        <v>2082</v>
      </c>
      <c r="D169" s="119"/>
      <c r="E169" s="200"/>
      <c r="F169" s="200"/>
      <c r="G169" s="200"/>
      <c r="H169" s="200"/>
      <c r="I169" s="200"/>
      <c r="J169" s="200"/>
      <c r="K169" s="200"/>
      <c r="L169" s="200"/>
      <c r="M169" s="200"/>
      <c r="N169" s="200"/>
      <c r="O169" s="200"/>
      <c r="P169" s="200"/>
      <c r="Q169" s="226" t="e">
        <f t="shared" si="13"/>
        <v>#DIV/0!</v>
      </c>
      <c r="R169" s="146" t="e">
        <f t="shared" ref="R169:R233" si="16">IF(Q169&lt;5,"SI","NO")</f>
        <v>#DIV/0!</v>
      </c>
      <c r="S169" s="201" t="e">
        <f t="shared" si="15"/>
        <v>#DIV/0!</v>
      </c>
      <c r="T169" s="16"/>
    </row>
    <row r="170" spans="1:20" ht="32.1" customHeight="1">
      <c r="A170" s="82" t="s">
        <v>166</v>
      </c>
      <c r="B170" s="110" t="s">
        <v>2083</v>
      </c>
      <c r="C170" s="527" t="s">
        <v>2084</v>
      </c>
      <c r="D170" s="119"/>
      <c r="E170" s="200"/>
      <c r="F170" s="200"/>
      <c r="G170" s="200"/>
      <c r="H170" s="200"/>
      <c r="I170" s="200"/>
      <c r="J170" s="200"/>
      <c r="K170" s="200"/>
      <c r="L170" s="200"/>
      <c r="M170" s="200"/>
      <c r="N170" s="200"/>
      <c r="O170" s="200"/>
      <c r="P170" s="200"/>
      <c r="Q170" s="226" t="e">
        <f t="shared" si="13"/>
        <v>#DIV/0!</v>
      </c>
      <c r="R170" s="146" t="e">
        <f t="shared" si="16"/>
        <v>#DIV/0!</v>
      </c>
      <c r="S170" s="201" t="e">
        <f t="shared" si="15"/>
        <v>#DIV/0!</v>
      </c>
      <c r="T170" s="16"/>
    </row>
    <row r="171" spans="1:20" ht="32.1" customHeight="1">
      <c r="A171" s="82" t="s">
        <v>167</v>
      </c>
      <c r="B171" s="522" t="s">
        <v>2123</v>
      </c>
      <c r="C171" s="519" t="s">
        <v>2124</v>
      </c>
      <c r="D171" s="199">
        <v>70</v>
      </c>
      <c r="E171" s="200"/>
      <c r="F171" s="200"/>
      <c r="G171" s="200"/>
      <c r="H171" s="200"/>
      <c r="I171" s="200"/>
      <c r="J171" s="200">
        <v>0</v>
      </c>
      <c r="K171" s="200"/>
      <c r="L171" s="200"/>
      <c r="M171" s="200"/>
      <c r="N171" s="200"/>
      <c r="O171" s="200"/>
      <c r="P171" s="200"/>
      <c r="Q171" s="226">
        <f t="shared" si="13"/>
        <v>0</v>
      </c>
      <c r="R171" s="146" t="str">
        <f t="shared" si="16"/>
        <v>SI</v>
      </c>
      <c r="S171" s="201" t="str">
        <f t="shared" si="15"/>
        <v>Sin Riesgo</v>
      </c>
      <c r="T171" s="16"/>
    </row>
    <row r="172" spans="1:20" ht="32.1" customHeight="1">
      <c r="A172" s="82" t="s">
        <v>167</v>
      </c>
      <c r="B172" s="522" t="s">
        <v>3</v>
      </c>
      <c r="C172" s="519" t="s">
        <v>2125</v>
      </c>
      <c r="D172" s="199">
        <v>15</v>
      </c>
      <c r="E172" s="200"/>
      <c r="F172" s="200"/>
      <c r="G172" s="200"/>
      <c r="H172" s="200"/>
      <c r="I172" s="200"/>
      <c r="J172" s="200">
        <v>0</v>
      </c>
      <c r="K172" s="200"/>
      <c r="L172" s="200"/>
      <c r="M172" s="200"/>
      <c r="N172" s="200"/>
      <c r="O172" s="200"/>
      <c r="P172" s="200"/>
      <c r="Q172" s="226">
        <f t="shared" si="13"/>
        <v>0</v>
      </c>
      <c r="R172" s="146" t="str">
        <f t="shared" si="16"/>
        <v>SI</v>
      </c>
      <c r="S172" s="201" t="str">
        <f t="shared" si="15"/>
        <v>Sin Riesgo</v>
      </c>
      <c r="T172" s="16"/>
    </row>
    <row r="173" spans="1:20" ht="32.1" customHeight="1">
      <c r="A173" s="82" t="s">
        <v>167</v>
      </c>
      <c r="B173" s="522" t="s">
        <v>2126</v>
      </c>
      <c r="C173" s="519" t="s">
        <v>2127</v>
      </c>
      <c r="D173" s="119">
        <v>116</v>
      </c>
      <c r="E173" s="200"/>
      <c r="F173" s="200">
        <v>53.1</v>
      </c>
      <c r="G173" s="200"/>
      <c r="H173" s="200"/>
      <c r="I173" s="200"/>
      <c r="J173" s="200"/>
      <c r="K173" s="200"/>
      <c r="L173" s="200"/>
      <c r="M173" s="200"/>
      <c r="N173" s="200"/>
      <c r="O173" s="200"/>
      <c r="P173" s="200"/>
      <c r="Q173" s="226">
        <f t="shared" si="13"/>
        <v>53.1</v>
      </c>
      <c r="R173" s="146" t="str">
        <f t="shared" si="16"/>
        <v>NO</v>
      </c>
      <c r="S173" s="201" t="str">
        <f t="shared" si="15"/>
        <v>Alto</v>
      </c>
      <c r="T173" s="16"/>
    </row>
    <row r="174" spans="1:20" ht="32.1" customHeight="1">
      <c r="A174" s="82" t="s">
        <v>167</v>
      </c>
      <c r="B174" s="522" t="s">
        <v>668</v>
      </c>
      <c r="C174" s="519" t="s">
        <v>2128</v>
      </c>
      <c r="D174" s="119">
        <v>30</v>
      </c>
      <c r="E174" s="200"/>
      <c r="F174" s="200"/>
      <c r="G174" s="200"/>
      <c r="H174" s="200"/>
      <c r="I174" s="200"/>
      <c r="J174" s="200">
        <v>53.1</v>
      </c>
      <c r="K174" s="200"/>
      <c r="L174" s="200"/>
      <c r="M174" s="200"/>
      <c r="N174" s="200"/>
      <c r="O174" s="200"/>
      <c r="P174" s="200"/>
      <c r="Q174" s="226">
        <f t="shared" si="13"/>
        <v>53.1</v>
      </c>
      <c r="R174" s="146" t="str">
        <f t="shared" si="16"/>
        <v>NO</v>
      </c>
      <c r="S174" s="201" t="str">
        <f t="shared" si="15"/>
        <v>Alto</v>
      </c>
      <c r="T174" s="16"/>
    </row>
    <row r="175" spans="1:20" ht="39" customHeight="1">
      <c r="A175" s="82" t="s">
        <v>167</v>
      </c>
      <c r="B175" s="522" t="s">
        <v>2129</v>
      </c>
      <c r="C175" s="519" t="s">
        <v>2130</v>
      </c>
      <c r="D175" s="119">
        <v>207</v>
      </c>
      <c r="E175" s="200">
        <v>0</v>
      </c>
      <c r="F175" s="200">
        <v>0</v>
      </c>
      <c r="G175" s="200"/>
      <c r="H175" s="200">
        <v>0</v>
      </c>
      <c r="I175" s="200"/>
      <c r="J175" s="200"/>
      <c r="K175" s="200"/>
      <c r="L175" s="200"/>
      <c r="M175" s="200">
        <v>0</v>
      </c>
      <c r="N175" s="200"/>
      <c r="O175" s="200"/>
      <c r="P175" s="200"/>
      <c r="Q175" s="226">
        <f t="shared" si="13"/>
        <v>0</v>
      </c>
      <c r="R175" s="146" t="str">
        <f t="shared" si="16"/>
        <v>SI</v>
      </c>
      <c r="S175" s="201" t="str">
        <f t="shared" si="15"/>
        <v>Sin Riesgo</v>
      </c>
      <c r="T175" s="16"/>
    </row>
    <row r="176" spans="1:20" ht="42.75" customHeight="1">
      <c r="A176" s="82" t="s">
        <v>167</v>
      </c>
      <c r="B176" s="522" t="s">
        <v>2129</v>
      </c>
      <c r="C176" s="519" t="s">
        <v>2131</v>
      </c>
      <c r="D176" s="119">
        <v>104</v>
      </c>
      <c r="E176" s="200">
        <v>0</v>
      </c>
      <c r="F176" s="200">
        <v>0</v>
      </c>
      <c r="G176" s="200"/>
      <c r="H176" s="200">
        <v>0</v>
      </c>
      <c r="I176" s="200"/>
      <c r="J176" s="200"/>
      <c r="K176" s="200"/>
      <c r="L176" s="200"/>
      <c r="M176" s="200">
        <v>0</v>
      </c>
      <c r="N176" s="200"/>
      <c r="O176" s="200"/>
      <c r="P176" s="200"/>
      <c r="Q176" s="226">
        <f t="shared" si="13"/>
        <v>0</v>
      </c>
      <c r="R176" s="146" t="str">
        <f t="shared" si="16"/>
        <v>SI</v>
      </c>
      <c r="S176" s="201" t="str">
        <f t="shared" si="15"/>
        <v>Sin Riesgo</v>
      </c>
      <c r="T176" s="16"/>
    </row>
    <row r="177" spans="1:20" ht="32.1" customHeight="1">
      <c r="A177" s="82" t="s">
        <v>167</v>
      </c>
      <c r="B177" s="522" t="s">
        <v>2132</v>
      </c>
      <c r="C177" s="519" t="s">
        <v>2133</v>
      </c>
      <c r="D177" s="119">
        <v>136</v>
      </c>
      <c r="E177" s="200">
        <v>0</v>
      </c>
      <c r="F177" s="200">
        <v>0</v>
      </c>
      <c r="G177" s="200"/>
      <c r="H177" s="200"/>
      <c r="I177" s="200"/>
      <c r="J177" s="200"/>
      <c r="K177" s="200"/>
      <c r="L177" s="200"/>
      <c r="M177" s="200">
        <v>0</v>
      </c>
      <c r="N177" s="200"/>
      <c r="O177" s="200"/>
      <c r="P177" s="200"/>
      <c r="Q177" s="226">
        <f t="shared" si="13"/>
        <v>0</v>
      </c>
      <c r="R177" s="146" t="str">
        <f t="shared" si="16"/>
        <v>SI</v>
      </c>
      <c r="S177" s="201" t="str">
        <f t="shared" si="15"/>
        <v>Sin Riesgo</v>
      </c>
      <c r="T177" s="16"/>
    </row>
    <row r="178" spans="1:20" ht="32.1" customHeight="1">
      <c r="A178" s="82" t="s">
        <v>167</v>
      </c>
      <c r="B178" s="522" t="s">
        <v>2134</v>
      </c>
      <c r="C178" s="519" t="s">
        <v>2135</v>
      </c>
      <c r="D178" s="119"/>
      <c r="E178" s="200"/>
      <c r="F178" s="200"/>
      <c r="G178" s="200"/>
      <c r="H178" s="200"/>
      <c r="I178" s="200"/>
      <c r="J178" s="200"/>
      <c r="K178" s="200"/>
      <c r="L178" s="200"/>
      <c r="M178" s="200"/>
      <c r="N178" s="200"/>
      <c r="O178" s="200"/>
      <c r="P178" s="200"/>
      <c r="Q178" s="226" t="e">
        <f t="shared" si="13"/>
        <v>#DIV/0!</v>
      </c>
      <c r="R178" s="146" t="e">
        <f t="shared" si="16"/>
        <v>#DIV/0!</v>
      </c>
      <c r="S178" s="201" t="e">
        <f t="shared" si="15"/>
        <v>#DIV/0!</v>
      </c>
      <c r="T178" s="16"/>
    </row>
    <row r="179" spans="1:20" ht="32.1" customHeight="1">
      <c r="A179" s="82" t="s">
        <v>167</v>
      </c>
      <c r="B179" s="522" t="s">
        <v>2134</v>
      </c>
      <c r="C179" s="519" t="s">
        <v>2136</v>
      </c>
      <c r="D179" s="114"/>
      <c r="E179" s="200"/>
      <c r="F179" s="200"/>
      <c r="G179" s="200"/>
      <c r="H179" s="200"/>
      <c r="I179" s="200"/>
      <c r="J179" s="200"/>
      <c r="K179" s="200"/>
      <c r="L179" s="200"/>
      <c r="M179" s="200"/>
      <c r="N179" s="200"/>
      <c r="O179" s="200"/>
      <c r="P179" s="200"/>
      <c r="Q179" s="226" t="e">
        <f t="shared" si="13"/>
        <v>#DIV/0!</v>
      </c>
      <c r="R179" s="146" t="e">
        <f t="shared" si="16"/>
        <v>#DIV/0!</v>
      </c>
      <c r="S179" s="201" t="e">
        <f t="shared" si="15"/>
        <v>#DIV/0!</v>
      </c>
      <c r="T179" s="16"/>
    </row>
    <row r="180" spans="1:20" ht="32.1" customHeight="1">
      <c r="A180" s="82" t="s">
        <v>167</v>
      </c>
      <c r="B180" s="522" t="s">
        <v>2137</v>
      </c>
      <c r="C180" s="519" t="s">
        <v>2138</v>
      </c>
      <c r="D180" s="199">
        <v>20</v>
      </c>
      <c r="E180" s="200"/>
      <c r="F180" s="200">
        <v>97.3</v>
      </c>
      <c r="G180" s="200"/>
      <c r="H180" s="200"/>
      <c r="I180" s="200"/>
      <c r="J180" s="200"/>
      <c r="K180" s="200"/>
      <c r="L180" s="200"/>
      <c r="M180" s="200"/>
      <c r="N180" s="200">
        <v>97.3</v>
      </c>
      <c r="O180" s="200"/>
      <c r="P180" s="200"/>
      <c r="Q180" s="226">
        <f t="shared" si="13"/>
        <v>97.3</v>
      </c>
      <c r="R180" s="146" t="str">
        <f t="shared" si="16"/>
        <v>NO</v>
      </c>
      <c r="S180" s="201" t="str">
        <f t="shared" si="15"/>
        <v>Inviable Sanitariamente</v>
      </c>
      <c r="T180" s="16"/>
    </row>
    <row r="181" spans="1:20" ht="32.1" customHeight="1">
      <c r="A181" s="82" t="s">
        <v>167</v>
      </c>
      <c r="B181" s="522" t="s">
        <v>2139</v>
      </c>
      <c r="C181" s="519" t="s">
        <v>2140</v>
      </c>
      <c r="D181" s="207">
        <v>43</v>
      </c>
      <c r="E181" s="200"/>
      <c r="F181" s="200">
        <v>97.3</v>
      </c>
      <c r="G181" s="200"/>
      <c r="H181" s="200"/>
      <c r="I181" s="200"/>
      <c r="J181" s="200"/>
      <c r="K181" s="200"/>
      <c r="L181" s="200"/>
      <c r="M181" s="200"/>
      <c r="N181" s="200">
        <v>97.3</v>
      </c>
      <c r="O181" s="200"/>
      <c r="P181" s="200"/>
      <c r="Q181" s="226">
        <f t="shared" si="13"/>
        <v>97.3</v>
      </c>
      <c r="R181" s="146" t="str">
        <f t="shared" si="16"/>
        <v>NO</v>
      </c>
      <c r="S181" s="201" t="str">
        <f t="shared" si="15"/>
        <v>Inviable Sanitariamente</v>
      </c>
      <c r="T181" s="16"/>
    </row>
    <row r="182" spans="1:20" ht="32.1" customHeight="1">
      <c r="A182" s="82" t="s">
        <v>167</v>
      </c>
      <c r="B182" s="522" t="s">
        <v>2141</v>
      </c>
      <c r="C182" s="527" t="s">
        <v>2142</v>
      </c>
      <c r="D182" s="199">
        <v>160</v>
      </c>
      <c r="E182" s="200"/>
      <c r="F182" s="200">
        <v>53.1</v>
      </c>
      <c r="G182" s="200"/>
      <c r="H182" s="200"/>
      <c r="I182" s="200"/>
      <c r="J182" s="200"/>
      <c r="K182" s="200"/>
      <c r="L182" s="200"/>
      <c r="M182" s="200"/>
      <c r="N182" s="200"/>
      <c r="O182" s="200"/>
      <c r="P182" s="200"/>
      <c r="Q182" s="226">
        <f t="shared" si="13"/>
        <v>53.1</v>
      </c>
      <c r="R182" s="146" t="str">
        <f t="shared" si="16"/>
        <v>NO</v>
      </c>
      <c r="S182" s="201" t="str">
        <f t="shared" si="15"/>
        <v>Alto</v>
      </c>
      <c r="T182" s="16"/>
    </row>
    <row r="183" spans="1:20" ht="32.1" customHeight="1">
      <c r="A183" s="82" t="s">
        <v>167</v>
      </c>
      <c r="B183" s="522" t="s">
        <v>2143</v>
      </c>
      <c r="C183" s="519" t="s">
        <v>2144</v>
      </c>
      <c r="D183" s="199">
        <v>35</v>
      </c>
      <c r="E183" s="200"/>
      <c r="F183" s="200">
        <v>97.3</v>
      </c>
      <c r="G183" s="200"/>
      <c r="H183" s="200"/>
      <c r="I183" s="200"/>
      <c r="J183" s="200"/>
      <c r="K183" s="200"/>
      <c r="L183" s="200"/>
      <c r="M183" s="200"/>
      <c r="N183" s="200"/>
      <c r="O183" s="200"/>
      <c r="P183" s="200"/>
      <c r="Q183" s="226">
        <f t="shared" si="13"/>
        <v>97.3</v>
      </c>
      <c r="R183" s="146" t="str">
        <f t="shared" si="16"/>
        <v>NO</v>
      </c>
      <c r="S183" s="201" t="str">
        <f t="shared" si="15"/>
        <v>Inviable Sanitariamente</v>
      </c>
      <c r="T183" s="16"/>
    </row>
    <row r="184" spans="1:20" ht="32.1" customHeight="1">
      <c r="A184" s="82" t="s">
        <v>167</v>
      </c>
      <c r="B184" s="522" t="s">
        <v>2145</v>
      </c>
      <c r="C184" s="519" t="s">
        <v>2146</v>
      </c>
      <c r="D184" s="199">
        <v>28</v>
      </c>
      <c r="E184" s="200"/>
      <c r="F184" s="200"/>
      <c r="G184" s="200"/>
      <c r="H184" s="200"/>
      <c r="I184" s="200"/>
      <c r="J184" s="200">
        <v>97.3</v>
      </c>
      <c r="K184" s="200"/>
      <c r="L184" s="200"/>
      <c r="M184" s="200"/>
      <c r="N184" s="200"/>
      <c r="O184" s="200"/>
      <c r="P184" s="200"/>
      <c r="Q184" s="226">
        <f t="shared" si="13"/>
        <v>97.3</v>
      </c>
      <c r="R184" s="146" t="str">
        <f t="shared" si="16"/>
        <v>NO</v>
      </c>
      <c r="S184" s="201" t="str">
        <f t="shared" si="15"/>
        <v>Inviable Sanitariamente</v>
      </c>
      <c r="T184" s="16"/>
    </row>
    <row r="185" spans="1:20" ht="32.1" customHeight="1">
      <c r="A185" s="82" t="s">
        <v>167</v>
      </c>
      <c r="B185" s="522" t="s">
        <v>2147</v>
      </c>
      <c r="C185" s="519" t="s">
        <v>2148</v>
      </c>
      <c r="D185" s="199">
        <v>221</v>
      </c>
      <c r="E185" s="200"/>
      <c r="F185" s="200">
        <v>53.1</v>
      </c>
      <c r="G185" s="200"/>
      <c r="H185" s="200"/>
      <c r="I185" s="200"/>
      <c r="J185" s="200"/>
      <c r="K185" s="200"/>
      <c r="L185" s="200"/>
      <c r="M185" s="200"/>
      <c r="N185" s="200"/>
      <c r="O185" s="200"/>
      <c r="P185" s="200"/>
      <c r="Q185" s="226">
        <f t="shared" si="13"/>
        <v>53.1</v>
      </c>
      <c r="R185" s="146" t="str">
        <f t="shared" si="16"/>
        <v>NO</v>
      </c>
      <c r="S185" s="201" t="str">
        <f t="shared" si="15"/>
        <v>Alto</v>
      </c>
      <c r="T185" s="16"/>
    </row>
    <row r="186" spans="1:20" ht="32.1" customHeight="1">
      <c r="A186" s="82" t="s">
        <v>167</v>
      </c>
      <c r="B186" s="522" t="s">
        <v>2149</v>
      </c>
      <c r="C186" s="527" t="s">
        <v>2150</v>
      </c>
      <c r="D186" s="119">
        <v>44</v>
      </c>
      <c r="E186" s="200"/>
      <c r="F186" s="200"/>
      <c r="G186" s="200"/>
      <c r="H186" s="200"/>
      <c r="I186" s="200"/>
      <c r="J186" s="200">
        <v>97.3</v>
      </c>
      <c r="K186" s="200"/>
      <c r="L186" s="200"/>
      <c r="M186" s="200"/>
      <c r="N186" s="200"/>
      <c r="O186" s="200"/>
      <c r="P186" s="200"/>
      <c r="Q186" s="226">
        <f t="shared" si="13"/>
        <v>97.3</v>
      </c>
      <c r="R186" s="146" t="str">
        <f t="shared" si="16"/>
        <v>NO</v>
      </c>
      <c r="S186" s="201" t="str">
        <f t="shared" si="15"/>
        <v>Inviable Sanitariamente</v>
      </c>
      <c r="T186" s="16"/>
    </row>
    <row r="187" spans="1:20" ht="32.1" customHeight="1">
      <c r="A187" s="82" t="s">
        <v>167</v>
      </c>
      <c r="B187" s="495" t="s">
        <v>2151</v>
      </c>
      <c r="C187" s="517" t="s">
        <v>2152</v>
      </c>
      <c r="D187" s="116"/>
      <c r="E187" s="200"/>
      <c r="F187" s="200"/>
      <c r="G187" s="200"/>
      <c r="H187" s="200"/>
      <c r="I187" s="200"/>
      <c r="J187" s="200"/>
      <c r="K187" s="200"/>
      <c r="L187" s="200"/>
      <c r="M187" s="200"/>
      <c r="N187" s="200"/>
      <c r="O187" s="200"/>
      <c r="P187" s="200"/>
      <c r="Q187" s="226" t="e">
        <f t="shared" si="13"/>
        <v>#DIV/0!</v>
      </c>
      <c r="R187" s="146" t="e">
        <f t="shared" si="16"/>
        <v>#DIV/0!</v>
      </c>
      <c r="S187" s="201" t="e">
        <f t="shared" si="15"/>
        <v>#DIV/0!</v>
      </c>
      <c r="T187" s="16"/>
    </row>
    <row r="188" spans="1:20" ht="32.1" customHeight="1">
      <c r="A188" s="82" t="s">
        <v>168</v>
      </c>
      <c r="B188" s="495" t="s">
        <v>2153</v>
      </c>
      <c r="C188" s="517" t="s">
        <v>2154</v>
      </c>
      <c r="D188" s="156">
        <v>95</v>
      </c>
      <c r="E188" s="200"/>
      <c r="F188" s="200"/>
      <c r="G188" s="200"/>
      <c r="H188" s="200"/>
      <c r="I188" s="200"/>
      <c r="J188" s="200">
        <v>53</v>
      </c>
      <c r="K188" s="200"/>
      <c r="L188" s="200"/>
      <c r="M188" s="200"/>
      <c r="N188" s="200"/>
      <c r="O188" s="200"/>
      <c r="P188" s="200"/>
      <c r="Q188" s="226">
        <f t="shared" si="13"/>
        <v>53</v>
      </c>
      <c r="R188" s="146" t="str">
        <f t="shared" si="16"/>
        <v>NO</v>
      </c>
      <c r="S188" s="201" t="str">
        <f t="shared" si="15"/>
        <v>Alto</v>
      </c>
      <c r="T188" s="16"/>
    </row>
    <row r="189" spans="1:20" ht="32.1" customHeight="1">
      <c r="A189" s="82" t="s">
        <v>168</v>
      </c>
      <c r="B189" s="495" t="s">
        <v>2155</v>
      </c>
      <c r="C189" s="517" t="s">
        <v>2156</v>
      </c>
      <c r="D189" s="119">
        <v>82</v>
      </c>
      <c r="E189" s="200"/>
      <c r="F189" s="200">
        <v>53</v>
      </c>
      <c r="G189" s="200"/>
      <c r="H189" s="200"/>
      <c r="I189" s="200">
        <v>53</v>
      </c>
      <c r="J189" s="200"/>
      <c r="K189" s="200"/>
      <c r="L189" s="200"/>
      <c r="M189" s="200"/>
      <c r="N189" s="200"/>
      <c r="O189" s="200"/>
      <c r="P189" s="200"/>
      <c r="Q189" s="226">
        <f t="shared" si="13"/>
        <v>53</v>
      </c>
      <c r="R189" s="146" t="str">
        <f t="shared" si="16"/>
        <v>NO</v>
      </c>
      <c r="S189" s="201" t="str">
        <f t="shared" si="15"/>
        <v>Alto</v>
      </c>
      <c r="T189" s="16"/>
    </row>
    <row r="190" spans="1:20" ht="32.1" customHeight="1">
      <c r="A190" s="82" t="s">
        <v>168</v>
      </c>
      <c r="B190" s="495" t="s">
        <v>2157</v>
      </c>
      <c r="C190" s="517" t="s">
        <v>2158</v>
      </c>
      <c r="D190" s="119">
        <v>34</v>
      </c>
      <c r="E190" s="200"/>
      <c r="F190" s="200"/>
      <c r="G190" s="200"/>
      <c r="H190" s="200"/>
      <c r="I190" s="200"/>
      <c r="J190" s="200">
        <v>96</v>
      </c>
      <c r="K190" s="200"/>
      <c r="L190" s="200"/>
      <c r="M190" s="200"/>
      <c r="N190" s="200"/>
      <c r="O190" s="200"/>
      <c r="P190" s="200"/>
      <c r="Q190" s="226">
        <f t="shared" si="13"/>
        <v>96</v>
      </c>
      <c r="R190" s="146" t="str">
        <f t="shared" si="16"/>
        <v>NO</v>
      </c>
      <c r="S190" s="201" t="str">
        <f t="shared" si="15"/>
        <v>Inviable Sanitariamente</v>
      </c>
      <c r="T190" s="16"/>
    </row>
    <row r="191" spans="1:20" ht="32.1" customHeight="1">
      <c r="A191" s="82" t="s">
        <v>168</v>
      </c>
      <c r="B191" s="495" t="s">
        <v>2159</v>
      </c>
      <c r="C191" s="517" t="s">
        <v>2160</v>
      </c>
      <c r="D191" s="119">
        <v>72</v>
      </c>
      <c r="E191" s="200"/>
      <c r="F191" s="200"/>
      <c r="G191" s="200">
        <v>96</v>
      </c>
      <c r="H191" s="200"/>
      <c r="I191" s="200"/>
      <c r="J191" s="200"/>
      <c r="K191" s="200"/>
      <c r="L191" s="200"/>
      <c r="M191" s="200"/>
      <c r="N191" s="200"/>
      <c r="O191" s="200"/>
      <c r="P191" s="200"/>
      <c r="Q191" s="226">
        <f t="shared" si="13"/>
        <v>96</v>
      </c>
      <c r="R191" s="146" t="str">
        <f t="shared" si="16"/>
        <v>NO</v>
      </c>
      <c r="S191" s="201" t="str">
        <f t="shared" si="15"/>
        <v>Inviable Sanitariamente</v>
      </c>
      <c r="T191" s="16"/>
    </row>
    <row r="192" spans="1:20" ht="32.1" customHeight="1">
      <c r="A192" s="82" t="s">
        <v>168</v>
      </c>
      <c r="B192" s="495" t="s">
        <v>2161</v>
      </c>
      <c r="C192" s="517" t="s">
        <v>2162</v>
      </c>
      <c r="D192" s="119">
        <v>41</v>
      </c>
      <c r="E192" s="200"/>
      <c r="F192" s="200"/>
      <c r="G192" s="200"/>
      <c r="H192" s="200">
        <v>0</v>
      </c>
      <c r="I192" s="200"/>
      <c r="J192" s="200"/>
      <c r="K192" s="200"/>
      <c r="L192" s="200"/>
      <c r="M192" s="200"/>
      <c r="N192" s="200"/>
      <c r="O192" s="200"/>
      <c r="P192" s="200"/>
      <c r="Q192" s="226">
        <f t="shared" si="13"/>
        <v>0</v>
      </c>
      <c r="R192" s="146" t="str">
        <f t="shared" si="16"/>
        <v>SI</v>
      </c>
      <c r="S192" s="201" t="str">
        <f t="shared" si="15"/>
        <v>Sin Riesgo</v>
      </c>
      <c r="T192" s="16"/>
    </row>
    <row r="193" spans="1:20" ht="32.1" customHeight="1">
      <c r="A193" s="82" t="s">
        <v>168</v>
      </c>
      <c r="B193" s="495" t="s">
        <v>243</v>
      </c>
      <c r="C193" s="517" t="s">
        <v>2163</v>
      </c>
      <c r="D193" s="119">
        <v>65</v>
      </c>
      <c r="E193" s="200"/>
      <c r="F193" s="200"/>
      <c r="G193" s="200"/>
      <c r="H193" s="200"/>
      <c r="I193" s="200"/>
      <c r="J193" s="200">
        <v>96</v>
      </c>
      <c r="K193" s="200"/>
      <c r="L193" s="200"/>
      <c r="M193" s="200"/>
      <c r="N193" s="200"/>
      <c r="O193" s="200"/>
      <c r="P193" s="200"/>
      <c r="Q193" s="226">
        <f t="shared" si="13"/>
        <v>96</v>
      </c>
      <c r="R193" s="146" t="str">
        <f t="shared" si="16"/>
        <v>NO</v>
      </c>
      <c r="S193" s="201" t="str">
        <f t="shared" si="15"/>
        <v>Inviable Sanitariamente</v>
      </c>
      <c r="T193" s="16"/>
    </row>
    <row r="194" spans="1:20" ht="32.1" customHeight="1">
      <c r="A194" s="82" t="s">
        <v>168</v>
      </c>
      <c r="B194" s="495" t="s">
        <v>2164</v>
      </c>
      <c r="C194" s="517" t="s">
        <v>2165</v>
      </c>
      <c r="D194" s="119">
        <v>28</v>
      </c>
      <c r="E194" s="200"/>
      <c r="F194" s="200"/>
      <c r="G194" s="200">
        <v>96</v>
      </c>
      <c r="H194" s="200"/>
      <c r="I194" s="200"/>
      <c r="J194" s="200"/>
      <c r="K194" s="200"/>
      <c r="L194" s="200"/>
      <c r="M194" s="200"/>
      <c r="N194" s="200"/>
      <c r="O194" s="200"/>
      <c r="P194" s="200"/>
      <c r="Q194" s="226">
        <f t="shared" si="13"/>
        <v>96</v>
      </c>
      <c r="R194" s="146" t="str">
        <f t="shared" si="16"/>
        <v>NO</v>
      </c>
      <c r="S194" s="201" t="str">
        <f t="shared" si="15"/>
        <v>Inviable Sanitariamente</v>
      </c>
      <c r="T194" s="16"/>
    </row>
    <row r="195" spans="1:20" ht="32.1" customHeight="1">
      <c r="A195" s="82" t="s">
        <v>168</v>
      </c>
      <c r="B195" s="495" t="s">
        <v>2166</v>
      </c>
      <c r="C195" s="517" t="s">
        <v>2167</v>
      </c>
      <c r="D195" s="138">
        <v>49</v>
      </c>
      <c r="E195" s="200"/>
      <c r="F195" s="200">
        <v>96</v>
      </c>
      <c r="G195" s="200"/>
      <c r="H195" s="200"/>
      <c r="I195" s="200"/>
      <c r="J195" s="200"/>
      <c r="K195" s="200"/>
      <c r="L195" s="200"/>
      <c r="M195" s="200"/>
      <c r="N195" s="200"/>
      <c r="O195" s="200"/>
      <c r="P195" s="200"/>
      <c r="Q195" s="226">
        <f t="shared" si="13"/>
        <v>96</v>
      </c>
      <c r="R195" s="146" t="str">
        <f t="shared" si="16"/>
        <v>NO</v>
      </c>
      <c r="S195" s="201" t="str">
        <f t="shared" si="15"/>
        <v>Inviable Sanitariamente</v>
      </c>
      <c r="T195" s="16"/>
    </row>
    <row r="196" spans="1:20" ht="32.1" customHeight="1">
      <c r="A196" s="82" t="s">
        <v>168</v>
      </c>
      <c r="B196" s="495" t="s">
        <v>1450</v>
      </c>
      <c r="C196" s="517" t="s">
        <v>2168</v>
      </c>
      <c r="D196" s="119">
        <v>54</v>
      </c>
      <c r="E196" s="200"/>
      <c r="F196" s="200"/>
      <c r="G196" s="200"/>
      <c r="H196" s="200"/>
      <c r="I196" s="200">
        <v>53</v>
      </c>
      <c r="J196" s="200"/>
      <c r="K196" s="200"/>
      <c r="L196" s="200"/>
      <c r="M196" s="200"/>
      <c r="N196" s="200"/>
      <c r="O196" s="200"/>
      <c r="P196" s="200"/>
      <c r="Q196" s="226">
        <f t="shared" si="13"/>
        <v>53</v>
      </c>
      <c r="R196" s="146" t="str">
        <f t="shared" si="16"/>
        <v>NO</v>
      </c>
      <c r="S196" s="201" t="str">
        <f t="shared" si="15"/>
        <v>Alto</v>
      </c>
      <c r="T196" s="16"/>
    </row>
    <row r="197" spans="1:20" ht="32.1" customHeight="1">
      <c r="A197" s="82" t="s">
        <v>168</v>
      </c>
      <c r="B197" s="495" t="s">
        <v>2169</v>
      </c>
      <c r="C197" s="517" t="s">
        <v>2170</v>
      </c>
      <c r="D197" s="119">
        <v>138</v>
      </c>
      <c r="E197" s="200"/>
      <c r="F197" s="200"/>
      <c r="G197" s="200">
        <v>53</v>
      </c>
      <c r="H197" s="200"/>
      <c r="I197" s="200"/>
      <c r="J197" s="200"/>
      <c r="K197" s="200"/>
      <c r="L197" s="200"/>
      <c r="M197" s="200"/>
      <c r="N197" s="200"/>
      <c r="O197" s="200"/>
      <c r="P197" s="200"/>
      <c r="Q197" s="226">
        <f t="shared" si="13"/>
        <v>53</v>
      </c>
      <c r="R197" s="146" t="str">
        <f t="shared" si="16"/>
        <v>NO</v>
      </c>
      <c r="S197" s="201" t="str">
        <f t="shared" si="15"/>
        <v>Alto</v>
      </c>
      <c r="T197" s="16"/>
    </row>
    <row r="198" spans="1:20" ht="32.1" customHeight="1">
      <c r="A198" s="82" t="s">
        <v>168</v>
      </c>
      <c r="B198" s="495" t="s">
        <v>2171</v>
      </c>
      <c r="C198" s="517" t="s">
        <v>2172</v>
      </c>
      <c r="D198" s="114">
        <v>93</v>
      </c>
      <c r="E198" s="200"/>
      <c r="F198" s="200">
        <v>53</v>
      </c>
      <c r="G198" s="200"/>
      <c r="H198" s="200"/>
      <c r="I198" s="200"/>
      <c r="J198" s="200"/>
      <c r="K198" s="200"/>
      <c r="L198" s="200"/>
      <c r="M198" s="200"/>
      <c r="N198" s="200"/>
      <c r="O198" s="200"/>
      <c r="P198" s="200"/>
      <c r="Q198" s="226">
        <f t="shared" si="13"/>
        <v>53</v>
      </c>
      <c r="R198" s="146" t="str">
        <f t="shared" si="16"/>
        <v>NO</v>
      </c>
      <c r="S198" s="201" t="str">
        <f t="shared" si="15"/>
        <v>Alto</v>
      </c>
      <c r="T198" s="16"/>
    </row>
    <row r="199" spans="1:20" ht="32.1" customHeight="1">
      <c r="A199" s="82" t="s">
        <v>168</v>
      </c>
      <c r="B199" s="495" t="s">
        <v>2173</v>
      </c>
      <c r="C199" s="517" t="s">
        <v>2174</v>
      </c>
      <c r="D199" s="119">
        <v>110</v>
      </c>
      <c r="E199" s="200"/>
      <c r="F199" s="200"/>
      <c r="G199" s="200"/>
      <c r="H199" s="200"/>
      <c r="I199" s="200"/>
      <c r="J199" s="200">
        <v>53</v>
      </c>
      <c r="K199" s="200"/>
      <c r="L199" s="200"/>
      <c r="M199" s="200"/>
      <c r="N199" s="200"/>
      <c r="O199" s="200"/>
      <c r="P199" s="200"/>
      <c r="Q199" s="226">
        <f t="shared" si="13"/>
        <v>53</v>
      </c>
      <c r="R199" s="146" t="str">
        <f t="shared" si="16"/>
        <v>NO</v>
      </c>
      <c r="S199" s="201" t="str">
        <f t="shared" si="15"/>
        <v>Alto</v>
      </c>
      <c r="T199" s="16"/>
    </row>
    <row r="200" spans="1:20" ht="32.1" customHeight="1">
      <c r="A200" s="82" t="s">
        <v>168</v>
      </c>
      <c r="B200" s="495" t="s">
        <v>2175</v>
      </c>
      <c r="C200" s="517" t="s">
        <v>2176</v>
      </c>
      <c r="D200" s="119">
        <v>49</v>
      </c>
      <c r="E200" s="200"/>
      <c r="F200" s="200"/>
      <c r="G200" s="200">
        <v>53</v>
      </c>
      <c r="H200" s="200"/>
      <c r="I200" s="200"/>
      <c r="J200" s="200"/>
      <c r="K200" s="200"/>
      <c r="L200" s="200"/>
      <c r="M200" s="200"/>
      <c r="N200" s="200"/>
      <c r="O200" s="200"/>
      <c r="P200" s="200"/>
      <c r="Q200" s="226">
        <f t="shared" si="13"/>
        <v>53</v>
      </c>
      <c r="R200" s="146" t="str">
        <f t="shared" si="16"/>
        <v>NO</v>
      </c>
      <c r="S200" s="201" t="str">
        <f t="shared" si="15"/>
        <v>Alto</v>
      </c>
      <c r="T200" s="16"/>
    </row>
    <row r="201" spans="1:20" ht="32.1" customHeight="1">
      <c r="A201" s="82" t="s">
        <v>168</v>
      </c>
      <c r="B201" s="495" t="s">
        <v>2177</v>
      </c>
      <c r="C201" s="517" t="s">
        <v>2178</v>
      </c>
      <c r="D201" s="114">
        <v>47</v>
      </c>
      <c r="E201" s="200"/>
      <c r="F201" s="200"/>
      <c r="G201" s="200">
        <v>53</v>
      </c>
      <c r="H201" s="200"/>
      <c r="I201" s="200"/>
      <c r="J201" s="200"/>
      <c r="K201" s="200"/>
      <c r="L201" s="200"/>
      <c r="M201" s="200"/>
      <c r="N201" s="200"/>
      <c r="O201" s="200"/>
      <c r="P201" s="200"/>
      <c r="Q201" s="226">
        <f t="shared" si="13"/>
        <v>53</v>
      </c>
      <c r="R201" s="146" t="str">
        <f t="shared" si="16"/>
        <v>NO</v>
      </c>
      <c r="S201" s="201" t="str">
        <f t="shared" si="15"/>
        <v>Alto</v>
      </c>
      <c r="T201" s="16"/>
    </row>
    <row r="202" spans="1:20" ht="32.1" customHeight="1">
      <c r="A202" s="82" t="s">
        <v>168</v>
      </c>
      <c r="B202" s="495" t="s">
        <v>2179</v>
      </c>
      <c r="C202" s="517" t="s">
        <v>2180</v>
      </c>
      <c r="D202" s="119">
        <v>138</v>
      </c>
      <c r="E202" s="200"/>
      <c r="F202" s="200"/>
      <c r="G202" s="200"/>
      <c r="H202" s="200"/>
      <c r="I202" s="200"/>
      <c r="J202" s="200">
        <v>96</v>
      </c>
      <c r="K202" s="200"/>
      <c r="L202" s="200"/>
      <c r="M202" s="200"/>
      <c r="N202" s="200"/>
      <c r="O202" s="200"/>
      <c r="P202" s="200"/>
      <c r="Q202" s="226">
        <f t="shared" ref="Q202:Q220" si="17">AVERAGE(E202:P202)</f>
        <v>96</v>
      </c>
      <c r="R202" s="146" t="str">
        <f t="shared" si="16"/>
        <v>NO</v>
      </c>
      <c r="S202" s="201" t="str">
        <f t="shared" ref="S202:S265" si="18">IF(Q202&lt;5,"Sin Riesgo",IF(Q202 &lt;=14,"Bajo",IF(Q202&lt;=35,"Medio",IF(Q202&lt;=80,"Alto","Inviable Sanitariamente"))))</f>
        <v>Inviable Sanitariamente</v>
      </c>
      <c r="T202" s="16"/>
    </row>
    <row r="203" spans="1:20" ht="32.1" customHeight="1">
      <c r="A203" s="82" t="s">
        <v>168</v>
      </c>
      <c r="B203" s="495" t="s">
        <v>1765</v>
      </c>
      <c r="C203" s="517" t="s">
        <v>2181</v>
      </c>
      <c r="D203" s="119">
        <v>67</v>
      </c>
      <c r="E203" s="200">
        <v>0</v>
      </c>
      <c r="F203" s="200"/>
      <c r="G203" s="200"/>
      <c r="H203" s="200">
        <v>53</v>
      </c>
      <c r="I203" s="200"/>
      <c r="J203" s="200"/>
      <c r="K203" s="200"/>
      <c r="L203" s="200"/>
      <c r="M203" s="200"/>
      <c r="N203" s="200"/>
      <c r="O203" s="200"/>
      <c r="P203" s="200"/>
      <c r="Q203" s="226">
        <f t="shared" si="17"/>
        <v>26.5</v>
      </c>
      <c r="R203" s="146" t="str">
        <f t="shared" si="16"/>
        <v>NO</v>
      </c>
      <c r="S203" s="201" t="str">
        <f t="shared" si="18"/>
        <v>Medio</v>
      </c>
      <c r="T203" s="16"/>
    </row>
    <row r="204" spans="1:20" ht="32.1" customHeight="1">
      <c r="A204" s="82" t="s">
        <v>168</v>
      </c>
      <c r="B204" s="495" t="s">
        <v>2182</v>
      </c>
      <c r="C204" s="517" t="s">
        <v>2183</v>
      </c>
      <c r="D204" s="119">
        <v>74</v>
      </c>
      <c r="E204" s="200"/>
      <c r="F204" s="200"/>
      <c r="G204" s="200"/>
      <c r="H204" s="200">
        <v>26</v>
      </c>
      <c r="I204" s="200"/>
      <c r="J204" s="200"/>
      <c r="K204" s="200"/>
      <c r="L204" s="200"/>
      <c r="M204" s="200"/>
      <c r="N204" s="200"/>
      <c r="O204" s="200"/>
      <c r="P204" s="200"/>
      <c r="Q204" s="226">
        <f t="shared" si="17"/>
        <v>26</v>
      </c>
      <c r="R204" s="146" t="str">
        <f t="shared" si="16"/>
        <v>NO</v>
      </c>
      <c r="S204" s="201" t="str">
        <f t="shared" si="18"/>
        <v>Medio</v>
      </c>
      <c r="T204" s="16"/>
    </row>
    <row r="205" spans="1:20" ht="32.1" customHeight="1">
      <c r="A205" s="82" t="s">
        <v>168</v>
      </c>
      <c r="B205" s="495" t="s">
        <v>2184</v>
      </c>
      <c r="C205" s="517" t="s">
        <v>2185</v>
      </c>
      <c r="D205" s="119">
        <v>36</v>
      </c>
      <c r="E205" s="200"/>
      <c r="F205" s="200"/>
      <c r="G205" s="200"/>
      <c r="H205" s="200"/>
      <c r="I205" s="200"/>
      <c r="J205" s="200">
        <v>53</v>
      </c>
      <c r="K205" s="200"/>
      <c r="L205" s="200"/>
      <c r="M205" s="200"/>
      <c r="N205" s="200"/>
      <c r="O205" s="200"/>
      <c r="P205" s="200"/>
      <c r="Q205" s="226">
        <f t="shared" si="17"/>
        <v>53</v>
      </c>
      <c r="R205" s="146" t="str">
        <f t="shared" si="16"/>
        <v>NO</v>
      </c>
      <c r="S205" s="201" t="str">
        <f t="shared" si="18"/>
        <v>Alto</v>
      </c>
      <c r="T205" s="16"/>
    </row>
    <row r="206" spans="1:20" ht="32.1" customHeight="1">
      <c r="A206" s="82" t="s">
        <v>168</v>
      </c>
      <c r="B206" s="522" t="s">
        <v>2186</v>
      </c>
      <c r="C206" s="519" t="s">
        <v>2187</v>
      </c>
      <c r="D206" s="199">
        <v>100</v>
      </c>
      <c r="E206" s="200">
        <v>0</v>
      </c>
      <c r="F206" s="200"/>
      <c r="G206" s="200"/>
      <c r="H206" s="200">
        <v>0</v>
      </c>
      <c r="I206" s="200"/>
      <c r="J206" s="200"/>
      <c r="K206" s="200"/>
      <c r="L206" s="200"/>
      <c r="M206" s="200"/>
      <c r="N206" s="200"/>
      <c r="O206" s="200"/>
      <c r="P206" s="200"/>
      <c r="Q206" s="226">
        <f t="shared" si="17"/>
        <v>0</v>
      </c>
      <c r="R206" s="146" t="str">
        <f t="shared" si="16"/>
        <v>SI</v>
      </c>
      <c r="S206" s="201" t="str">
        <f t="shared" si="18"/>
        <v>Sin Riesgo</v>
      </c>
      <c r="T206" s="16"/>
    </row>
    <row r="207" spans="1:20" ht="32.1" customHeight="1">
      <c r="A207" s="82" t="s">
        <v>168</v>
      </c>
      <c r="B207" s="522" t="s">
        <v>2188</v>
      </c>
      <c r="C207" s="519" t="s">
        <v>2189</v>
      </c>
      <c r="D207" s="199">
        <v>16</v>
      </c>
      <c r="E207" s="200"/>
      <c r="F207" s="200"/>
      <c r="G207" s="200"/>
      <c r="H207" s="200">
        <v>96</v>
      </c>
      <c r="I207" s="200"/>
      <c r="J207" s="200"/>
      <c r="K207" s="200"/>
      <c r="L207" s="200"/>
      <c r="M207" s="200"/>
      <c r="N207" s="200"/>
      <c r="O207" s="200"/>
      <c r="P207" s="200"/>
      <c r="Q207" s="226">
        <f t="shared" si="17"/>
        <v>96</v>
      </c>
      <c r="R207" s="146" t="str">
        <f t="shared" si="16"/>
        <v>NO</v>
      </c>
      <c r="S207" s="201" t="str">
        <f t="shared" si="18"/>
        <v>Inviable Sanitariamente</v>
      </c>
      <c r="T207" s="16"/>
    </row>
    <row r="208" spans="1:20" ht="32.1" customHeight="1">
      <c r="A208" s="82" t="s">
        <v>168</v>
      </c>
      <c r="B208" s="522" t="s">
        <v>1429</v>
      </c>
      <c r="C208" s="519" t="s">
        <v>2190</v>
      </c>
      <c r="D208" s="119">
        <v>91</v>
      </c>
      <c r="E208" s="200"/>
      <c r="F208" s="200">
        <v>53</v>
      </c>
      <c r="G208" s="200"/>
      <c r="H208" s="200"/>
      <c r="I208" s="200"/>
      <c r="J208" s="200"/>
      <c r="K208" s="200"/>
      <c r="L208" s="200"/>
      <c r="M208" s="200"/>
      <c r="N208" s="200"/>
      <c r="O208" s="200"/>
      <c r="P208" s="200"/>
      <c r="Q208" s="226">
        <f t="shared" si="17"/>
        <v>53</v>
      </c>
      <c r="R208" s="146" t="str">
        <f t="shared" si="16"/>
        <v>NO</v>
      </c>
      <c r="S208" s="201" t="str">
        <f t="shared" si="18"/>
        <v>Alto</v>
      </c>
      <c r="T208" s="16"/>
    </row>
    <row r="209" spans="1:20" ht="32.1" customHeight="1">
      <c r="A209" s="82" t="s">
        <v>169</v>
      </c>
      <c r="B209" s="522" t="s">
        <v>2191</v>
      </c>
      <c r="C209" s="519" t="s">
        <v>2192</v>
      </c>
      <c r="D209" s="119">
        <v>194</v>
      </c>
      <c r="E209" s="200"/>
      <c r="F209" s="200"/>
      <c r="G209" s="200"/>
      <c r="H209" s="200"/>
      <c r="I209" s="200">
        <v>0</v>
      </c>
      <c r="J209" s="200"/>
      <c r="K209" s="200"/>
      <c r="L209" s="200"/>
      <c r="M209" s="200"/>
      <c r="N209" s="200"/>
      <c r="O209" s="200"/>
      <c r="P209" s="200"/>
      <c r="Q209" s="226">
        <f t="shared" si="17"/>
        <v>0</v>
      </c>
      <c r="R209" s="146" t="str">
        <f t="shared" si="16"/>
        <v>SI</v>
      </c>
      <c r="S209" s="201" t="str">
        <f t="shared" si="18"/>
        <v>Sin Riesgo</v>
      </c>
      <c r="T209" s="16"/>
    </row>
    <row r="210" spans="1:20" ht="32.1" customHeight="1">
      <c r="A210" s="82" t="s">
        <v>169</v>
      </c>
      <c r="B210" s="522" t="s">
        <v>1542</v>
      </c>
      <c r="C210" s="519" t="s">
        <v>2193</v>
      </c>
      <c r="D210" s="119">
        <v>178</v>
      </c>
      <c r="E210" s="200"/>
      <c r="F210" s="200">
        <v>26.54</v>
      </c>
      <c r="G210" s="200"/>
      <c r="H210" s="200"/>
      <c r="I210" s="200"/>
      <c r="J210" s="200"/>
      <c r="K210" s="200"/>
      <c r="L210" s="200"/>
      <c r="M210" s="200"/>
      <c r="N210" s="200"/>
      <c r="O210" s="200"/>
      <c r="P210" s="200"/>
      <c r="Q210" s="226">
        <f t="shared" si="17"/>
        <v>26.54</v>
      </c>
      <c r="R210" s="146" t="str">
        <f t="shared" si="16"/>
        <v>NO</v>
      </c>
      <c r="S210" s="201" t="str">
        <f t="shared" si="18"/>
        <v>Medio</v>
      </c>
      <c r="T210" s="16"/>
    </row>
    <row r="211" spans="1:20" ht="32.1" customHeight="1">
      <c r="A211" s="82" t="s">
        <v>169</v>
      </c>
      <c r="B211" s="522" t="s">
        <v>2194</v>
      </c>
      <c r="C211" s="519" t="s">
        <v>2195</v>
      </c>
      <c r="D211" s="119">
        <v>116</v>
      </c>
      <c r="E211" s="200"/>
      <c r="F211" s="200">
        <v>0</v>
      </c>
      <c r="G211" s="200"/>
      <c r="H211" s="200"/>
      <c r="I211" s="200"/>
      <c r="J211" s="200"/>
      <c r="K211" s="200"/>
      <c r="L211" s="200"/>
      <c r="M211" s="200"/>
      <c r="N211" s="200"/>
      <c r="O211" s="200"/>
      <c r="P211" s="200"/>
      <c r="Q211" s="226">
        <f t="shared" si="17"/>
        <v>0</v>
      </c>
      <c r="R211" s="146" t="str">
        <f t="shared" si="16"/>
        <v>SI</v>
      </c>
      <c r="S211" s="201" t="str">
        <f t="shared" si="18"/>
        <v>Sin Riesgo</v>
      </c>
      <c r="T211" s="16"/>
    </row>
    <row r="212" spans="1:20" ht="32.1" customHeight="1">
      <c r="A212" s="82" t="s">
        <v>169</v>
      </c>
      <c r="B212" s="522" t="s">
        <v>2196</v>
      </c>
      <c r="C212" s="519" t="s">
        <v>2197</v>
      </c>
      <c r="D212" s="119">
        <v>134</v>
      </c>
      <c r="E212" s="200"/>
      <c r="F212" s="200"/>
      <c r="G212" s="200"/>
      <c r="H212" s="200"/>
      <c r="I212" s="200"/>
      <c r="J212" s="200"/>
      <c r="K212" s="200">
        <v>26.54</v>
      </c>
      <c r="L212" s="200"/>
      <c r="M212" s="200"/>
      <c r="N212" s="200"/>
      <c r="O212" s="200"/>
      <c r="P212" s="200"/>
      <c r="Q212" s="226">
        <f t="shared" si="17"/>
        <v>26.54</v>
      </c>
      <c r="R212" s="146" t="str">
        <f t="shared" si="16"/>
        <v>NO</v>
      </c>
      <c r="S212" s="201" t="str">
        <f t="shared" si="18"/>
        <v>Medio</v>
      </c>
      <c r="T212" s="16"/>
    </row>
    <row r="213" spans="1:20" ht="32.1" customHeight="1">
      <c r="A213" s="82" t="s">
        <v>169</v>
      </c>
      <c r="B213" s="522" t="s">
        <v>2198</v>
      </c>
      <c r="C213" s="519" t="s">
        <v>2199</v>
      </c>
      <c r="D213" s="119">
        <v>126</v>
      </c>
      <c r="E213" s="200"/>
      <c r="F213" s="200">
        <v>97.34</v>
      </c>
      <c r="G213" s="200"/>
      <c r="H213" s="200"/>
      <c r="I213" s="200"/>
      <c r="J213" s="200"/>
      <c r="K213" s="200"/>
      <c r="L213" s="200"/>
      <c r="M213" s="200"/>
      <c r="N213" s="200"/>
      <c r="O213" s="200"/>
      <c r="P213" s="200"/>
      <c r="Q213" s="226">
        <f t="shared" si="17"/>
        <v>97.34</v>
      </c>
      <c r="R213" s="146" t="str">
        <f t="shared" si="16"/>
        <v>NO</v>
      </c>
      <c r="S213" s="201" t="str">
        <f t="shared" si="18"/>
        <v>Inviable Sanitariamente</v>
      </c>
      <c r="T213" s="16"/>
    </row>
    <row r="214" spans="1:20" ht="32.1" customHeight="1">
      <c r="A214" s="82" t="s">
        <v>169</v>
      </c>
      <c r="B214" s="522" t="s">
        <v>2200</v>
      </c>
      <c r="C214" s="519" t="s">
        <v>2201</v>
      </c>
      <c r="D214" s="199">
        <v>36</v>
      </c>
      <c r="E214" s="200"/>
      <c r="F214" s="200">
        <v>97.34</v>
      </c>
      <c r="G214" s="200"/>
      <c r="H214" s="200"/>
      <c r="I214" s="200"/>
      <c r="J214" s="200"/>
      <c r="K214" s="200">
        <v>97.34</v>
      </c>
      <c r="L214" s="200"/>
      <c r="M214" s="200"/>
      <c r="N214" s="200"/>
      <c r="O214" s="200"/>
      <c r="P214" s="200"/>
      <c r="Q214" s="226">
        <f t="shared" si="17"/>
        <v>97.34</v>
      </c>
      <c r="R214" s="146" t="str">
        <f t="shared" si="16"/>
        <v>NO</v>
      </c>
      <c r="S214" s="201" t="str">
        <f t="shared" si="18"/>
        <v>Inviable Sanitariamente</v>
      </c>
      <c r="T214" s="16"/>
    </row>
    <row r="215" spans="1:20" ht="32.1" customHeight="1">
      <c r="A215" s="82" t="s">
        <v>169</v>
      </c>
      <c r="B215" s="522" t="s">
        <v>2202</v>
      </c>
      <c r="C215" s="518" t="s">
        <v>2203</v>
      </c>
      <c r="D215" s="199">
        <v>32</v>
      </c>
      <c r="E215" s="200"/>
      <c r="F215" s="200">
        <v>0</v>
      </c>
      <c r="G215" s="200"/>
      <c r="H215" s="200"/>
      <c r="I215" s="200"/>
      <c r="J215" s="200"/>
      <c r="K215" s="200">
        <v>0</v>
      </c>
      <c r="L215" s="200"/>
      <c r="M215" s="200"/>
      <c r="N215" s="200"/>
      <c r="O215" s="200"/>
      <c r="P215" s="200"/>
      <c r="Q215" s="226">
        <f t="shared" si="17"/>
        <v>0</v>
      </c>
      <c r="R215" s="146" t="str">
        <f t="shared" si="16"/>
        <v>SI</v>
      </c>
      <c r="S215" s="201" t="str">
        <f t="shared" si="18"/>
        <v>Sin Riesgo</v>
      </c>
      <c r="T215" s="16"/>
    </row>
    <row r="216" spans="1:20" ht="32.1" customHeight="1">
      <c r="A216" s="82" t="s">
        <v>169</v>
      </c>
      <c r="B216" s="522" t="s">
        <v>2204</v>
      </c>
      <c r="C216" s="519" t="s">
        <v>2205</v>
      </c>
      <c r="D216" s="114">
        <v>80</v>
      </c>
      <c r="E216" s="200"/>
      <c r="F216" s="200"/>
      <c r="G216" s="200"/>
      <c r="H216" s="200"/>
      <c r="I216" s="200"/>
      <c r="J216" s="200">
        <v>97.34</v>
      </c>
      <c r="K216" s="200"/>
      <c r="L216" s="200"/>
      <c r="M216" s="200"/>
      <c r="N216" s="200"/>
      <c r="O216" s="200"/>
      <c r="P216" s="200"/>
      <c r="Q216" s="226">
        <f t="shared" si="17"/>
        <v>97.34</v>
      </c>
      <c r="R216" s="146" t="str">
        <f t="shared" si="16"/>
        <v>NO</v>
      </c>
      <c r="S216" s="201" t="str">
        <f t="shared" si="18"/>
        <v>Inviable Sanitariamente</v>
      </c>
      <c r="T216" s="16"/>
    </row>
    <row r="217" spans="1:20" ht="32.1" customHeight="1">
      <c r="A217" s="82" t="s">
        <v>169</v>
      </c>
      <c r="B217" s="522" t="s">
        <v>2206</v>
      </c>
      <c r="C217" s="519" t="s">
        <v>2207</v>
      </c>
      <c r="D217" s="199">
        <v>170</v>
      </c>
      <c r="E217" s="200"/>
      <c r="F217" s="200"/>
      <c r="G217" s="200"/>
      <c r="H217" s="200"/>
      <c r="I217" s="200"/>
      <c r="J217" s="200"/>
      <c r="K217" s="200">
        <v>97.34</v>
      </c>
      <c r="L217" s="200"/>
      <c r="M217" s="200"/>
      <c r="N217" s="200"/>
      <c r="O217" s="200"/>
      <c r="P217" s="200"/>
      <c r="Q217" s="226">
        <f t="shared" si="17"/>
        <v>97.34</v>
      </c>
      <c r="R217" s="146" t="str">
        <f t="shared" si="16"/>
        <v>NO</v>
      </c>
      <c r="S217" s="201" t="str">
        <f t="shared" si="18"/>
        <v>Inviable Sanitariamente</v>
      </c>
      <c r="T217" s="16"/>
    </row>
    <row r="218" spans="1:20" ht="32.1" customHeight="1">
      <c r="A218" s="82" t="s">
        <v>169</v>
      </c>
      <c r="B218" s="522" t="s">
        <v>2208</v>
      </c>
      <c r="C218" s="519" t="s">
        <v>2209</v>
      </c>
      <c r="D218" s="199">
        <v>230</v>
      </c>
      <c r="E218" s="200"/>
      <c r="F218" s="200"/>
      <c r="G218" s="200"/>
      <c r="H218" s="200"/>
      <c r="I218" s="200"/>
      <c r="J218" s="200"/>
      <c r="K218" s="200"/>
      <c r="L218" s="200"/>
      <c r="M218" s="200">
        <v>97.34</v>
      </c>
      <c r="N218" s="200"/>
      <c r="O218" s="200"/>
      <c r="P218" s="200"/>
      <c r="Q218" s="226">
        <f t="shared" si="17"/>
        <v>97.34</v>
      </c>
      <c r="R218" s="146" t="str">
        <f t="shared" si="16"/>
        <v>NO</v>
      </c>
      <c r="S218" s="201" t="str">
        <f t="shared" si="18"/>
        <v>Inviable Sanitariamente</v>
      </c>
      <c r="T218" s="16"/>
    </row>
    <row r="219" spans="1:20" ht="32.1" customHeight="1">
      <c r="A219" s="82" t="s">
        <v>169</v>
      </c>
      <c r="B219" s="522" t="s">
        <v>2210</v>
      </c>
      <c r="C219" s="519" t="s">
        <v>2211</v>
      </c>
      <c r="D219" s="138">
        <v>96</v>
      </c>
      <c r="E219" s="200"/>
      <c r="F219" s="200"/>
      <c r="G219" s="200"/>
      <c r="H219" s="200"/>
      <c r="I219" s="200"/>
      <c r="J219" s="200"/>
      <c r="K219" s="200"/>
      <c r="L219" s="200"/>
      <c r="M219" s="200"/>
      <c r="N219" s="200"/>
      <c r="O219" s="200">
        <v>97.34</v>
      </c>
      <c r="P219" s="200"/>
      <c r="Q219" s="226">
        <f t="shared" si="17"/>
        <v>97.34</v>
      </c>
      <c r="R219" s="146" t="str">
        <f t="shared" si="16"/>
        <v>NO</v>
      </c>
      <c r="S219" s="201" t="str">
        <f t="shared" si="18"/>
        <v>Inviable Sanitariamente</v>
      </c>
      <c r="T219" s="16"/>
    </row>
    <row r="220" spans="1:20" ht="32.1" customHeight="1">
      <c r="A220" s="82" t="s">
        <v>169</v>
      </c>
      <c r="B220" s="522" t="s">
        <v>2212</v>
      </c>
      <c r="C220" s="519" t="s">
        <v>2213</v>
      </c>
      <c r="D220" s="119">
        <v>85</v>
      </c>
      <c r="E220" s="200"/>
      <c r="F220" s="200"/>
      <c r="G220" s="200"/>
      <c r="H220" s="200"/>
      <c r="I220" s="200"/>
      <c r="J220" s="200"/>
      <c r="K220" s="200"/>
      <c r="L220" s="200"/>
      <c r="M220" s="200">
        <v>97.34</v>
      </c>
      <c r="N220" s="200"/>
      <c r="O220" s="200"/>
      <c r="P220" s="200"/>
      <c r="Q220" s="226">
        <f t="shared" si="17"/>
        <v>97.34</v>
      </c>
      <c r="R220" s="146" t="str">
        <f t="shared" si="16"/>
        <v>NO</v>
      </c>
      <c r="S220" s="201" t="str">
        <f t="shared" si="18"/>
        <v>Inviable Sanitariamente</v>
      </c>
      <c r="T220" s="16"/>
    </row>
    <row r="221" spans="1:20" ht="32.1" customHeight="1">
      <c r="A221" s="82" t="s">
        <v>169</v>
      </c>
      <c r="B221" s="522" t="s">
        <v>2214</v>
      </c>
      <c r="C221" s="519" t="s">
        <v>2215</v>
      </c>
      <c r="D221" s="119">
        <v>124</v>
      </c>
      <c r="E221" s="200"/>
      <c r="F221" s="200"/>
      <c r="G221" s="200"/>
      <c r="H221" s="200"/>
      <c r="I221" s="200">
        <v>26.54</v>
      </c>
      <c r="J221" s="200"/>
      <c r="K221" s="200"/>
      <c r="L221" s="200"/>
      <c r="M221" s="200"/>
      <c r="N221" s="200">
        <v>0</v>
      </c>
      <c r="O221" s="200">
        <v>0</v>
      </c>
      <c r="P221" s="200"/>
      <c r="Q221" s="226">
        <f>AVERAGE(E221:O221)</f>
        <v>8.8466666666666658</v>
      </c>
      <c r="R221" s="146" t="str">
        <f t="shared" si="16"/>
        <v>NO</v>
      </c>
      <c r="S221" s="201" t="str">
        <f t="shared" si="18"/>
        <v>Bajo</v>
      </c>
      <c r="T221" s="16"/>
    </row>
    <row r="222" spans="1:20" ht="32.1" customHeight="1">
      <c r="A222" s="82" t="s">
        <v>169</v>
      </c>
      <c r="B222" s="522" t="s">
        <v>2216</v>
      </c>
      <c r="C222" s="519" t="s">
        <v>2217</v>
      </c>
      <c r="D222" s="114">
        <v>45</v>
      </c>
      <c r="E222" s="200"/>
      <c r="F222" s="200"/>
      <c r="G222" s="200"/>
      <c r="H222" s="200"/>
      <c r="I222" s="200"/>
      <c r="J222" s="200">
        <v>97.34</v>
      </c>
      <c r="K222" s="200"/>
      <c r="L222" s="200"/>
      <c r="M222" s="200">
        <v>97.34</v>
      </c>
      <c r="N222" s="200"/>
      <c r="O222" s="200"/>
      <c r="P222" s="200"/>
      <c r="Q222" s="226">
        <f>AVERAGE(E222:P222)</f>
        <v>97.34</v>
      </c>
      <c r="R222" s="146" t="str">
        <f t="shared" si="16"/>
        <v>NO</v>
      </c>
      <c r="S222" s="201" t="str">
        <f t="shared" si="18"/>
        <v>Inviable Sanitariamente</v>
      </c>
      <c r="T222" s="16"/>
    </row>
    <row r="223" spans="1:20" ht="32.1" customHeight="1">
      <c r="A223" s="82" t="s">
        <v>169</v>
      </c>
      <c r="B223" s="522" t="s">
        <v>2218</v>
      </c>
      <c r="C223" s="519" t="s">
        <v>2219</v>
      </c>
      <c r="D223" s="199">
        <v>64</v>
      </c>
      <c r="E223" s="200"/>
      <c r="F223" s="200"/>
      <c r="G223" s="200">
        <v>0</v>
      </c>
      <c r="H223" s="200"/>
      <c r="I223" s="200"/>
      <c r="J223" s="200"/>
      <c r="K223" s="200"/>
      <c r="L223" s="200"/>
      <c r="M223" s="200"/>
      <c r="N223" s="200">
        <v>0</v>
      </c>
      <c r="O223" s="200">
        <v>0</v>
      </c>
      <c r="P223" s="200"/>
      <c r="Q223" s="226">
        <f>AVERAGE(E223:P223)</f>
        <v>0</v>
      </c>
      <c r="R223" s="146" t="str">
        <f t="shared" si="16"/>
        <v>SI</v>
      </c>
      <c r="S223" s="201" t="str">
        <f t="shared" si="18"/>
        <v>Sin Riesgo</v>
      </c>
      <c r="T223" s="16"/>
    </row>
    <row r="224" spans="1:20" ht="32.1" customHeight="1">
      <c r="A224" s="82" t="s">
        <v>169</v>
      </c>
      <c r="B224" s="522" t="s">
        <v>2220</v>
      </c>
      <c r="C224" s="519" t="s">
        <v>2221</v>
      </c>
      <c r="D224" s="199">
        <v>51</v>
      </c>
      <c r="E224" s="200"/>
      <c r="F224" s="200"/>
      <c r="G224" s="200"/>
      <c r="H224" s="200"/>
      <c r="I224" s="200">
        <v>0</v>
      </c>
      <c r="J224" s="200"/>
      <c r="K224" s="200"/>
      <c r="L224" s="200"/>
      <c r="M224" s="200"/>
      <c r="N224" s="200">
        <v>0</v>
      </c>
      <c r="O224" s="200">
        <v>0</v>
      </c>
      <c r="P224" s="200"/>
      <c r="Q224" s="226">
        <f>AVERAGE(E224:P224)</f>
        <v>0</v>
      </c>
      <c r="R224" s="146" t="str">
        <f t="shared" si="16"/>
        <v>SI</v>
      </c>
      <c r="S224" s="201" t="str">
        <f t="shared" si="18"/>
        <v>Sin Riesgo</v>
      </c>
      <c r="T224" s="16"/>
    </row>
    <row r="225" spans="1:20" ht="32.1" customHeight="1">
      <c r="A225" s="82" t="s">
        <v>169</v>
      </c>
      <c r="B225" s="522" t="s">
        <v>1281</v>
      </c>
      <c r="C225" s="519" t="s">
        <v>2222</v>
      </c>
      <c r="D225" s="199">
        <v>46</v>
      </c>
      <c r="E225" s="200"/>
      <c r="F225" s="200"/>
      <c r="G225" s="200">
        <v>26.54</v>
      </c>
      <c r="H225" s="200"/>
      <c r="I225" s="200"/>
      <c r="J225" s="200"/>
      <c r="K225" s="200"/>
      <c r="L225" s="200"/>
      <c r="M225" s="200"/>
      <c r="N225" s="200">
        <v>0</v>
      </c>
      <c r="O225" s="200">
        <v>0</v>
      </c>
      <c r="P225" s="200"/>
      <c r="Q225" s="226">
        <f>AVERAGE(E225:O225)</f>
        <v>8.8466666666666658</v>
      </c>
      <c r="R225" s="146" t="str">
        <f t="shared" si="16"/>
        <v>NO</v>
      </c>
      <c r="S225" s="201" t="str">
        <f t="shared" si="18"/>
        <v>Bajo</v>
      </c>
      <c r="T225" s="16"/>
    </row>
    <row r="226" spans="1:20" ht="32.1" customHeight="1">
      <c r="A226" s="82" t="s">
        <v>169</v>
      </c>
      <c r="B226" s="522" t="s">
        <v>2223</v>
      </c>
      <c r="C226" s="519" t="s">
        <v>2224</v>
      </c>
      <c r="D226" s="199">
        <v>136</v>
      </c>
      <c r="E226" s="200"/>
      <c r="F226" s="200"/>
      <c r="G226" s="200"/>
      <c r="H226" s="200"/>
      <c r="I226" s="200">
        <v>70.790000000000006</v>
      </c>
      <c r="J226" s="200"/>
      <c r="K226" s="200"/>
      <c r="L226" s="200"/>
      <c r="M226" s="200"/>
      <c r="N226" s="200">
        <v>0</v>
      </c>
      <c r="O226" s="200">
        <v>0</v>
      </c>
      <c r="P226" s="200"/>
      <c r="Q226" s="226">
        <f t="shared" ref="Q226:Q233" si="19">AVERAGE(E226:P226)</f>
        <v>23.596666666666668</v>
      </c>
      <c r="R226" s="146" t="str">
        <f t="shared" si="16"/>
        <v>NO</v>
      </c>
      <c r="S226" s="201" t="str">
        <f t="shared" si="18"/>
        <v>Medio</v>
      </c>
      <c r="T226" s="16"/>
    </row>
    <row r="227" spans="1:20" ht="32.1" customHeight="1">
      <c r="A227" s="82" t="s">
        <v>169</v>
      </c>
      <c r="B227" s="522" t="s">
        <v>2225</v>
      </c>
      <c r="C227" s="519" t="s">
        <v>2226</v>
      </c>
      <c r="D227" s="199">
        <v>60</v>
      </c>
      <c r="E227" s="200"/>
      <c r="F227" s="200"/>
      <c r="G227" s="200">
        <v>26.54</v>
      </c>
      <c r="H227" s="200"/>
      <c r="I227" s="200"/>
      <c r="J227" s="200"/>
      <c r="K227" s="200"/>
      <c r="L227" s="200"/>
      <c r="M227" s="200"/>
      <c r="N227" s="200">
        <v>0</v>
      </c>
      <c r="O227" s="200">
        <v>0</v>
      </c>
      <c r="P227" s="200"/>
      <c r="Q227" s="226">
        <f t="shared" si="19"/>
        <v>8.8466666666666658</v>
      </c>
      <c r="R227" s="146" t="str">
        <f t="shared" si="16"/>
        <v>NO</v>
      </c>
      <c r="S227" s="201" t="str">
        <f t="shared" si="18"/>
        <v>Bajo</v>
      </c>
      <c r="T227" s="16"/>
    </row>
    <row r="228" spans="1:20" ht="32.1" customHeight="1">
      <c r="A228" s="82" t="s">
        <v>169</v>
      </c>
      <c r="B228" s="522" t="s">
        <v>2227</v>
      </c>
      <c r="C228" s="519" t="s">
        <v>2228</v>
      </c>
      <c r="D228" s="199">
        <v>142</v>
      </c>
      <c r="E228" s="200"/>
      <c r="F228" s="200">
        <v>0</v>
      </c>
      <c r="G228" s="200"/>
      <c r="H228" s="200"/>
      <c r="I228" s="200"/>
      <c r="J228" s="200"/>
      <c r="K228" s="200"/>
      <c r="L228" s="200"/>
      <c r="M228" s="200"/>
      <c r="N228" s="200"/>
      <c r="O228" s="200"/>
      <c r="P228" s="200"/>
      <c r="Q228" s="226">
        <f t="shared" si="19"/>
        <v>0</v>
      </c>
      <c r="R228" s="146" t="str">
        <f t="shared" si="16"/>
        <v>SI</v>
      </c>
      <c r="S228" s="201" t="str">
        <f t="shared" si="18"/>
        <v>Sin Riesgo</v>
      </c>
      <c r="T228" s="16"/>
    </row>
    <row r="229" spans="1:20" ht="32.1" customHeight="1">
      <c r="A229" s="82" t="s">
        <v>169</v>
      </c>
      <c r="B229" s="522" t="s">
        <v>2229</v>
      </c>
      <c r="C229" s="519" t="s">
        <v>2230</v>
      </c>
      <c r="D229" s="199">
        <v>81</v>
      </c>
      <c r="E229" s="200"/>
      <c r="F229" s="200"/>
      <c r="G229" s="200"/>
      <c r="H229" s="200"/>
      <c r="I229" s="200"/>
      <c r="J229" s="200"/>
      <c r="K229" s="200">
        <v>97.34</v>
      </c>
      <c r="L229" s="200"/>
      <c r="M229" s="200"/>
      <c r="N229" s="200"/>
      <c r="O229" s="200"/>
      <c r="P229" s="200"/>
      <c r="Q229" s="226">
        <f t="shared" si="19"/>
        <v>97.34</v>
      </c>
      <c r="R229" s="146" t="str">
        <f t="shared" si="16"/>
        <v>NO</v>
      </c>
      <c r="S229" s="201" t="str">
        <f t="shared" si="18"/>
        <v>Inviable Sanitariamente</v>
      </c>
      <c r="T229" s="16"/>
    </row>
    <row r="230" spans="1:20" ht="32.1" customHeight="1">
      <c r="A230" s="82" t="s">
        <v>169</v>
      </c>
      <c r="B230" s="522" t="s">
        <v>2194</v>
      </c>
      <c r="C230" s="519" t="s">
        <v>2231</v>
      </c>
      <c r="D230" s="199">
        <v>141</v>
      </c>
      <c r="E230" s="200"/>
      <c r="F230" s="200"/>
      <c r="G230" s="200"/>
      <c r="H230" s="200"/>
      <c r="I230" s="200"/>
      <c r="J230" s="200"/>
      <c r="K230" s="200"/>
      <c r="L230" s="200"/>
      <c r="M230" s="200"/>
      <c r="N230" s="200"/>
      <c r="O230" s="200">
        <v>97.34</v>
      </c>
      <c r="P230" s="200"/>
      <c r="Q230" s="226">
        <f t="shared" si="19"/>
        <v>97.34</v>
      </c>
      <c r="R230" s="146" t="str">
        <f t="shared" si="16"/>
        <v>NO</v>
      </c>
      <c r="S230" s="201" t="str">
        <f t="shared" si="18"/>
        <v>Inviable Sanitariamente</v>
      </c>
      <c r="T230" s="16"/>
    </row>
    <row r="231" spans="1:20" ht="32.1" customHeight="1">
      <c r="A231" s="82" t="s">
        <v>169</v>
      </c>
      <c r="B231" s="522" t="s">
        <v>2232</v>
      </c>
      <c r="C231" s="519" t="s">
        <v>2233</v>
      </c>
      <c r="D231" s="199">
        <v>38</v>
      </c>
      <c r="E231" s="200"/>
      <c r="F231" s="200"/>
      <c r="G231" s="200"/>
      <c r="H231" s="200"/>
      <c r="I231" s="200"/>
      <c r="J231" s="200"/>
      <c r="K231" s="200"/>
      <c r="L231" s="200"/>
      <c r="M231" s="200">
        <v>26.54</v>
      </c>
      <c r="N231" s="200"/>
      <c r="O231" s="200"/>
      <c r="P231" s="200"/>
      <c r="Q231" s="226">
        <f t="shared" si="19"/>
        <v>26.54</v>
      </c>
      <c r="R231" s="146" t="str">
        <f t="shared" si="16"/>
        <v>NO</v>
      </c>
      <c r="S231" s="201" t="str">
        <f t="shared" si="18"/>
        <v>Medio</v>
      </c>
      <c r="T231" s="16"/>
    </row>
    <row r="232" spans="1:20" ht="32.1" customHeight="1">
      <c r="A232" s="82" t="s">
        <v>169</v>
      </c>
      <c r="B232" s="522" t="s">
        <v>2234</v>
      </c>
      <c r="C232" s="518" t="s">
        <v>2235</v>
      </c>
      <c r="D232" s="199">
        <v>70</v>
      </c>
      <c r="E232" s="200"/>
      <c r="F232" s="200">
        <v>97.34</v>
      </c>
      <c r="G232" s="200"/>
      <c r="H232" s="200"/>
      <c r="I232" s="200"/>
      <c r="J232" s="200"/>
      <c r="K232" s="200"/>
      <c r="L232" s="200"/>
      <c r="M232" s="200"/>
      <c r="N232" s="200"/>
      <c r="O232" s="200"/>
      <c r="P232" s="200"/>
      <c r="Q232" s="226">
        <f t="shared" si="19"/>
        <v>97.34</v>
      </c>
      <c r="R232" s="146" t="str">
        <f t="shared" si="16"/>
        <v>NO</v>
      </c>
      <c r="S232" s="201" t="str">
        <f t="shared" si="18"/>
        <v>Inviable Sanitariamente</v>
      </c>
      <c r="T232" s="16"/>
    </row>
    <row r="233" spans="1:20" ht="32.1" customHeight="1">
      <c r="A233" s="82" t="s">
        <v>169</v>
      </c>
      <c r="B233" s="522" t="s">
        <v>2236</v>
      </c>
      <c r="C233" s="527" t="s">
        <v>2237</v>
      </c>
      <c r="D233" s="199">
        <v>50</v>
      </c>
      <c r="E233" s="200"/>
      <c r="F233" s="200"/>
      <c r="G233" s="200"/>
      <c r="H233" s="200"/>
      <c r="I233" s="200"/>
      <c r="J233" s="200"/>
      <c r="K233" s="200"/>
      <c r="L233" s="200"/>
      <c r="M233" s="200">
        <v>97.34</v>
      </c>
      <c r="N233" s="200"/>
      <c r="O233" s="200"/>
      <c r="P233" s="200"/>
      <c r="Q233" s="226">
        <f t="shared" si="19"/>
        <v>97.34</v>
      </c>
      <c r="R233" s="146" t="str">
        <f t="shared" si="16"/>
        <v>NO</v>
      </c>
      <c r="S233" s="201" t="str">
        <f t="shared" si="18"/>
        <v>Inviable Sanitariamente</v>
      </c>
      <c r="T233" s="16"/>
    </row>
    <row r="234" spans="1:20" ht="32.1" customHeight="1">
      <c r="A234" s="82" t="s">
        <v>169</v>
      </c>
      <c r="B234" s="522" t="s">
        <v>2238</v>
      </c>
      <c r="C234" s="519" t="s">
        <v>2239</v>
      </c>
      <c r="D234" s="119">
        <v>87</v>
      </c>
      <c r="E234" s="200"/>
      <c r="F234" s="200"/>
      <c r="G234" s="200"/>
      <c r="H234" s="200"/>
      <c r="I234" s="200">
        <v>97.34</v>
      </c>
      <c r="J234" s="200"/>
      <c r="K234" s="200"/>
      <c r="L234" s="200"/>
      <c r="M234" s="200">
        <v>97.34</v>
      </c>
      <c r="N234" s="200"/>
      <c r="O234" s="200"/>
      <c r="P234" s="200"/>
      <c r="Q234" s="226">
        <f>AVERAGE(E234:O234)</f>
        <v>97.34</v>
      </c>
      <c r="R234" s="146" t="str">
        <f t="shared" ref="R234:R297" si="20">IF(Q234&lt;5,"SI","NO")</f>
        <v>NO</v>
      </c>
      <c r="S234" s="201" t="str">
        <f t="shared" si="18"/>
        <v>Inviable Sanitariamente</v>
      </c>
      <c r="T234" s="16"/>
    </row>
    <row r="235" spans="1:20" ht="32.1" customHeight="1">
      <c r="A235" s="82" t="s">
        <v>169</v>
      </c>
      <c r="B235" s="522" t="s">
        <v>2240</v>
      </c>
      <c r="C235" s="519" t="s">
        <v>2241</v>
      </c>
      <c r="D235" s="199">
        <v>44</v>
      </c>
      <c r="E235" s="200"/>
      <c r="F235" s="200"/>
      <c r="G235" s="200"/>
      <c r="H235" s="200"/>
      <c r="I235" s="200"/>
      <c r="J235" s="200"/>
      <c r="K235" s="200"/>
      <c r="L235" s="200"/>
      <c r="M235" s="200"/>
      <c r="N235" s="200">
        <v>97.34</v>
      </c>
      <c r="O235" s="200"/>
      <c r="P235" s="200"/>
      <c r="Q235" s="226">
        <f t="shared" ref="Q235:Q298" si="21">AVERAGE(E235:P235)</f>
        <v>97.34</v>
      </c>
      <c r="R235" s="146" t="str">
        <f t="shared" si="20"/>
        <v>NO</v>
      </c>
      <c r="S235" s="201" t="str">
        <f t="shared" si="18"/>
        <v>Inviable Sanitariamente</v>
      </c>
      <c r="T235" s="16"/>
    </row>
    <row r="236" spans="1:20" ht="32.1" customHeight="1">
      <c r="A236" s="82" t="s">
        <v>169</v>
      </c>
      <c r="B236" s="522" t="s">
        <v>4473</v>
      </c>
      <c r="C236" s="519" t="s">
        <v>4474</v>
      </c>
      <c r="D236" s="199"/>
      <c r="E236" s="200"/>
      <c r="F236" s="200"/>
      <c r="G236" s="200"/>
      <c r="H236" s="200"/>
      <c r="I236" s="200"/>
      <c r="J236" s="200"/>
      <c r="K236" s="200"/>
      <c r="L236" s="200"/>
      <c r="M236" s="200"/>
      <c r="N236" s="200"/>
      <c r="O236" s="200"/>
      <c r="P236" s="200"/>
      <c r="Q236" s="226" t="e">
        <f t="shared" ref="Q236" si="22">AVERAGE(E236:P236)</f>
        <v>#DIV/0!</v>
      </c>
      <c r="R236" s="146" t="e">
        <f t="shared" ref="R236" si="23">IF(Q236&lt;5,"SI","NO")</f>
        <v>#DIV/0!</v>
      </c>
      <c r="S236" s="201" t="e">
        <f t="shared" ref="S236" si="24">IF(Q236&lt;5,"Sin Riesgo",IF(Q236 &lt;=14,"Bajo",IF(Q236&lt;=35,"Medio",IF(Q236&lt;=80,"Alto","Inviable Sanitariamente"))))</f>
        <v>#DIV/0!</v>
      </c>
      <c r="T236" s="16"/>
    </row>
    <row r="237" spans="1:20" ht="32.1" customHeight="1">
      <c r="A237" s="82" t="s">
        <v>169</v>
      </c>
      <c r="B237" s="522" t="s">
        <v>2242</v>
      </c>
      <c r="C237" s="519" t="s">
        <v>4475</v>
      </c>
      <c r="D237" s="119">
        <v>36</v>
      </c>
      <c r="E237" s="200"/>
      <c r="F237" s="200">
        <v>0</v>
      </c>
      <c r="G237" s="200"/>
      <c r="H237" s="200"/>
      <c r="I237" s="200"/>
      <c r="J237" s="200"/>
      <c r="K237" s="200"/>
      <c r="L237" s="200"/>
      <c r="M237" s="200"/>
      <c r="N237" s="200"/>
      <c r="O237" s="200"/>
      <c r="P237" s="200"/>
      <c r="Q237" s="226">
        <f t="shared" si="21"/>
        <v>0</v>
      </c>
      <c r="R237" s="146" t="str">
        <f t="shared" si="20"/>
        <v>SI</v>
      </c>
      <c r="S237" s="201" t="str">
        <f t="shared" si="18"/>
        <v>Sin Riesgo</v>
      </c>
      <c r="T237" s="16"/>
    </row>
    <row r="238" spans="1:20" ht="32.1" customHeight="1">
      <c r="A238" s="82" t="s">
        <v>169</v>
      </c>
      <c r="B238" s="522" t="s">
        <v>2243</v>
      </c>
      <c r="C238" s="519" t="s">
        <v>2244</v>
      </c>
      <c r="D238" s="148">
        <v>45</v>
      </c>
      <c r="E238" s="200"/>
      <c r="F238" s="200"/>
      <c r="G238" s="200"/>
      <c r="H238" s="200"/>
      <c r="I238" s="200"/>
      <c r="J238" s="200"/>
      <c r="K238" s="200"/>
      <c r="L238" s="200"/>
      <c r="M238" s="200"/>
      <c r="N238" s="200"/>
      <c r="O238" s="200">
        <v>97.34</v>
      </c>
      <c r="P238" s="200"/>
      <c r="Q238" s="226">
        <f t="shared" si="21"/>
        <v>97.34</v>
      </c>
      <c r="R238" s="146" t="str">
        <f t="shared" si="20"/>
        <v>NO</v>
      </c>
      <c r="S238" s="201" t="str">
        <f t="shared" si="18"/>
        <v>Inviable Sanitariamente</v>
      </c>
      <c r="T238" s="16"/>
    </row>
    <row r="239" spans="1:20" ht="32.1" customHeight="1">
      <c r="A239" s="82" t="s">
        <v>169</v>
      </c>
      <c r="B239" s="522" t="s">
        <v>2245</v>
      </c>
      <c r="C239" s="519" t="s">
        <v>2246</v>
      </c>
      <c r="D239" s="148">
        <v>48</v>
      </c>
      <c r="E239" s="200"/>
      <c r="F239" s="200"/>
      <c r="G239" s="200"/>
      <c r="H239" s="200"/>
      <c r="I239" s="200"/>
      <c r="J239" s="200"/>
      <c r="K239" s="200">
        <v>97.34</v>
      </c>
      <c r="L239" s="200"/>
      <c r="M239" s="200"/>
      <c r="N239" s="200"/>
      <c r="O239" s="200"/>
      <c r="P239" s="200"/>
      <c r="Q239" s="226">
        <f t="shared" si="21"/>
        <v>97.34</v>
      </c>
      <c r="R239" s="146" t="str">
        <f t="shared" si="20"/>
        <v>NO</v>
      </c>
      <c r="S239" s="201" t="str">
        <f t="shared" si="18"/>
        <v>Inviable Sanitariamente</v>
      </c>
      <c r="T239" s="16"/>
    </row>
    <row r="240" spans="1:20" ht="32.1" customHeight="1">
      <c r="A240" s="82" t="s">
        <v>169</v>
      </c>
      <c r="B240" s="522" t="s">
        <v>2247</v>
      </c>
      <c r="C240" s="519" t="s">
        <v>2248</v>
      </c>
      <c r="D240" s="148">
        <v>52</v>
      </c>
      <c r="E240" s="200"/>
      <c r="F240" s="200"/>
      <c r="G240" s="200"/>
      <c r="H240" s="200"/>
      <c r="I240" s="200"/>
      <c r="J240" s="200"/>
      <c r="K240" s="200"/>
      <c r="L240" s="200"/>
      <c r="M240" s="200">
        <v>97.34</v>
      </c>
      <c r="N240" s="200"/>
      <c r="O240" s="200"/>
      <c r="P240" s="200"/>
      <c r="Q240" s="226">
        <f t="shared" si="21"/>
        <v>97.34</v>
      </c>
      <c r="R240" s="146" t="str">
        <f t="shared" si="20"/>
        <v>NO</v>
      </c>
      <c r="S240" s="201" t="str">
        <f t="shared" si="18"/>
        <v>Inviable Sanitariamente</v>
      </c>
      <c r="T240" s="16"/>
    </row>
    <row r="241" spans="1:20" ht="32.1" customHeight="1">
      <c r="A241" s="82" t="s">
        <v>169</v>
      </c>
      <c r="B241" s="522" t="s">
        <v>2249</v>
      </c>
      <c r="C241" s="519" t="s">
        <v>2250</v>
      </c>
      <c r="D241" s="148">
        <v>110</v>
      </c>
      <c r="E241" s="200"/>
      <c r="F241" s="200"/>
      <c r="G241" s="200"/>
      <c r="H241" s="200"/>
      <c r="I241" s="200"/>
      <c r="J241" s="200"/>
      <c r="K241" s="200"/>
      <c r="L241" s="200"/>
      <c r="M241" s="200">
        <v>97.34</v>
      </c>
      <c r="N241" s="200"/>
      <c r="O241" s="200"/>
      <c r="P241" s="200"/>
      <c r="Q241" s="226">
        <f t="shared" si="21"/>
        <v>97.34</v>
      </c>
      <c r="R241" s="146" t="str">
        <f t="shared" si="20"/>
        <v>NO</v>
      </c>
      <c r="S241" s="201" t="str">
        <f t="shared" si="18"/>
        <v>Inviable Sanitariamente</v>
      </c>
      <c r="T241" s="16"/>
    </row>
    <row r="242" spans="1:20" ht="32.1" customHeight="1">
      <c r="A242" s="82" t="s">
        <v>169</v>
      </c>
      <c r="B242" s="522" t="s">
        <v>1214</v>
      </c>
      <c r="C242" s="519" t="s">
        <v>2251</v>
      </c>
      <c r="D242" s="119">
        <v>38</v>
      </c>
      <c r="E242" s="200"/>
      <c r="F242" s="200"/>
      <c r="G242" s="200"/>
      <c r="H242" s="200"/>
      <c r="I242" s="200"/>
      <c r="J242" s="200"/>
      <c r="K242" s="200">
        <v>97.34</v>
      </c>
      <c r="L242" s="200"/>
      <c r="M242" s="200"/>
      <c r="N242" s="200"/>
      <c r="O242" s="200"/>
      <c r="P242" s="200"/>
      <c r="Q242" s="226">
        <f t="shared" si="21"/>
        <v>97.34</v>
      </c>
      <c r="R242" s="146" t="str">
        <f t="shared" si="20"/>
        <v>NO</v>
      </c>
      <c r="S242" s="201" t="str">
        <f t="shared" si="18"/>
        <v>Inviable Sanitariamente</v>
      </c>
      <c r="T242" s="16"/>
    </row>
    <row r="243" spans="1:20" ht="32.1" customHeight="1">
      <c r="A243" s="82" t="s">
        <v>169</v>
      </c>
      <c r="B243" s="522" t="s">
        <v>1543</v>
      </c>
      <c r="C243" s="519" t="s">
        <v>2252</v>
      </c>
      <c r="D243" s="148">
        <v>121</v>
      </c>
      <c r="E243" s="200"/>
      <c r="F243" s="200"/>
      <c r="G243" s="200">
        <v>0</v>
      </c>
      <c r="H243" s="200"/>
      <c r="I243" s="200"/>
      <c r="J243" s="200"/>
      <c r="K243" s="200"/>
      <c r="L243" s="200"/>
      <c r="M243" s="200"/>
      <c r="N243" s="200">
        <v>0</v>
      </c>
      <c r="O243" s="200">
        <v>0</v>
      </c>
      <c r="P243" s="200"/>
      <c r="Q243" s="226">
        <f t="shared" si="21"/>
        <v>0</v>
      </c>
      <c r="R243" s="146" t="str">
        <f t="shared" si="20"/>
        <v>SI</v>
      </c>
      <c r="S243" s="201" t="str">
        <f t="shared" si="18"/>
        <v>Sin Riesgo</v>
      </c>
      <c r="T243" s="16"/>
    </row>
    <row r="244" spans="1:20" ht="32.1" customHeight="1">
      <c r="A244" s="82" t="s">
        <v>169</v>
      </c>
      <c r="B244" s="522" t="s">
        <v>690</v>
      </c>
      <c r="C244" s="519" t="s">
        <v>2253</v>
      </c>
      <c r="D244" s="148">
        <v>90</v>
      </c>
      <c r="E244" s="200"/>
      <c r="F244" s="200">
        <v>0</v>
      </c>
      <c r="G244" s="200"/>
      <c r="H244" s="200"/>
      <c r="I244" s="200">
        <v>0</v>
      </c>
      <c r="J244" s="200"/>
      <c r="K244" s="200"/>
      <c r="L244" s="200"/>
      <c r="M244" s="200"/>
      <c r="N244" s="200"/>
      <c r="O244" s="200"/>
      <c r="P244" s="200"/>
      <c r="Q244" s="226">
        <f t="shared" si="21"/>
        <v>0</v>
      </c>
      <c r="R244" s="146" t="str">
        <f t="shared" si="20"/>
        <v>SI</v>
      </c>
      <c r="S244" s="201" t="str">
        <f t="shared" si="18"/>
        <v>Sin Riesgo</v>
      </c>
      <c r="T244" s="16"/>
    </row>
    <row r="245" spans="1:20" ht="32.1" customHeight="1">
      <c r="A245" s="82" t="s">
        <v>170</v>
      </c>
      <c r="B245" s="522" t="s">
        <v>2255</v>
      </c>
      <c r="C245" s="519" t="s">
        <v>2256</v>
      </c>
      <c r="D245" s="148">
        <v>40</v>
      </c>
      <c r="E245" s="200"/>
      <c r="F245" s="200"/>
      <c r="G245" s="200"/>
      <c r="H245" s="200"/>
      <c r="I245" s="200">
        <v>59.05</v>
      </c>
      <c r="J245" s="200"/>
      <c r="K245" s="200"/>
      <c r="L245" s="200"/>
      <c r="M245" s="200"/>
      <c r="N245" s="200"/>
      <c r="O245" s="200"/>
      <c r="P245" s="200"/>
      <c r="Q245" s="226">
        <f t="shared" si="21"/>
        <v>59.05</v>
      </c>
      <c r="R245" s="146" t="str">
        <f t="shared" si="20"/>
        <v>NO</v>
      </c>
      <c r="S245" s="201" t="str">
        <f t="shared" si="18"/>
        <v>Alto</v>
      </c>
      <c r="T245" s="16"/>
    </row>
    <row r="246" spans="1:20" ht="32.1" customHeight="1">
      <c r="A246" s="82" t="s">
        <v>170</v>
      </c>
      <c r="B246" s="522" t="s">
        <v>2257</v>
      </c>
      <c r="C246" s="519" t="s">
        <v>2258</v>
      </c>
      <c r="D246" s="199">
        <v>37</v>
      </c>
      <c r="E246" s="200"/>
      <c r="F246" s="200"/>
      <c r="G246" s="200"/>
      <c r="H246" s="200"/>
      <c r="I246" s="200">
        <v>59.05</v>
      </c>
      <c r="J246" s="200"/>
      <c r="K246" s="200"/>
      <c r="L246" s="200"/>
      <c r="M246" s="200"/>
      <c r="N246" s="200"/>
      <c r="O246" s="200"/>
      <c r="P246" s="200"/>
      <c r="Q246" s="226">
        <f t="shared" si="21"/>
        <v>59.05</v>
      </c>
      <c r="R246" s="146" t="str">
        <f t="shared" si="20"/>
        <v>NO</v>
      </c>
      <c r="S246" s="201" t="str">
        <f t="shared" si="18"/>
        <v>Alto</v>
      </c>
      <c r="T246" s="16"/>
    </row>
    <row r="247" spans="1:20" ht="32.1" customHeight="1">
      <c r="A247" s="82" t="s">
        <v>170</v>
      </c>
      <c r="B247" s="522" t="s">
        <v>2259</v>
      </c>
      <c r="C247" s="519" t="s">
        <v>2260</v>
      </c>
      <c r="D247" s="199">
        <v>35</v>
      </c>
      <c r="E247" s="200"/>
      <c r="F247" s="200"/>
      <c r="G247" s="200"/>
      <c r="H247" s="200"/>
      <c r="I247" s="200">
        <v>59.05</v>
      </c>
      <c r="J247" s="200"/>
      <c r="K247" s="200"/>
      <c r="L247" s="200"/>
      <c r="M247" s="200"/>
      <c r="N247" s="200"/>
      <c r="O247" s="200"/>
      <c r="P247" s="200"/>
      <c r="Q247" s="226">
        <f t="shared" si="21"/>
        <v>59.05</v>
      </c>
      <c r="R247" s="146" t="str">
        <f t="shared" si="20"/>
        <v>NO</v>
      </c>
      <c r="S247" s="201" t="str">
        <f t="shared" si="18"/>
        <v>Alto</v>
      </c>
      <c r="T247" s="16"/>
    </row>
    <row r="248" spans="1:20" ht="32.1" customHeight="1">
      <c r="A248" s="82" t="s">
        <v>170</v>
      </c>
      <c r="B248" s="522" t="s">
        <v>2261</v>
      </c>
      <c r="C248" s="519" t="s">
        <v>2262</v>
      </c>
      <c r="D248" s="199">
        <v>29</v>
      </c>
      <c r="E248" s="200"/>
      <c r="F248" s="200"/>
      <c r="G248" s="200"/>
      <c r="H248" s="200"/>
      <c r="I248" s="200">
        <v>59.05</v>
      </c>
      <c r="J248" s="200"/>
      <c r="K248" s="200"/>
      <c r="L248" s="200"/>
      <c r="M248" s="200"/>
      <c r="N248" s="200"/>
      <c r="O248" s="200"/>
      <c r="P248" s="200"/>
      <c r="Q248" s="226">
        <f t="shared" si="21"/>
        <v>59.05</v>
      </c>
      <c r="R248" s="146" t="str">
        <f t="shared" si="20"/>
        <v>NO</v>
      </c>
      <c r="S248" s="201" t="str">
        <f t="shared" si="18"/>
        <v>Alto</v>
      </c>
      <c r="T248" s="16"/>
    </row>
    <row r="249" spans="1:20" ht="32.1" customHeight="1">
      <c r="A249" s="82" t="s">
        <v>170</v>
      </c>
      <c r="B249" s="522" t="s">
        <v>2263</v>
      </c>
      <c r="C249" s="519" t="s">
        <v>2264</v>
      </c>
      <c r="D249" s="199">
        <v>42</v>
      </c>
      <c r="E249" s="200"/>
      <c r="F249" s="200"/>
      <c r="G249" s="200"/>
      <c r="H249" s="200"/>
      <c r="I249" s="200"/>
      <c r="J249" s="200">
        <v>19.5</v>
      </c>
      <c r="K249" s="200"/>
      <c r="L249" s="200"/>
      <c r="M249" s="200"/>
      <c r="N249" s="200"/>
      <c r="O249" s="200"/>
      <c r="P249" s="200"/>
      <c r="Q249" s="226">
        <f t="shared" si="21"/>
        <v>19.5</v>
      </c>
      <c r="R249" s="146" t="str">
        <f t="shared" si="20"/>
        <v>NO</v>
      </c>
      <c r="S249" s="201" t="str">
        <f t="shared" si="18"/>
        <v>Medio</v>
      </c>
      <c r="T249" s="16"/>
    </row>
    <row r="250" spans="1:20" ht="32.1" customHeight="1">
      <c r="A250" s="82" t="s">
        <v>170</v>
      </c>
      <c r="B250" s="522" t="s">
        <v>2265</v>
      </c>
      <c r="C250" s="519" t="s">
        <v>2266</v>
      </c>
      <c r="D250" s="199">
        <v>29</v>
      </c>
      <c r="E250" s="200"/>
      <c r="F250" s="200"/>
      <c r="G250" s="200"/>
      <c r="H250" s="200"/>
      <c r="I250" s="200"/>
      <c r="J250" s="200">
        <v>19.5</v>
      </c>
      <c r="K250" s="200"/>
      <c r="L250" s="200"/>
      <c r="M250" s="200"/>
      <c r="N250" s="200"/>
      <c r="O250" s="200"/>
      <c r="P250" s="200"/>
      <c r="Q250" s="226">
        <f t="shared" si="21"/>
        <v>19.5</v>
      </c>
      <c r="R250" s="146" t="str">
        <f t="shared" si="20"/>
        <v>NO</v>
      </c>
      <c r="S250" s="201" t="str">
        <f t="shared" si="18"/>
        <v>Medio</v>
      </c>
      <c r="T250" s="16"/>
    </row>
    <row r="251" spans="1:20" ht="32.1" customHeight="1">
      <c r="A251" s="82" t="s">
        <v>170</v>
      </c>
      <c r="B251" s="522" t="s">
        <v>2267</v>
      </c>
      <c r="C251" s="519" t="s">
        <v>2268</v>
      </c>
      <c r="D251" s="199">
        <v>40</v>
      </c>
      <c r="E251" s="200"/>
      <c r="F251" s="200"/>
      <c r="G251" s="200"/>
      <c r="H251" s="200"/>
      <c r="I251" s="200"/>
      <c r="J251" s="200">
        <v>19.5</v>
      </c>
      <c r="K251" s="200"/>
      <c r="L251" s="200"/>
      <c r="M251" s="200"/>
      <c r="N251" s="200"/>
      <c r="O251" s="200"/>
      <c r="P251" s="200"/>
      <c r="Q251" s="226">
        <f t="shared" si="21"/>
        <v>19.5</v>
      </c>
      <c r="R251" s="146" t="str">
        <f t="shared" si="20"/>
        <v>NO</v>
      </c>
      <c r="S251" s="201" t="str">
        <f t="shared" si="18"/>
        <v>Medio</v>
      </c>
      <c r="T251" s="16"/>
    </row>
    <row r="252" spans="1:20" ht="32.1" customHeight="1">
      <c r="A252" s="82" t="s">
        <v>170</v>
      </c>
      <c r="B252" s="522" t="s">
        <v>2269</v>
      </c>
      <c r="C252" s="519" t="s">
        <v>2270</v>
      </c>
      <c r="D252" s="207">
        <v>33</v>
      </c>
      <c r="E252" s="200"/>
      <c r="F252" s="200"/>
      <c r="G252" s="200"/>
      <c r="H252" s="200"/>
      <c r="I252" s="200"/>
      <c r="J252" s="200">
        <v>19.5</v>
      </c>
      <c r="K252" s="200"/>
      <c r="L252" s="200"/>
      <c r="M252" s="200"/>
      <c r="N252" s="200"/>
      <c r="O252" s="200"/>
      <c r="P252" s="200"/>
      <c r="Q252" s="226">
        <f t="shared" si="21"/>
        <v>19.5</v>
      </c>
      <c r="R252" s="146" t="str">
        <f t="shared" si="20"/>
        <v>NO</v>
      </c>
      <c r="S252" s="201" t="str">
        <f t="shared" si="18"/>
        <v>Medio</v>
      </c>
      <c r="T252" s="16"/>
    </row>
    <row r="253" spans="1:20" ht="32.1" customHeight="1">
      <c r="A253" s="82" t="s">
        <v>170</v>
      </c>
      <c r="B253" s="522" t="s">
        <v>2271</v>
      </c>
      <c r="C253" s="519" t="s">
        <v>2272</v>
      </c>
      <c r="D253" s="199">
        <v>58</v>
      </c>
      <c r="E253" s="200"/>
      <c r="F253" s="200"/>
      <c r="G253" s="200"/>
      <c r="H253" s="200"/>
      <c r="I253" s="200"/>
      <c r="J253" s="200">
        <v>19.5</v>
      </c>
      <c r="K253" s="200"/>
      <c r="L253" s="200"/>
      <c r="M253" s="200"/>
      <c r="N253" s="200"/>
      <c r="O253" s="200"/>
      <c r="P253" s="200"/>
      <c r="Q253" s="226">
        <f t="shared" si="21"/>
        <v>19.5</v>
      </c>
      <c r="R253" s="146" t="str">
        <f t="shared" si="20"/>
        <v>NO</v>
      </c>
      <c r="S253" s="201" t="str">
        <f t="shared" si="18"/>
        <v>Medio</v>
      </c>
      <c r="T253" s="16"/>
    </row>
    <row r="254" spans="1:20" ht="32.1" customHeight="1">
      <c r="A254" s="82" t="s">
        <v>171</v>
      </c>
      <c r="B254" s="522" t="s">
        <v>2273</v>
      </c>
      <c r="C254" s="519" t="s">
        <v>2274</v>
      </c>
      <c r="D254" s="199">
        <v>82</v>
      </c>
      <c r="E254" s="200"/>
      <c r="F254" s="200"/>
      <c r="G254" s="200"/>
      <c r="H254" s="200"/>
      <c r="I254" s="200"/>
      <c r="J254" s="200">
        <v>97.34</v>
      </c>
      <c r="K254" s="200"/>
      <c r="L254" s="200"/>
      <c r="M254" s="200"/>
      <c r="N254" s="200"/>
      <c r="O254" s="200"/>
      <c r="P254" s="200"/>
      <c r="Q254" s="226">
        <f t="shared" si="21"/>
        <v>97.34</v>
      </c>
      <c r="R254" s="146" t="str">
        <f t="shared" si="20"/>
        <v>NO</v>
      </c>
      <c r="S254" s="201" t="str">
        <f t="shared" si="18"/>
        <v>Inviable Sanitariamente</v>
      </c>
      <c r="T254" s="16"/>
    </row>
    <row r="255" spans="1:20" ht="32.1" customHeight="1">
      <c r="A255" s="82" t="s">
        <v>171</v>
      </c>
      <c r="B255" s="522" t="s">
        <v>2275</v>
      </c>
      <c r="C255" s="519" t="s">
        <v>2276</v>
      </c>
      <c r="D255" s="199">
        <v>167</v>
      </c>
      <c r="E255" s="200">
        <v>0</v>
      </c>
      <c r="F255" s="200"/>
      <c r="G255" s="200">
        <v>0</v>
      </c>
      <c r="H255" s="200"/>
      <c r="I255" s="200">
        <v>0</v>
      </c>
      <c r="J255" s="200"/>
      <c r="K255" s="200"/>
      <c r="L255" s="200"/>
      <c r="M255" s="200"/>
      <c r="N255" s="200"/>
      <c r="O255" s="200"/>
      <c r="P255" s="200"/>
      <c r="Q255" s="226">
        <f t="shared" si="21"/>
        <v>0</v>
      </c>
      <c r="R255" s="146" t="str">
        <f t="shared" si="20"/>
        <v>SI</v>
      </c>
      <c r="S255" s="201" t="str">
        <f t="shared" si="18"/>
        <v>Sin Riesgo</v>
      </c>
      <c r="T255" s="16"/>
    </row>
    <row r="256" spans="1:20" ht="32.1" customHeight="1">
      <c r="A256" s="82" t="s">
        <v>171</v>
      </c>
      <c r="B256" s="522" t="s">
        <v>2277</v>
      </c>
      <c r="C256" s="527" t="s">
        <v>2278</v>
      </c>
      <c r="D256" s="199">
        <v>11</v>
      </c>
      <c r="E256" s="200"/>
      <c r="F256" s="200">
        <v>97.3</v>
      </c>
      <c r="G256" s="200"/>
      <c r="H256" s="200"/>
      <c r="I256" s="200"/>
      <c r="J256" s="200"/>
      <c r="K256" s="200"/>
      <c r="L256" s="200"/>
      <c r="M256" s="200"/>
      <c r="N256" s="200"/>
      <c r="O256" s="200"/>
      <c r="P256" s="200"/>
      <c r="Q256" s="226">
        <f t="shared" si="21"/>
        <v>97.3</v>
      </c>
      <c r="R256" s="146" t="str">
        <f t="shared" si="20"/>
        <v>NO</v>
      </c>
      <c r="S256" s="201" t="str">
        <f t="shared" si="18"/>
        <v>Inviable Sanitariamente</v>
      </c>
      <c r="T256" s="16"/>
    </row>
    <row r="257" spans="1:20" ht="32.1" customHeight="1">
      <c r="A257" s="82" t="s">
        <v>171</v>
      </c>
      <c r="B257" s="522" t="s">
        <v>2279</v>
      </c>
      <c r="C257" s="527" t="s">
        <v>2280</v>
      </c>
      <c r="D257" s="199">
        <v>8</v>
      </c>
      <c r="E257" s="200"/>
      <c r="F257" s="200">
        <v>97.3</v>
      </c>
      <c r="G257" s="200"/>
      <c r="H257" s="200"/>
      <c r="I257" s="200"/>
      <c r="J257" s="200"/>
      <c r="K257" s="200"/>
      <c r="L257" s="200"/>
      <c r="M257" s="200"/>
      <c r="N257" s="200"/>
      <c r="O257" s="200"/>
      <c r="P257" s="200"/>
      <c r="Q257" s="226">
        <f t="shared" si="21"/>
        <v>97.3</v>
      </c>
      <c r="R257" s="146" t="str">
        <f t="shared" si="20"/>
        <v>NO</v>
      </c>
      <c r="S257" s="201" t="str">
        <f t="shared" si="18"/>
        <v>Inviable Sanitariamente</v>
      </c>
      <c r="T257" s="16"/>
    </row>
    <row r="258" spans="1:20" ht="32.1" customHeight="1">
      <c r="A258" s="82" t="s">
        <v>171</v>
      </c>
      <c r="B258" s="522" t="s">
        <v>281</v>
      </c>
      <c r="C258" s="519" t="s">
        <v>2281</v>
      </c>
      <c r="D258" s="199">
        <v>11</v>
      </c>
      <c r="E258" s="200"/>
      <c r="F258" s="200">
        <v>97.3</v>
      </c>
      <c r="G258" s="200"/>
      <c r="H258" s="200"/>
      <c r="I258" s="200"/>
      <c r="J258" s="200"/>
      <c r="K258" s="200"/>
      <c r="L258" s="200"/>
      <c r="M258" s="200"/>
      <c r="N258" s="200"/>
      <c r="O258" s="200"/>
      <c r="P258" s="200"/>
      <c r="Q258" s="226">
        <f t="shared" si="21"/>
        <v>97.3</v>
      </c>
      <c r="R258" s="218" t="str">
        <f t="shared" si="20"/>
        <v>NO</v>
      </c>
      <c r="S258" s="201" t="str">
        <f t="shared" si="18"/>
        <v>Inviable Sanitariamente</v>
      </c>
      <c r="T258" s="16"/>
    </row>
    <row r="259" spans="1:20" ht="32.1" customHeight="1">
      <c r="A259" s="82" t="s">
        <v>171</v>
      </c>
      <c r="B259" s="522" t="s">
        <v>2282</v>
      </c>
      <c r="C259" s="519" t="s">
        <v>2283</v>
      </c>
      <c r="D259" s="199">
        <v>11</v>
      </c>
      <c r="E259" s="200"/>
      <c r="F259" s="200">
        <v>97.3</v>
      </c>
      <c r="G259" s="200"/>
      <c r="H259" s="200"/>
      <c r="I259" s="200"/>
      <c r="J259" s="200"/>
      <c r="K259" s="200"/>
      <c r="L259" s="200"/>
      <c r="M259" s="200"/>
      <c r="N259" s="200"/>
      <c r="O259" s="200"/>
      <c r="P259" s="200"/>
      <c r="Q259" s="226">
        <f t="shared" si="21"/>
        <v>97.3</v>
      </c>
      <c r="R259" s="146" t="str">
        <f t="shared" si="20"/>
        <v>NO</v>
      </c>
      <c r="S259" s="201" t="str">
        <f t="shared" si="18"/>
        <v>Inviable Sanitariamente</v>
      </c>
      <c r="T259" s="16"/>
    </row>
    <row r="260" spans="1:20" ht="32.1" customHeight="1">
      <c r="A260" s="82" t="s">
        <v>171</v>
      </c>
      <c r="B260" s="522" t="s">
        <v>2284</v>
      </c>
      <c r="C260" s="519" t="s">
        <v>2285</v>
      </c>
      <c r="D260" s="199">
        <v>104</v>
      </c>
      <c r="E260" s="200"/>
      <c r="F260" s="200">
        <v>97.3</v>
      </c>
      <c r="G260" s="200"/>
      <c r="H260" s="200"/>
      <c r="I260" s="200"/>
      <c r="J260" s="200"/>
      <c r="K260" s="200"/>
      <c r="L260" s="200"/>
      <c r="M260" s="200"/>
      <c r="N260" s="200"/>
      <c r="O260" s="200"/>
      <c r="P260" s="200"/>
      <c r="Q260" s="226">
        <f t="shared" si="21"/>
        <v>97.3</v>
      </c>
      <c r="R260" s="146" t="str">
        <f t="shared" si="20"/>
        <v>NO</v>
      </c>
      <c r="S260" s="201" t="str">
        <f t="shared" si="18"/>
        <v>Inviable Sanitariamente</v>
      </c>
      <c r="T260" s="16"/>
    </row>
    <row r="261" spans="1:20" ht="32.1" customHeight="1">
      <c r="A261" s="82" t="s">
        <v>171</v>
      </c>
      <c r="B261" s="522" t="s">
        <v>2286</v>
      </c>
      <c r="C261" s="519" t="s">
        <v>2287</v>
      </c>
      <c r="D261" s="207">
        <v>104</v>
      </c>
      <c r="E261" s="200"/>
      <c r="F261" s="200">
        <v>97.3</v>
      </c>
      <c r="G261" s="200"/>
      <c r="H261" s="200"/>
      <c r="I261" s="200">
        <v>97.3</v>
      </c>
      <c r="J261" s="200"/>
      <c r="K261" s="200"/>
      <c r="L261" s="200"/>
      <c r="M261" s="200"/>
      <c r="N261" s="200"/>
      <c r="O261" s="200"/>
      <c r="P261" s="200"/>
      <c r="Q261" s="226">
        <f t="shared" si="21"/>
        <v>97.3</v>
      </c>
      <c r="R261" s="146" t="str">
        <f t="shared" si="20"/>
        <v>NO</v>
      </c>
      <c r="S261" s="201" t="str">
        <f t="shared" si="18"/>
        <v>Inviable Sanitariamente</v>
      </c>
      <c r="T261" s="16"/>
    </row>
    <row r="262" spans="1:20" ht="32.1" customHeight="1">
      <c r="A262" s="82" t="s">
        <v>171</v>
      </c>
      <c r="B262" s="522" t="s">
        <v>2288</v>
      </c>
      <c r="C262" s="519" t="s">
        <v>2289</v>
      </c>
      <c r="D262" s="199">
        <v>7</v>
      </c>
      <c r="E262" s="200"/>
      <c r="F262" s="200">
        <v>97.3</v>
      </c>
      <c r="G262" s="200"/>
      <c r="H262" s="200"/>
      <c r="I262" s="200"/>
      <c r="J262" s="200"/>
      <c r="K262" s="200"/>
      <c r="L262" s="200"/>
      <c r="M262" s="200"/>
      <c r="N262" s="200"/>
      <c r="O262" s="200"/>
      <c r="P262" s="200"/>
      <c r="Q262" s="226">
        <f t="shared" si="21"/>
        <v>97.3</v>
      </c>
      <c r="R262" s="146" t="str">
        <f t="shared" si="20"/>
        <v>NO</v>
      </c>
      <c r="S262" s="201" t="str">
        <f t="shared" si="18"/>
        <v>Inviable Sanitariamente</v>
      </c>
      <c r="T262" s="16"/>
    </row>
    <row r="263" spans="1:20" ht="32.1" customHeight="1">
      <c r="A263" s="82" t="s">
        <v>171</v>
      </c>
      <c r="B263" s="522" t="s">
        <v>2290</v>
      </c>
      <c r="C263" s="519" t="s">
        <v>2291</v>
      </c>
      <c r="D263" s="199">
        <v>108</v>
      </c>
      <c r="E263" s="200"/>
      <c r="F263" s="200"/>
      <c r="G263" s="200"/>
      <c r="H263" s="200"/>
      <c r="I263" s="200"/>
      <c r="J263" s="200">
        <v>97.34</v>
      </c>
      <c r="K263" s="200"/>
      <c r="L263" s="200"/>
      <c r="M263" s="200"/>
      <c r="N263" s="200"/>
      <c r="O263" s="200"/>
      <c r="P263" s="200"/>
      <c r="Q263" s="226">
        <f t="shared" si="21"/>
        <v>97.34</v>
      </c>
      <c r="R263" s="146" t="str">
        <f t="shared" si="20"/>
        <v>NO</v>
      </c>
      <c r="S263" s="201" t="str">
        <f t="shared" si="18"/>
        <v>Inviable Sanitariamente</v>
      </c>
      <c r="T263" s="16"/>
    </row>
    <row r="264" spans="1:20" ht="32.1" customHeight="1">
      <c r="A264" s="82" t="s">
        <v>171</v>
      </c>
      <c r="B264" s="522" t="s">
        <v>2292</v>
      </c>
      <c r="C264" s="519" t="s">
        <v>2293</v>
      </c>
      <c r="D264" s="207">
        <v>77</v>
      </c>
      <c r="E264" s="200"/>
      <c r="F264" s="200"/>
      <c r="G264" s="200"/>
      <c r="H264" s="200"/>
      <c r="I264" s="200"/>
      <c r="J264" s="200">
        <v>53</v>
      </c>
      <c r="K264" s="200"/>
      <c r="L264" s="200"/>
      <c r="M264" s="200"/>
      <c r="N264" s="200"/>
      <c r="O264" s="200"/>
      <c r="P264" s="200"/>
      <c r="Q264" s="226">
        <f t="shared" si="21"/>
        <v>53</v>
      </c>
      <c r="R264" s="146" t="str">
        <f t="shared" si="20"/>
        <v>NO</v>
      </c>
      <c r="S264" s="201" t="str">
        <f t="shared" si="18"/>
        <v>Alto</v>
      </c>
      <c r="T264" s="16"/>
    </row>
    <row r="265" spans="1:20" ht="32.1" customHeight="1">
      <c r="A265" s="82" t="s">
        <v>171</v>
      </c>
      <c r="B265" s="522" t="s">
        <v>2294</v>
      </c>
      <c r="C265" s="519" t="s">
        <v>2295</v>
      </c>
      <c r="D265" s="199">
        <v>98</v>
      </c>
      <c r="E265" s="200"/>
      <c r="F265" s="200"/>
      <c r="G265" s="200"/>
      <c r="H265" s="200"/>
      <c r="I265" s="200"/>
      <c r="J265" s="200">
        <v>97.34</v>
      </c>
      <c r="K265" s="200"/>
      <c r="L265" s="200"/>
      <c r="M265" s="200"/>
      <c r="N265" s="200"/>
      <c r="O265" s="200"/>
      <c r="P265" s="200"/>
      <c r="Q265" s="226">
        <f t="shared" si="21"/>
        <v>97.34</v>
      </c>
      <c r="R265" s="146" t="str">
        <f t="shared" si="20"/>
        <v>NO</v>
      </c>
      <c r="S265" s="201" t="str">
        <f t="shared" si="18"/>
        <v>Inviable Sanitariamente</v>
      </c>
      <c r="T265" s="16"/>
    </row>
    <row r="266" spans="1:20" ht="32.1" customHeight="1">
      <c r="A266" s="82" t="s">
        <v>171</v>
      </c>
      <c r="B266" s="522" t="s">
        <v>2296</v>
      </c>
      <c r="C266" s="519" t="s">
        <v>2297</v>
      </c>
      <c r="D266" s="199">
        <v>218</v>
      </c>
      <c r="E266" s="200"/>
      <c r="F266" s="200"/>
      <c r="G266" s="200"/>
      <c r="H266" s="200"/>
      <c r="I266" s="200"/>
      <c r="J266" s="200">
        <v>97.34</v>
      </c>
      <c r="K266" s="200"/>
      <c r="L266" s="200"/>
      <c r="M266" s="200"/>
      <c r="N266" s="200"/>
      <c r="O266" s="200"/>
      <c r="P266" s="200"/>
      <c r="Q266" s="226">
        <f t="shared" si="21"/>
        <v>97.34</v>
      </c>
      <c r="R266" s="146" t="str">
        <f t="shared" si="20"/>
        <v>NO</v>
      </c>
      <c r="S266" s="201" t="str">
        <f t="shared" ref="S266:S329" si="25">IF(Q266&lt;5,"Sin Riesgo",IF(Q266 &lt;=14,"Bajo",IF(Q266&lt;=35,"Medio",IF(Q266&lt;=80,"Alto","Inviable Sanitariamente"))))</f>
        <v>Inviable Sanitariamente</v>
      </c>
      <c r="T266" s="16"/>
    </row>
    <row r="267" spans="1:20" ht="32.1" customHeight="1">
      <c r="A267" s="82" t="s">
        <v>171</v>
      </c>
      <c r="B267" s="522" t="s">
        <v>2298</v>
      </c>
      <c r="C267" s="519" t="s">
        <v>2299</v>
      </c>
      <c r="D267" s="207">
        <v>90</v>
      </c>
      <c r="E267" s="200"/>
      <c r="F267" s="200"/>
      <c r="G267" s="200"/>
      <c r="H267" s="200"/>
      <c r="I267" s="200"/>
      <c r="J267" s="200">
        <v>97.34</v>
      </c>
      <c r="K267" s="200"/>
      <c r="L267" s="200"/>
      <c r="M267" s="200"/>
      <c r="N267" s="200"/>
      <c r="O267" s="200"/>
      <c r="P267" s="200"/>
      <c r="Q267" s="226">
        <f t="shared" si="21"/>
        <v>97.34</v>
      </c>
      <c r="R267" s="146" t="str">
        <f t="shared" si="20"/>
        <v>NO</v>
      </c>
      <c r="S267" s="201" t="str">
        <f t="shared" si="25"/>
        <v>Inviable Sanitariamente</v>
      </c>
      <c r="T267" s="20"/>
    </row>
    <row r="268" spans="1:20" ht="32.1" customHeight="1">
      <c r="A268" s="82" t="s">
        <v>171</v>
      </c>
      <c r="B268" s="522" t="s">
        <v>2300</v>
      </c>
      <c r="C268" s="519" t="s">
        <v>2301</v>
      </c>
      <c r="D268" s="199">
        <v>101</v>
      </c>
      <c r="E268" s="200"/>
      <c r="F268" s="200"/>
      <c r="G268" s="200"/>
      <c r="H268" s="200"/>
      <c r="I268" s="200"/>
      <c r="J268" s="200">
        <v>97.34</v>
      </c>
      <c r="K268" s="200"/>
      <c r="L268" s="200"/>
      <c r="M268" s="200"/>
      <c r="N268" s="200"/>
      <c r="O268" s="200"/>
      <c r="P268" s="200"/>
      <c r="Q268" s="226">
        <f t="shared" si="21"/>
        <v>97.34</v>
      </c>
      <c r="R268" s="146" t="str">
        <f t="shared" si="20"/>
        <v>NO</v>
      </c>
      <c r="S268" s="201" t="str">
        <f t="shared" si="25"/>
        <v>Inviable Sanitariamente</v>
      </c>
      <c r="T268" s="20"/>
    </row>
    <row r="269" spans="1:20" ht="32.1" customHeight="1">
      <c r="A269" s="82" t="s">
        <v>171</v>
      </c>
      <c r="B269" s="522" t="s">
        <v>2302</v>
      </c>
      <c r="C269" s="527" t="s">
        <v>2303</v>
      </c>
      <c r="D269" s="199">
        <v>95</v>
      </c>
      <c r="E269" s="200"/>
      <c r="F269" s="200"/>
      <c r="G269" s="200"/>
      <c r="H269" s="200"/>
      <c r="I269" s="200"/>
      <c r="J269" s="200">
        <v>97.34</v>
      </c>
      <c r="K269" s="200"/>
      <c r="L269" s="200"/>
      <c r="M269" s="200"/>
      <c r="N269" s="200"/>
      <c r="O269" s="200"/>
      <c r="P269" s="200"/>
      <c r="Q269" s="226">
        <f t="shared" si="21"/>
        <v>97.34</v>
      </c>
      <c r="R269" s="146" t="str">
        <f t="shared" si="20"/>
        <v>NO</v>
      </c>
      <c r="S269" s="201" t="str">
        <f t="shared" si="25"/>
        <v>Inviable Sanitariamente</v>
      </c>
      <c r="T269" s="16"/>
    </row>
    <row r="270" spans="1:20" ht="32.1" customHeight="1">
      <c r="A270" s="82" t="s">
        <v>171</v>
      </c>
      <c r="B270" s="522" t="s">
        <v>2304</v>
      </c>
      <c r="C270" s="519" t="s">
        <v>2305</v>
      </c>
      <c r="D270" s="199">
        <v>131</v>
      </c>
      <c r="E270" s="200"/>
      <c r="F270" s="200">
        <v>97.3</v>
      </c>
      <c r="G270" s="200"/>
      <c r="H270" s="200"/>
      <c r="I270" s="200"/>
      <c r="J270" s="200"/>
      <c r="K270" s="200"/>
      <c r="L270" s="200"/>
      <c r="M270" s="200"/>
      <c r="N270" s="200"/>
      <c r="O270" s="200"/>
      <c r="P270" s="200"/>
      <c r="Q270" s="226">
        <f t="shared" si="21"/>
        <v>97.3</v>
      </c>
      <c r="R270" s="146" t="str">
        <f t="shared" si="20"/>
        <v>NO</v>
      </c>
      <c r="S270" s="201" t="str">
        <f t="shared" si="25"/>
        <v>Inviable Sanitariamente</v>
      </c>
      <c r="T270" s="16"/>
    </row>
    <row r="271" spans="1:20" ht="32.1" customHeight="1">
      <c r="A271" s="82" t="s">
        <v>171</v>
      </c>
      <c r="B271" s="522" t="s">
        <v>2306</v>
      </c>
      <c r="C271" s="519" t="s">
        <v>2307</v>
      </c>
      <c r="D271" s="199">
        <v>40</v>
      </c>
      <c r="E271" s="200"/>
      <c r="F271" s="200">
        <v>97.3</v>
      </c>
      <c r="G271" s="200"/>
      <c r="H271" s="200"/>
      <c r="I271" s="200"/>
      <c r="J271" s="200"/>
      <c r="K271" s="200"/>
      <c r="L271" s="200"/>
      <c r="M271" s="200"/>
      <c r="N271" s="200"/>
      <c r="O271" s="200"/>
      <c r="P271" s="200"/>
      <c r="Q271" s="226">
        <f t="shared" si="21"/>
        <v>97.3</v>
      </c>
      <c r="R271" s="146" t="str">
        <f t="shared" si="20"/>
        <v>NO</v>
      </c>
      <c r="S271" s="201" t="str">
        <f t="shared" si="25"/>
        <v>Inviable Sanitariamente</v>
      </c>
      <c r="T271" s="16"/>
    </row>
    <row r="272" spans="1:20" ht="32.1" customHeight="1">
      <c r="A272" s="82" t="s">
        <v>171</v>
      </c>
      <c r="B272" s="522" t="s">
        <v>2308</v>
      </c>
      <c r="C272" s="519" t="s">
        <v>2309</v>
      </c>
      <c r="D272" s="199">
        <v>38</v>
      </c>
      <c r="E272" s="200"/>
      <c r="F272" s="200">
        <v>97.3</v>
      </c>
      <c r="G272" s="200"/>
      <c r="H272" s="200"/>
      <c r="I272" s="200"/>
      <c r="J272" s="200"/>
      <c r="K272" s="200"/>
      <c r="L272" s="200"/>
      <c r="M272" s="200"/>
      <c r="N272" s="200"/>
      <c r="O272" s="200"/>
      <c r="P272" s="200"/>
      <c r="Q272" s="226">
        <f t="shared" si="21"/>
        <v>97.3</v>
      </c>
      <c r="R272" s="146" t="str">
        <f t="shared" si="20"/>
        <v>NO</v>
      </c>
      <c r="S272" s="201" t="str">
        <f t="shared" si="25"/>
        <v>Inviable Sanitariamente</v>
      </c>
      <c r="T272" s="16"/>
    </row>
    <row r="273" spans="1:20" ht="32.1" customHeight="1">
      <c r="A273" s="82" t="s">
        <v>171</v>
      </c>
      <c r="B273" s="522" t="s">
        <v>62</v>
      </c>
      <c r="C273" s="519" t="s">
        <v>2310</v>
      </c>
      <c r="D273" s="199">
        <v>19</v>
      </c>
      <c r="E273" s="200"/>
      <c r="F273" s="200">
        <v>97.3</v>
      </c>
      <c r="G273" s="200"/>
      <c r="H273" s="200"/>
      <c r="I273" s="200"/>
      <c r="J273" s="200"/>
      <c r="K273" s="200"/>
      <c r="L273" s="200"/>
      <c r="M273" s="200"/>
      <c r="N273" s="200"/>
      <c r="O273" s="200"/>
      <c r="P273" s="200"/>
      <c r="Q273" s="226">
        <f t="shared" si="21"/>
        <v>97.3</v>
      </c>
      <c r="R273" s="146" t="str">
        <f t="shared" si="20"/>
        <v>NO</v>
      </c>
      <c r="S273" s="201" t="str">
        <f t="shared" si="25"/>
        <v>Inviable Sanitariamente</v>
      </c>
      <c r="T273" s="16"/>
    </row>
    <row r="274" spans="1:20" ht="32.1" customHeight="1">
      <c r="A274" s="82" t="s">
        <v>171</v>
      </c>
      <c r="B274" s="522" t="s">
        <v>2311</v>
      </c>
      <c r="C274" s="519" t="s">
        <v>2312</v>
      </c>
      <c r="D274" s="199">
        <v>115</v>
      </c>
      <c r="E274" s="200"/>
      <c r="F274" s="200"/>
      <c r="G274" s="200"/>
      <c r="H274" s="200"/>
      <c r="I274" s="200"/>
      <c r="J274" s="200">
        <v>97.3</v>
      </c>
      <c r="K274" s="200"/>
      <c r="L274" s="200"/>
      <c r="M274" s="200"/>
      <c r="N274" s="200"/>
      <c r="O274" s="200"/>
      <c r="P274" s="200"/>
      <c r="Q274" s="226">
        <f t="shared" si="21"/>
        <v>97.3</v>
      </c>
      <c r="R274" s="146" t="str">
        <f t="shared" si="20"/>
        <v>NO</v>
      </c>
      <c r="S274" s="201" t="str">
        <f t="shared" si="25"/>
        <v>Inviable Sanitariamente</v>
      </c>
      <c r="T274" s="16"/>
    </row>
    <row r="275" spans="1:20" ht="32.1" customHeight="1">
      <c r="A275" s="82" t="s">
        <v>171</v>
      </c>
      <c r="B275" s="522" t="s">
        <v>2313</v>
      </c>
      <c r="C275" s="519" t="s">
        <v>2314</v>
      </c>
      <c r="D275" s="199">
        <v>42</v>
      </c>
      <c r="E275" s="200"/>
      <c r="F275" s="200"/>
      <c r="G275" s="200"/>
      <c r="H275" s="200"/>
      <c r="I275" s="200"/>
      <c r="J275" s="200">
        <v>97.3</v>
      </c>
      <c r="K275" s="200"/>
      <c r="L275" s="200"/>
      <c r="M275" s="200"/>
      <c r="N275" s="200"/>
      <c r="O275" s="200"/>
      <c r="P275" s="200"/>
      <c r="Q275" s="226">
        <f t="shared" si="21"/>
        <v>97.3</v>
      </c>
      <c r="R275" s="146" t="str">
        <f t="shared" si="20"/>
        <v>NO</v>
      </c>
      <c r="S275" s="201" t="str">
        <f t="shared" si="25"/>
        <v>Inviable Sanitariamente</v>
      </c>
      <c r="T275" s="16"/>
    </row>
    <row r="276" spans="1:20" ht="32.1" customHeight="1">
      <c r="A276" s="82" t="s">
        <v>171</v>
      </c>
      <c r="B276" s="522" t="s">
        <v>2315</v>
      </c>
      <c r="C276" s="519" t="s">
        <v>2316</v>
      </c>
      <c r="D276" s="199">
        <v>42</v>
      </c>
      <c r="E276" s="200"/>
      <c r="F276" s="200"/>
      <c r="G276" s="200"/>
      <c r="H276" s="200"/>
      <c r="I276" s="200"/>
      <c r="J276" s="200">
        <v>97.3</v>
      </c>
      <c r="K276" s="200"/>
      <c r="L276" s="200">
        <v>97.34</v>
      </c>
      <c r="M276" s="200"/>
      <c r="N276" s="200"/>
      <c r="O276" s="200"/>
      <c r="P276" s="200"/>
      <c r="Q276" s="226">
        <f t="shared" si="21"/>
        <v>97.32</v>
      </c>
      <c r="R276" s="146" t="str">
        <f t="shared" si="20"/>
        <v>NO</v>
      </c>
      <c r="S276" s="201" t="str">
        <f t="shared" si="25"/>
        <v>Inviable Sanitariamente</v>
      </c>
      <c r="T276" s="16"/>
    </row>
    <row r="277" spans="1:20" ht="32.1" customHeight="1">
      <c r="A277" s="82" t="s">
        <v>172</v>
      </c>
      <c r="B277" s="522" t="s">
        <v>2317</v>
      </c>
      <c r="C277" s="519" t="s">
        <v>2318</v>
      </c>
      <c r="D277" s="199">
        <v>80</v>
      </c>
      <c r="E277" s="200"/>
      <c r="F277" s="200"/>
      <c r="G277" s="200"/>
      <c r="H277" s="200"/>
      <c r="I277" s="200">
        <v>97.3</v>
      </c>
      <c r="J277" s="200"/>
      <c r="K277" s="200"/>
      <c r="L277" s="200"/>
      <c r="M277" s="200"/>
      <c r="N277" s="200"/>
      <c r="O277" s="200">
        <v>97.3</v>
      </c>
      <c r="P277" s="200"/>
      <c r="Q277" s="226">
        <f t="shared" si="21"/>
        <v>97.3</v>
      </c>
      <c r="R277" s="146" t="str">
        <f t="shared" si="20"/>
        <v>NO</v>
      </c>
      <c r="S277" s="201" t="str">
        <f t="shared" si="25"/>
        <v>Inviable Sanitariamente</v>
      </c>
      <c r="T277" s="16"/>
    </row>
    <row r="278" spans="1:20" ht="32.1" customHeight="1">
      <c r="A278" s="82" t="s">
        <v>172</v>
      </c>
      <c r="B278" s="522" t="s">
        <v>2319</v>
      </c>
      <c r="C278" s="519" t="s">
        <v>2320</v>
      </c>
      <c r="D278" s="199">
        <v>40</v>
      </c>
      <c r="E278" s="200"/>
      <c r="F278" s="200"/>
      <c r="G278" s="200">
        <v>97.3</v>
      </c>
      <c r="H278" s="200"/>
      <c r="I278" s="200">
        <v>97.3</v>
      </c>
      <c r="J278" s="200"/>
      <c r="K278" s="200"/>
      <c r="L278" s="200"/>
      <c r="M278" s="200"/>
      <c r="N278" s="200">
        <v>97.3</v>
      </c>
      <c r="O278" s="200"/>
      <c r="P278" s="200"/>
      <c r="Q278" s="226">
        <f t="shared" si="21"/>
        <v>97.3</v>
      </c>
      <c r="R278" s="146" t="str">
        <f t="shared" si="20"/>
        <v>NO</v>
      </c>
      <c r="S278" s="201" t="str">
        <f t="shared" si="25"/>
        <v>Inviable Sanitariamente</v>
      </c>
      <c r="T278" s="16"/>
    </row>
    <row r="279" spans="1:20" ht="32.1" customHeight="1">
      <c r="A279" s="82" t="s">
        <v>172</v>
      </c>
      <c r="B279" s="522" t="s">
        <v>2321</v>
      </c>
      <c r="C279" s="519" t="s">
        <v>2322</v>
      </c>
      <c r="D279" s="199">
        <v>26</v>
      </c>
      <c r="E279" s="200"/>
      <c r="F279" s="200">
        <v>0</v>
      </c>
      <c r="G279" s="200"/>
      <c r="H279" s="200">
        <v>0</v>
      </c>
      <c r="I279" s="200">
        <v>0</v>
      </c>
      <c r="J279" s="200"/>
      <c r="K279" s="200"/>
      <c r="L279" s="200"/>
      <c r="M279" s="200">
        <v>0</v>
      </c>
      <c r="N279" s="200"/>
      <c r="O279" s="200"/>
      <c r="P279" s="200"/>
      <c r="Q279" s="226">
        <f t="shared" si="21"/>
        <v>0</v>
      </c>
      <c r="R279" s="146" t="str">
        <f t="shared" si="20"/>
        <v>SI</v>
      </c>
      <c r="S279" s="201" t="str">
        <f t="shared" si="25"/>
        <v>Sin Riesgo</v>
      </c>
      <c r="T279" s="16"/>
    </row>
    <row r="280" spans="1:20" ht="32.1" customHeight="1">
      <c r="A280" s="82" t="s">
        <v>172</v>
      </c>
      <c r="B280" s="522" t="s">
        <v>1907</v>
      </c>
      <c r="C280" s="519" t="s">
        <v>2323</v>
      </c>
      <c r="D280" s="199">
        <v>57</v>
      </c>
      <c r="E280" s="200">
        <v>53.1</v>
      </c>
      <c r="F280" s="200"/>
      <c r="G280" s="200">
        <v>97.3</v>
      </c>
      <c r="H280" s="200"/>
      <c r="I280" s="200">
        <v>97.3</v>
      </c>
      <c r="J280" s="200"/>
      <c r="K280" s="200"/>
      <c r="L280" s="200">
        <v>97.3</v>
      </c>
      <c r="M280" s="200"/>
      <c r="N280" s="200"/>
      <c r="O280" s="200"/>
      <c r="P280" s="200"/>
      <c r="Q280" s="226">
        <f t="shared" si="21"/>
        <v>86.25</v>
      </c>
      <c r="R280" s="146" t="str">
        <f t="shared" si="20"/>
        <v>NO</v>
      </c>
      <c r="S280" s="201" t="str">
        <f t="shared" si="25"/>
        <v>Inviable Sanitariamente</v>
      </c>
      <c r="T280" s="16"/>
    </row>
    <row r="281" spans="1:20" ht="32.1" customHeight="1">
      <c r="A281" s="82" t="s">
        <v>172</v>
      </c>
      <c r="B281" s="522" t="s">
        <v>2324</v>
      </c>
      <c r="C281" s="519" t="s">
        <v>2325</v>
      </c>
      <c r="D281" s="199">
        <v>60</v>
      </c>
      <c r="E281" s="200">
        <v>97.3</v>
      </c>
      <c r="F281" s="200"/>
      <c r="G281" s="200"/>
      <c r="H281" s="200">
        <v>97.3</v>
      </c>
      <c r="I281" s="200"/>
      <c r="J281" s="200">
        <v>97.3</v>
      </c>
      <c r="K281" s="200"/>
      <c r="L281" s="200"/>
      <c r="M281" s="200"/>
      <c r="N281" s="200"/>
      <c r="O281" s="200"/>
      <c r="P281" s="200"/>
      <c r="Q281" s="226">
        <f t="shared" si="21"/>
        <v>97.3</v>
      </c>
      <c r="R281" s="146" t="str">
        <f t="shared" si="20"/>
        <v>NO</v>
      </c>
      <c r="S281" s="201" t="str">
        <f t="shared" si="25"/>
        <v>Inviable Sanitariamente</v>
      </c>
      <c r="T281" s="16"/>
    </row>
    <row r="282" spans="1:20" ht="32.1" customHeight="1">
      <c r="A282" s="82" t="s">
        <v>172</v>
      </c>
      <c r="B282" s="522" t="s">
        <v>2326</v>
      </c>
      <c r="C282" s="519" t="s">
        <v>2327</v>
      </c>
      <c r="D282" s="199">
        <v>22</v>
      </c>
      <c r="E282" s="200">
        <v>97.3</v>
      </c>
      <c r="F282" s="200"/>
      <c r="G282" s="200"/>
      <c r="H282" s="200"/>
      <c r="I282" s="200"/>
      <c r="J282" s="200">
        <v>97.3</v>
      </c>
      <c r="K282" s="200"/>
      <c r="L282" s="200"/>
      <c r="M282" s="200"/>
      <c r="N282" s="200"/>
      <c r="O282" s="200"/>
      <c r="P282" s="200"/>
      <c r="Q282" s="226">
        <f t="shared" si="21"/>
        <v>97.3</v>
      </c>
      <c r="R282" s="146" t="str">
        <f t="shared" si="20"/>
        <v>NO</v>
      </c>
      <c r="S282" s="201" t="str">
        <f t="shared" si="25"/>
        <v>Inviable Sanitariamente</v>
      </c>
      <c r="T282" s="16"/>
    </row>
    <row r="283" spans="1:20" ht="32.1" customHeight="1">
      <c r="A283" s="82" t="s">
        <v>172</v>
      </c>
      <c r="B283" s="522" t="s">
        <v>2328</v>
      </c>
      <c r="C283" s="519" t="s">
        <v>2329</v>
      </c>
      <c r="D283" s="199">
        <v>70</v>
      </c>
      <c r="E283" s="200"/>
      <c r="F283" s="200">
        <v>97.3</v>
      </c>
      <c r="G283" s="200"/>
      <c r="H283" s="200"/>
      <c r="I283" s="200"/>
      <c r="J283" s="200">
        <v>97.3</v>
      </c>
      <c r="K283" s="200"/>
      <c r="L283" s="200"/>
      <c r="M283" s="200"/>
      <c r="N283" s="200"/>
      <c r="O283" s="200"/>
      <c r="P283" s="200"/>
      <c r="Q283" s="226">
        <f t="shared" si="21"/>
        <v>97.3</v>
      </c>
      <c r="R283" s="146" t="str">
        <f t="shared" si="20"/>
        <v>NO</v>
      </c>
      <c r="S283" s="201" t="str">
        <f t="shared" si="25"/>
        <v>Inviable Sanitariamente</v>
      </c>
      <c r="T283" s="16"/>
    </row>
    <row r="284" spans="1:20" ht="32.1" customHeight="1">
      <c r="A284" s="82" t="s">
        <v>172</v>
      </c>
      <c r="B284" s="522" t="s">
        <v>2330</v>
      </c>
      <c r="C284" s="519" t="s">
        <v>2331</v>
      </c>
      <c r="D284" s="207">
        <v>84</v>
      </c>
      <c r="E284" s="200">
        <v>97.3</v>
      </c>
      <c r="F284" s="200"/>
      <c r="G284" s="200"/>
      <c r="H284" s="200"/>
      <c r="I284" s="200"/>
      <c r="J284" s="200">
        <v>26.6</v>
      </c>
      <c r="K284" s="200"/>
      <c r="L284" s="200"/>
      <c r="M284" s="200"/>
      <c r="N284" s="200"/>
      <c r="O284" s="200"/>
      <c r="P284" s="200"/>
      <c r="Q284" s="226">
        <f t="shared" si="21"/>
        <v>61.95</v>
      </c>
      <c r="R284" s="146" t="str">
        <f t="shared" si="20"/>
        <v>NO</v>
      </c>
      <c r="S284" s="201" t="str">
        <f t="shared" si="25"/>
        <v>Alto</v>
      </c>
      <c r="T284" s="16"/>
    </row>
    <row r="285" spans="1:20" ht="32.1" customHeight="1">
      <c r="A285" s="82" t="s">
        <v>172</v>
      </c>
      <c r="B285" s="522" t="s">
        <v>706</v>
      </c>
      <c r="C285" s="519" t="s">
        <v>2332</v>
      </c>
      <c r="D285" s="199">
        <v>24</v>
      </c>
      <c r="E285" s="200"/>
      <c r="F285" s="200">
        <v>97.3</v>
      </c>
      <c r="G285" s="200"/>
      <c r="H285" s="200"/>
      <c r="I285" s="200"/>
      <c r="J285" s="200">
        <v>97.3</v>
      </c>
      <c r="K285" s="200"/>
      <c r="L285" s="200"/>
      <c r="M285" s="200"/>
      <c r="N285" s="200"/>
      <c r="O285" s="200"/>
      <c r="P285" s="200"/>
      <c r="Q285" s="226">
        <f t="shared" si="21"/>
        <v>97.3</v>
      </c>
      <c r="R285" s="146" t="str">
        <f t="shared" si="20"/>
        <v>NO</v>
      </c>
      <c r="S285" s="201" t="str">
        <f t="shared" si="25"/>
        <v>Inviable Sanitariamente</v>
      </c>
      <c r="T285" s="16"/>
    </row>
    <row r="286" spans="1:20" ht="32.1" customHeight="1">
      <c r="A286" s="82" t="s">
        <v>172</v>
      </c>
      <c r="B286" s="522" t="s">
        <v>2333</v>
      </c>
      <c r="C286" s="519" t="s">
        <v>2334</v>
      </c>
      <c r="D286" s="199">
        <v>48</v>
      </c>
      <c r="E286" s="200"/>
      <c r="F286" s="200"/>
      <c r="G286" s="200">
        <v>53.1</v>
      </c>
      <c r="H286" s="200"/>
      <c r="I286" s="200"/>
      <c r="J286" s="200"/>
      <c r="K286" s="200"/>
      <c r="L286" s="200"/>
      <c r="M286" s="200"/>
      <c r="N286" s="200"/>
      <c r="O286" s="200">
        <v>53.1</v>
      </c>
      <c r="P286" s="200"/>
      <c r="Q286" s="226">
        <f t="shared" si="21"/>
        <v>53.1</v>
      </c>
      <c r="R286" s="146" t="str">
        <f t="shared" si="20"/>
        <v>NO</v>
      </c>
      <c r="S286" s="201" t="str">
        <f t="shared" si="25"/>
        <v>Alto</v>
      </c>
      <c r="T286" s="16"/>
    </row>
    <row r="287" spans="1:20" ht="32.1" customHeight="1">
      <c r="A287" s="82" t="s">
        <v>172</v>
      </c>
      <c r="B287" s="522" t="s">
        <v>2335</v>
      </c>
      <c r="C287" s="519" t="s">
        <v>2336</v>
      </c>
      <c r="D287" s="207">
        <v>61</v>
      </c>
      <c r="E287" s="200"/>
      <c r="F287" s="200"/>
      <c r="G287" s="200">
        <v>97.3</v>
      </c>
      <c r="H287" s="200"/>
      <c r="I287" s="200"/>
      <c r="J287" s="200">
        <v>97.3</v>
      </c>
      <c r="K287" s="200"/>
      <c r="L287" s="200"/>
      <c r="M287" s="200"/>
      <c r="N287" s="200"/>
      <c r="O287" s="200"/>
      <c r="P287" s="200"/>
      <c r="Q287" s="226">
        <f t="shared" si="21"/>
        <v>97.3</v>
      </c>
      <c r="R287" s="146" t="str">
        <f t="shared" si="20"/>
        <v>NO</v>
      </c>
      <c r="S287" s="201" t="str">
        <f t="shared" si="25"/>
        <v>Inviable Sanitariamente</v>
      </c>
      <c r="T287" s="16"/>
    </row>
    <row r="288" spans="1:20" ht="32.1" customHeight="1">
      <c r="A288" s="82" t="s">
        <v>172</v>
      </c>
      <c r="B288" s="522" t="s">
        <v>2319</v>
      </c>
      <c r="C288" s="519" t="s">
        <v>2337</v>
      </c>
      <c r="D288" s="199">
        <v>75</v>
      </c>
      <c r="E288" s="200">
        <v>0</v>
      </c>
      <c r="F288" s="200"/>
      <c r="G288" s="200"/>
      <c r="H288" s="200"/>
      <c r="I288" s="200">
        <v>0</v>
      </c>
      <c r="J288" s="200"/>
      <c r="K288" s="200"/>
      <c r="L288" s="200"/>
      <c r="M288" s="200"/>
      <c r="N288" s="200"/>
      <c r="O288" s="200"/>
      <c r="P288" s="200"/>
      <c r="Q288" s="226">
        <f t="shared" si="21"/>
        <v>0</v>
      </c>
      <c r="R288" s="146" t="str">
        <f t="shared" si="20"/>
        <v>SI</v>
      </c>
      <c r="S288" s="201" t="str">
        <f t="shared" si="25"/>
        <v>Sin Riesgo</v>
      </c>
      <c r="T288" s="16"/>
    </row>
    <row r="289" spans="1:20" ht="32.1" customHeight="1">
      <c r="A289" s="82" t="s">
        <v>172</v>
      </c>
      <c r="B289" s="522" t="s">
        <v>1125</v>
      </c>
      <c r="C289" s="519" t="s">
        <v>2338</v>
      </c>
      <c r="D289" s="199">
        <v>15</v>
      </c>
      <c r="E289" s="200"/>
      <c r="F289" s="200"/>
      <c r="G289" s="200">
        <v>97.3</v>
      </c>
      <c r="H289" s="200"/>
      <c r="I289" s="200"/>
      <c r="J289" s="200">
        <v>97.3</v>
      </c>
      <c r="K289" s="200"/>
      <c r="L289" s="200"/>
      <c r="M289" s="200"/>
      <c r="N289" s="200"/>
      <c r="O289" s="200"/>
      <c r="P289" s="200"/>
      <c r="Q289" s="226">
        <f t="shared" si="21"/>
        <v>97.3</v>
      </c>
      <c r="R289" s="146" t="str">
        <f t="shared" si="20"/>
        <v>NO</v>
      </c>
      <c r="S289" s="201" t="str">
        <f t="shared" si="25"/>
        <v>Inviable Sanitariamente</v>
      </c>
      <c r="T289" s="16"/>
    </row>
    <row r="290" spans="1:20" ht="32.1" customHeight="1">
      <c r="A290" s="82" t="s">
        <v>172</v>
      </c>
      <c r="B290" s="522" t="s">
        <v>1904</v>
      </c>
      <c r="C290" s="519" t="s">
        <v>2339</v>
      </c>
      <c r="D290" s="207">
        <v>20</v>
      </c>
      <c r="E290" s="200"/>
      <c r="F290" s="200"/>
      <c r="G290" s="200"/>
      <c r="H290" s="200">
        <v>97.3</v>
      </c>
      <c r="I290" s="200">
        <v>53.1</v>
      </c>
      <c r="J290" s="200"/>
      <c r="K290" s="200"/>
      <c r="L290" s="200"/>
      <c r="M290" s="200"/>
      <c r="N290" s="200"/>
      <c r="O290" s="200">
        <v>97.3</v>
      </c>
      <c r="P290" s="200"/>
      <c r="Q290" s="226">
        <f t="shared" si="21"/>
        <v>82.566666666666663</v>
      </c>
      <c r="R290" s="146" t="str">
        <f t="shared" si="20"/>
        <v>NO</v>
      </c>
      <c r="S290" s="201" t="str">
        <f t="shared" si="25"/>
        <v>Inviable Sanitariamente</v>
      </c>
      <c r="T290" s="16"/>
    </row>
    <row r="291" spans="1:20" ht="32.1" customHeight="1">
      <c r="A291" s="82" t="s">
        <v>172</v>
      </c>
      <c r="B291" s="110" t="s">
        <v>272</v>
      </c>
      <c r="C291" s="527" t="s">
        <v>2340</v>
      </c>
      <c r="D291" s="199">
        <v>207</v>
      </c>
      <c r="E291" s="200"/>
      <c r="F291" s="200"/>
      <c r="G291" s="200"/>
      <c r="H291" s="200"/>
      <c r="I291" s="200"/>
      <c r="J291" s="200">
        <v>97.3</v>
      </c>
      <c r="K291" s="200"/>
      <c r="L291" s="200"/>
      <c r="M291" s="200"/>
      <c r="N291" s="200"/>
      <c r="O291" s="200"/>
      <c r="P291" s="200"/>
      <c r="Q291" s="226">
        <f t="shared" si="21"/>
        <v>97.3</v>
      </c>
      <c r="R291" s="146" t="str">
        <f t="shared" si="20"/>
        <v>NO</v>
      </c>
      <c r="S291" s="201" t="str">
        <f t="shared" si="25"/>
        <v>Inviable Sanitariamente</v>
      </c>
      <c r="T291" s="16"/>
    </row>
    <row r="292" spans="1:20" ht="32.1" customHeight="1">
      <c r="A292" s="82" t="s">
        <v>172</v>
      </c>
      <c r="B292" s="522" t="s">
        <v>2341</v>
      </c>
      <c r="C292" s="519" t="s">
        <v>2342</v>
      </c>
      <c r="D292" s="199">
        <v>12</v>
      </c>
      <c r="E292" s="200"/>
      <c r="F292" s="200"/>
      <c r="G292" s="200"/>
      <c r="H292" s="200"/>
      <c r="I292" s="200">
        <v>97.3</v>
      </c>
      <c r="J292" s="200"/>
      <c r="K292" s="200"/>
      <c r="L292" s="200"/>
      <c r="M292" s="200"/>
      <c r="N292" s="200"/>
      <c r="O292" s="200"/>
      <c r="P292" s="200"/>
      <c r="Q292" s="226">
        <f t="shared" si="21"/>
        <v>97.3</v>
      </c>
      <c r="R292" s="146" t="str">
        <f t="shared" si="20"/>
        <v>NO</v>
      </c>
      <c r="S292" s="201" t="str">
        <f t="shared" si="25"/>
        <v>Inviable Sanitariamente</v>
      </c>
      <c r="T292" s="16"/>
    </row>
    <row r="293" spans="1:20" ht="32.1" customHeight="1">
      <c r="A293" s="82" t="s">
        <v>172</v>
      </c>
      <c r="B293" s="522" t="s">
        <v>2343</v>
      </c>
      <c r="C293" s="519" t="s">
        <v>2344</v>
      </c>
      <c r="D293" s="199">
        <v>70</v>
      </c>
      <c r="E293" s="200"/>
      <c r="F293" s="200"/>
      <c r="G293" s="200"/>
      <c r="H293" s="200"/>
      <c r="I293" s="200">
        <v>97.3</v>
      </c>
      <c r="J293" s="200">
        <v>53.1</v>
      </c>
      <c r="K293" s="200"/>
      <c r="L293" s="200"/>
      <c r="M293" s="200"/>
      <c r="N293" s="200"/>
      <c r="O293" s="200"/>
      <c r="P293" s="200"/>
      <c r="Q293" s="226">
        <f t="shared" si="21"/>
        <v>75.2</v>
      </c>
      <c r="R293" s="146" t="str">
        <f t="shared" si="20"/>
        <v>NO</v>
      </c>
      <c r="S293" s="201" t="str">
        <f t="shared" si="25"/>
        <v>Alto</v>
      </c>
      <c r="T293" s="16"/>
    </row>
    <row r="294" spans="1:20" ht="32.1" customHeight="1">
      <c r="A294" s="82" t="s">
        <v>172</v>
      </c>
      <c r="B294" s="522" t="s">
        <v>2345</v>
      </c>
      <c r="C294" s="519" t="s">
        <v>2346</v>
      </c>
      <c r="D294" s="199">
        <v>120</v>
      </c>
      <c r="E294" s="200"/>
      <c r="F294" s="200">
        <v>0</v>
      </c>
      <c r="G294" s="200"/>
      <c r="H294" s="200"/>
      <c r="I294" s="200"/>
      <c r="J294" s="200">
        <v>0</v>
      </c>
      <c r="K294" s="200"/>
      <c r="L294" s="200"/>
      <c r="M294" s="200"/>
      <c r="N294" s="200"/>
      <c r="O294" s="200"/>
      <c r="P294" s="200"/>
      <c r="Q294" s="226">
        <f t="shared" si="21"/>
        <v>0</v>
      </c>
      <c r="R294" s="146" t="str">
        <f t="shared" si="20"/>
        <v>SI</v>
      </c>
      <c r="S294" s="201" t="str">
        <f t="shared" si="25"/>
        <v>Sin Riesgo</v>
      </c>
      <c r="T294" s="16"/>
    </row>
    <row r="295" spans="1:20" ht="32.1" customHeight="1">
      <c r="A295" s="82" t="s">
        <v>172</v>
      </c>
      <c r="B295" s="522" t="s">
        <v>1943</v>
      </c>
      <c r="C295" s="519" t="s">
        <v>2347</v>
      </c>
      <c r="D295" s="199">
        <v>15</v>
      </c>
      <c r="E295" s="200"/>
      <c r="F295" s="200"/>
      <c r="G295" s="200"/>
      <c r="H295" s="200"/>
      <c r="I295" s="200"/>
      <c r="J295" s="200">
        <v>97.3</v>
      </c>
      <c r="K295" s="200"/>
      <c r="L295" s="200"/>
      <c r="M295" s="200"/>
      <c r="N295" s="200"/>
      <c r="O295" s="200"/>
      <c r="P295" s="200"/>
      <c r="Q295" s="226">
        <f t="shared" si="21"/>
        <v>97.3</v>
      </c>
      <c r="R295" s="146" t="str">
        <f t="shared" si="20"/>
        <v>NO</v>
      </c>
      <c r="S295" s="201" t="str">
        <f t="shared" si="25"/>
        <v>Inviable Sanitariamente</v>
      </c>
      <c r="T295" s="16"/>
    </row>
    <row r="296" spans="1:20" ht="32.1" customHeight="1">
      <c r="A296" s="82" t="s">
        <v>172</v>
      </c>
      <c r="B296" s="522" t="s">
        <v>2348</v>
      </c>
      <c r="C296" s="519" t="s">
        <v>2349</v>
      </c>
      <c r="D296" s="199">
        <v>53</v>
      </c>
      <c r="E296" s="200"/>
      <c r="F296" s="200">
        <v>97.3</v>
      </c>
      <c r="G296" s="200"/>
      <c r="H296" s="200"/>
      <c r="I296" s="200"/>
      <c r="J296" s="200">
        <v>97.3</v>
      </c>
      <c r="K296" s="200"/>
      <c r="L296" s="200"/>
      <c r="M296" s="200"/>
      <c r="N296" s="200"/>
      <c r="O296" s="200"/>
      <c r="P296" s="200"/>
      <c r="Q296" s="226">
        <f t="shared" si="21"/>
        <v>97.3</v>
      </c>
      <c r="R296" s="146" t="str">
        <f t="shared" si="20"/>
        <v>NO</v>
      </c>
      <c r="S296" s="201" t="str">
        <f t="shared" si="25"/>
        <v>Inviable Sanitariamente</v>
      </c>
      <c r="T296" s="16"/>
    </row>
    <row r="297" spans="1:20" ht="32.1" customHeight="1">
      <c r="A297" s="82" t="s">
        <v>172</v>
      </c>
      <c r="B297" s="110" t="s">
        <v>2350</v>
      </c>
      <c r="C297" s="527" t="s">
        <v>2351</v>
      </c>
      <c r="D297" s="199">
        <v>49</v>
      </c>
      <c r="E297" s="200"/>
      <c r="F297" s="200"/>
      <c r="G297" s="200"/>
      <c r="H297" s="200"/>
      <c r="I297" s="200">
        <v>97.3</v>
      </c>
      <c r="J297" s="200"/>
      <c r="K297" s="200"/>
      <c r="L297" s="200"/>
      <c r="M297" s="200"/>
      <c r="N297" s="200"/>
      <c r="O297" s="200"/>
      <c r="P297" s="200"/>
      <c r="Q297" s="226">
        <f t="shared" si="21"/>
        <v>97.3</v>
      </c>
      <c r="R297" s="146" t="str">
        <f t="shared" si="20"/>
        <v>NO</v>
      </c>
      <c r="S297" s="201" t="str">
        <f t="shared" si="25"/>
        <v>Inviable Sanitariamente</v>
      </c>
      <c r="T297" s="16"/>
    </row>
    <row r="298" spans="1:20" ht="32.1" customHeight="1">
      <c r="A298" s="82" t="s">
        <v>172</v>
      </c>
      <c r="B298" s="110" t="s">
        <v>60</v>
      </c>
      <c r="C298" s="527" t="s">
        <v>1106</v>
      </c>
      <c r="D298" s="199">
        <v>35</v>
      </c>
      <c r="E298" s="200"/>
      <c r="F298" s="200"/>
      <c r="G298" s="200"/>
      <c r="H298" s="200"/>
      <c r="I298" s="200">
        <v>97.3</v>
      </c>
      <c r="J298" s="200"/>
      <c r="K298" s="200"/>
      <c r="L298" s="200"/>
      <c r="M298" s="200"/>
      <c r="N298" s="200"/>
      <c r="O298" s="200">
        <v>97.3</v>
      </c>
      <c r="P298" s="200"/>
      <c r="Q298" s="226">
        <f t="shared" si="21"/>
        <v>97.3</v>
      </c>
      <c r="R298" s="146" t="str">
        <f t="shared" ref="R298:R361" si="26">IF(Q298&lt;5,"SI","NO")</f>
        <v>NO</v>
      </c>
      <c r="S298" s="201" t="str">
        <f t="shared" si="25"/>
        <v>Inviable Sanitariamente</v>
      </c>
      <c r="T298" s="16"/>
    </row>
    <row r="299" spans="1:20" ht="32.1" customHeight="1">
      <c r="A299" s="82" t="s">
        <v>172</v>
      </c>
      <c r="B299" s="522" t="s">
        <v>2352</v>
      </c>
      <c r="C299" s="527" t="s">
        <v>2353</v>
      </c>
      <c r="D299" s="199">
        <v>40</v>
      </c>
      <c r="E299" s="200"/>
      <c r="F299" s="200">
        <v>97.3</v>
      </c>
      <c r="G299" s="200"/>
      <c r="H299" s="200"/>
      <c r="I299" s="200"/>
      <c r="J299" s="200">
        <v>97.3</v>
      </c>
      <c r="K299" s="200"/>
      <c r="L299" s="200"/>
      <c r="M299" s="200"/>
      <c r="N299" s="200"/>
      <c r="O299" s="200"/>
      <c r="P299" s="200"/>
      <c r="Q299" s="226">
        <f t="shared" ref="Q299:Q362" si="27">AVERAGE(E299:P299)</f>
        <v>97.3</v>
      </c>
      <c r="R299" s="146" t="str">
        <f t="shared" si="26"/>
        <v>NO</v>
      </c>
      <c r="S299" s="201" t="str">
        <f t="shared" si="25"/>
        <v>Inviable Sanitariamente</v>
      </c>
      <c r="T299" s="16"/>
    </row>
    <row r="300" spans="1:20" ht="32.1" customHeight="1">
      <c r="A300" s="82" t="s">
        <v>172</v>
      </c>
      <c r="B300" s="522" t="s">
        <v>2354</v>
      </c>
      <c r="C300" s="519" t="s">
        <v>2355</v>
      </c>
      <c r="D300" s="199">
        <v>16</v>
      </c>
      <c r="E300" s="200"/>
      <c r="F300" s="200"/>
      <c r="G300" s="200"/>
      <c r="H300" s="200">
        <v>97.3</v>
      </c>
      <c r="I300" s="200"/>
      <c r="J300" s="200">
        <v>97.3</v>
      </c>
      <c r="K300" s="200"/>
      <c r="L300" s="200"/>
      <c r="M300" s="200"/>
      <c r="N300" s="200"/>
      <c r="O300" s="200"/>
      <c r="P300" s="200"/>
      <c r="Q300" s="226">
        <f t="shared" si="27"/>
        <v>97.3</v>
      </c>
      <c r="R300" s="146" t="str">
        <f t="shared" si="26"/>
        <v>NO</v>
      </c>
      <c r="S300" s="201" t="str">
        <f t="shared" si="25"/>
        <v>Inviable Sanitariamente</v>
      </c>
      <c r="T300" s="16"/>
    </row>
    <row r="301" spans="1:20" ht="32.1" customHeight="1">
      <c r="A301" s="82" t="s">
        <v>172</v>
      </c>
      <c r="B301" s="528" t="s">
        <v>48</v>
      </c>
      <c r="C301" s="376" t="s">
        <v>4345</v>
      </c>
      <c r="D301" s="199">
        <v>10</v>
      </c>
      <c r="E301" s="200"/>
      <c r="F301" s="200"/>
      <c r="G301" s="200"/>
      <c r="H301" s="200"/>
      <c r="I301" s="200"/>
      <c r="J301" s="200">
        <v>97.3</v>
      </c>
      <c r="K301" s="200"/>
      <c r="L301" s="200"/>
      <c r="M301" s="200"/>
      <c r="N301" s="200"/>
      <c r="O301" s="200"/>
      <c r="P301" s="200"/>
      <c r="Q301" s="226">
        <f t="shared" si="27"/>
        <v>97.3</v>
      </c>
      <c r="R301" s="146" t="str">
        <f t="shared" si="26"/>
        <v>NO</v>
      </c>
      <c r="S301" s="201" t="str">
        <f t="shared" si="25"/>
        <v>Inviable Sanitariamente</v>
      </c>
      <c r="T301" s="16"/>
    </row>
    <row r="302" spans="1:20" ht="32.1" customHeight="1">
      <c r="A302" s="82" t="s">
        <v>174</v>
      </c>
      <c r="B302" s="522" t="s">
        <v>2356</v>
      </c>
      <c r="C302" s="519" t="s">
        <v>2357</v>
      </c>
      <c r="D302" s="199">
        <v>50</v>
      </c>
      <c r="E302" s="200">
        <v>97.35</v>
      </c>
      <c r="F302" s="200"/>
      <c r="G302" s="200"/>
      <c r="H302" s="200"/>
      <c r="I302" s="200"/>
      <c r="J302" s="200">
        <v>97.35</v>
      </c>
      <c r="K302" s="200"/>
      <c r="L302" s="200"/>
      <c r="M302" s="200"/>
      <c r="N302" s="200"/>
      <c r="O302" s="200"/>
      <c r="P302" s="200"/>
      <c r="Q302" s="226">
        <f t="shared" si="27"/>
        <v>97.35</v>
      </c>
      <c r="R302" s="146" t="str">
        <f t="shared" si="26"/>
        <v>NO</v>
      </c>
      <c r="S302" s="201" t="str">
        <f t="shared" si="25"/>
        <v>Inviable Sanitariamente</v>
      </c>
      <c r="T302" s="16"/>
    </row>
    <row r="303" spans="1:20" ht="32.1" customHeight="1">
      <c r="A303" s="82" t="s">
        <v>174</v>
      </c>
      <c r="B303" s="522" t="s">
        <v>2358</v>
      </c>
      <c r="C303" s="519" t="s">
        <v>2359</v>
      </c>
      <c r="D303" s="199">
        <v>44</v>
      </c>
      <c r="E303" s="200"/>
      <c r="F303" s="200"/>
      <c r="G303" s="200"/>
      <c r="H303" s="200">
        <v>97.35</v>
      </c>
      <c r="I303" s="200"/>
      <c r="J303" s="200"/>
      <c r="K303" s="200"/>
      <c r="L303" s="200"/>
      <c r="M303" s="200"/>
      <c r="N303" s="200"/>
      <c r="O303" s="200"/>
      <c r="P303" s="200"/>
      <c r="Q303" s="226">
        <f t="shared" si="27"/>
        <v>97.35</v>
      </c>
      <c r="R303" s="146" t="str">
        <f t="shared" si="26"/>
        <v>NO</v>
      </c>
      <c r="S303" s="201" t="str">
        <f t="shared" si="25"/>
        <v>Inviable Sanitariamente</v>
      </c>
      <c r="T303" s="16"/>
    </row>
    <row r="304" spans="1:20" ht="32.1" customHeight="1">
      <c r="A304" s="82" t="s">
        <v>174</v>
      </c>
      <c r="B304" s="522" t="s">
        <v>2263</v>
      </c>
      <c r="C304" s="519" t="s">
        <v>2360</v>
      </c>
      <c r="D304" s="119">
        <v>14</v>
      </c>
      <c r="E304" s="200"/>
      <c r="F304" s="200"/>
      <c r="G304" s="200">
        <v>97.35</v>
      </c>
      <c r="H304" s="200"/>
      <c r="I304" s="200"/>
      <c r="J304" s="200"/>
      <c r="K304" s="200"/>
      <c r="L304" s="200"/>
      <c r="M304" s="200"/>
      <c r="N304" s="200"/>
      <c r="O304" s="200"/>
      <c r="P304" s="200"/>
      <c r="Q304" s="226">
        <f t="shared" si="27"/>
        <v>97.35</v>
      </c>
      <c r="R304" s="146" t="str">
        <f t="shared" si="26"/>
        <v>NO</v>
      </c>
      <c r="S304" s="201" t="str">
        <f t="shared" si="25"/>
        <v>Inviable Sanitariamente</v>
      </c>
      <c r="T304" s="16"/>
    </row>
    <row r="305" spans="1:20" ht="32.1" customHeight="1">
      <c r="A305" s="82" t="s">
        <v>174</v>
      </c>
      <c r="B305" s="521" t="s">
        <v>631</v>
      </c>
      <c r="C305" s="519" t="s">
        <v>2361</v>
      </c>
      <c r="D305" s="119">
        <v>25</v>
      </c>
      <c r="E305" s="200">
        <v>97.35</v>
      </c>
      <c r="F305" s="200"/>
      <c r="G305" s="200"/>
      <c r="H305" s="200"/>
      <c r="I305" s="200"/>
      <c r="J305" s="200">
        <v>97.35</v>
      </c>
      <c r="K305" s="200"/>
      <c r="L305" s="200"/>
      <c r="M305" s="200"/>
      <c r="N305" s="200"/>
      <c r="O305" s="200"/>
      <c r="P305" s="200"/>
      <c r="Q305" s="226">
        <f t="shared" si="27"/>
        <v>97.35</v>
      </c>
      <c r="R305" s="146" t="str">
        <f t="shared" si="26"/>
        <v>NO</v>
      </c>
      <c r="S305" s="201" t="str">
        <f t="shared" si="25"/>
        <v>Inviable Sanitariamente</v>
      </c>
      <c r="T305" s="16"/>
    </row>
    <row r="306" spans="1:20" ht="32.1" customHeight="1">
      <c r="A306" s="82" t="s">
        <v>174</v>
      </c>
      <c r="B306" s="522" t="s">
        <v>2362</v>
      </c>
      <c r="C306" s="519" t="s">
        <v>2363</v>
      </c>
      <c r="D306" s="199">
        <v>18</v>
      </c>
      <c r="E306" s="200"/>
      <c r="F306" s="200">
        <v>26.55</v>
      </c>
      <c r="G306" s="200"/>
      <c r="H306" s="200"/>
      <c r="I306" s="200">
        <v>97.35</v>
      </c>
      <c r="J306" s="200"/>
      <c r="K306" s="200">
        <v>97.35</v>
      </c>
      <c r="L306" s="200"/>
      <c r="M306" s="200">
        <v>97.35</v>
      </c>
      <c r="N306" s="200"/>
      <c r="O306" s="200">
        <v>97.35</v>
      </c>
      <c r="P306" s="200"/>
      <c r="Q306" s="226">
        <f t="shared" si="27"/>
        <v>83.190000000000012</v>
      </c>
      <c r="R306" s="146" t="str">
        <f t="shared" si="26"/>
        <v>NO</v>
      </c>
      <c r="S306" s="201" t="str">
        <f t="shared" si="25"/>
        <v>Inviable Sanitariamente</v>
      </c>
      <c r="T306" s="16"/>
    </row>
    <row r="307" spans="1:20" ht="32.1" customHeight="1">
      <c r="A307" s="82" t="s">
        <v>174</v>
      </c>
      <c r="B307" s="522" t="s">
        <v>2364</v>
      </c>
      <c r="C307" s="519" t="s">
        <v>2365</v>
      </c>
      <c r="D307" s="119">
        <v>43</v>
      </c>
      <c r="E307" s="200">
        <v>97.35</v>
      </c>
      <c r="F307" s="200"/>
      <c r="G307" s="200"/>
      <c r="H307" s="200"/>
      <c r="I307" s="200"/>
      <c r="J307" s="200">
        <v>97.35</v>
      </c>
      <c r="K307" s="200"/>
      <c r="L307" s="200">
        <v>97.35</v>
      </c>
      <c r="M307" s="200"/>
      <c r="N307" s="200"/>
      <c r="O307" s="200"/>
      <c r="P307" s="200"/>
      <c r="Q307" s="226">
        <f t="shared" si="27"/>
        <v>97.34999999999998</v>
      </c>
      <c r="R307" s="146" t="str">
        <f t="shared" si="26"/>
        <v>NO</v>
      </c>
      <c r="S307" s="201" t="str">
        <f t="shared" si="25"/>
        <v>Inviable Sanitariamente</v>
      </c>
      <c r="T307" s="16"/>
    </row>
    <row r="308" spans="1:20" ht="32.1" customHeight="1">
      <c r="A308" s="82" t="s">
        <v>174</v>
      </c>
      <c r="B308" s="522" t="s">
        <v>10</v>
      </c>
      <c r="C308" s="519" t="s">
        <v>2366</v>
      </c>
      <c r="D308" s="119">
        <v>14</v>
      </c>
      <c r="E308" s="200"/>
      <c r="F308" s="200">
        <v>97.35</v>
      </c>
      <c r="G308" s="200"/>
      <c r="H308" s="200"/>
      <c r="I308" s="200"/>
      <c r="J308" s="200"/>
      <c r="K308" s="200"/>
      <c r="L308" s="200"/>
      <c r="M308" s="200"/>
      <c r="N308" s="200"/>
      <c r="O308" s="200"/>
      <c r="P308" s="200"/>
      <c r="Q308" s="226">
        <f t="shared" si="27"/>
        <v>97.35</v>
      </c>
      <c r="R308" s="146" t="str">
        <f t="shared" si="26"/>
        <v>NO</v>
      </c>
      <c r="S308" s="201" t="str">
        <f t="shared" si="25"/>
        <v>Inviable Sanitariamente</v>
      </c>
      <c r="T308" s="16"/>
    </row>
    <row r="309" spans="1:20" ht="32.1" customHeight="1">
      <c r="A309" s="82" t="s">
        <v>174</v>
      </c>
      <c r="B309" s="522" t="s">
        <v>733</v>
      </c>
      <c r="C309" s="519" t="s">
        <v>2367</v>
      </c>
      <c r="D309" s="114">
        <v>35</v>
      </c>
      <c r="E309" s="200"/>
      <c r="F309" s="200"/>
      <c r="G309" s="200"/>
      <c r="H309" s="200">
        <v>97.35</v>
      </c>
      <c r="I309" s="200"/>
      <c r="J309" s="200"/>
      <c r="K309" s="200"/>
      <c r="L309" s="200">
        <v>97.35</v>
      </c>
      <c r="M309" s="200"/>
      <c r="N309" s="200"/>
      <c r="O309" s="200"/>
      <c r="P309" s="200"/>
      <c r="Q309" s="226">
        <f t="shared" si="27"/>
        <v>97.35</v>
      </c>
      <c r="R309" s="146" t="str">
        <f t="shared" si="26"/>
        <v>NO</v>
      </c>
      <c r="S309" s="201" t="str">
        <f t="shared" si="25"/>
        <v>Inviable Sanitariamente</v>
      </c>
      <c r="T309" s="16"/>
    </row>
    <row r="310" spans="1:20" ht="32.1" customHeight="1">
      <c r="A310" s="82" t="s">
        <v>174</v>
      </c>
      <c r="B310" s="522" t="s">
        <v>2368</v>
      </c>
      <c r="C310" s="519" t="s">
        <v>2369</v>
      </c>
      <c r="D310" s="119">
        <v>11</v>
      </c>
      <c r="E310" s="200"/>
      <c r="F310" s="200">
        <v>26.55</v>
      </c>
      <c r="G310" s="200"/>
      <c r="H310" s="200"/>
      <c r="I310" s="200">
        <v>97.35</v>
      </c>
      <c r="J310" s="200"/>
      <c r="K310" s="200">
        <v>97.35</v>
      </c>
      <c r="L310" s="200"/>
      <c r="M310" s="200">
        <v>97.35</v>
      </c>
      <c r="N310" s="200"/>
      <c r="O310" s="200">
        <v>97.35</v>
      </c>
      <c r="P310" s="200"/>
      <c r="Q310" s="226">
        <f t="shared" si="27"/>
        <v>83.190000000000012</v>
      </c>
      <c r="R310" s="146" t="str">
        <f t="shared" si="26"/>
        <v>NO</v>
      </c>
      <c r="S310" s="201" t="str">
        <f t="shared" si="25"/>
        <v>Inviable Sanitariamente</v>
      </c>
      <c r="T310" s="16"/>
    </row>
    <row r="311" spans="1:20" ht="32.1" customHeight="1">
      <c r="A311" s="82" t="s">
        <v>174</v>
      </c>
      <c r="B311" s="522" t="s">
        <v>2370</v>
      </c>
      <c r="C311" s="519" t="s">
        <v>2371</v>
      </c>
      <c r="D311" s="119">
        <v>8</v>
      </c>
      <c r="E311" s="200"/>
      <c r="F311" s="200"/>
      <c r="G311" s="200">
        <v>97.35</v>
      </c>
      <c r="H311" s="200"/>
      <c r="I311" s="200"/>
      <c r="J311" s="200"/>
      <c r="K311" s="200"/>
      <c r="L311" s="200"/>
      <c r="M311" s="200"/>
      <c r="N311" s="200"/>
      <c r="O311" s="200"/>
      <c r="P311" s="200"/>
      <c r="Q311" s="226">
        <f t="shared" si="27"/>
        <v>97.35</v>
      </c>
      <c r="R311" s="146" t="str">
        <f t="shared" si="26"/>
        <v>NO</v>
      </c>
      <c r="S311" s="201" t="str">
        <f t="shared" si="25"/>
        <v>Inviable Sanitariamente</v>
      </c>
      <c r="T311" s="16"/>
    </row>
    <row r="312" spans="1:20" ht="32.1" customHeight="1">
      <c r="A312" s="82" t="s">
        <v>174</v>
      </c>
      <c r="B312" s="522" t="s">
        <v>2372</v>
      </c>
      <c r="C312" s="519" t="s">
        <v>2373</v>
      </c>
      <c r="D312" s="114">
        <v>18</v>
      </c>
      <c r="E312" s="200"/>
      <c r="F312" s="200"/>
      <c r="G312" s="200"/>
      <c r="H312" s="200"/>
      <c r="I312" s="200"/>
      <c r="J312" s="200">
        <v>97.35</v>
      </c>
      <c r="K312" s="200"/>
      <c r="L312" s="200"/>
      <c r="M312" s="200"/>
      <c r="N312" s="200"/>
      <c r="O312" s="200"/>
      <c r="P312" s="200"/>
      <c r="Q312" s="226">
        <f t="shared" si="27"/>
        <v>97.35</v>
      </c>
      <c r="R312" s="146" t="str">
        <f t="shared" si="26"/>
        <v>NO</v>
      </c>
      <c r="S312" s="201" t="str">
        <f t="shared" si="25"/>
        <v>Inviable Sanitariamente</v>
      </c>
      <c r="T312" s="16"/>
    </row>
    <row r="313" spans="1:20" ht="32.1" customHeight="1">
      <c r="A313" s="82" t="s">
        <v>174</v>
      </c>
      <c r="B313" s="522" t="s">
        <v>2374</v>
      </c>
      <c r="C313" s="519" t="s">
        <v>2375</v>
      </c>
      <c r="D313" s="199">
        <v>37</v>
      </c>
      <c r="E313" s="200"/>
      <c r="F313" s="200">
        <v>97.35</v>
      </c>
      <c r="G313" s="200"/>
      <c r="H313" s="200"/>
      <c r="I313" s="200"/>
      <c r="J313" s="200"/>
      <c r="K313" s="200">
        <v>97.35</v>
      </c>
      <c r="L313" s="200"/>
      <c r="M313" s="200"/>
      <c r="N313" s="200"/>
      <c r="O313" s="200"/>
      <c r="P313" s="200"/>
      <c r="Q313" s="226">
        <f t="shared" si="27"/>
        <v>97.35</v>
      </c>
      <c r="R313" s="146" t="str">
        <f t="shared" si="26"/>
        <v>NO</v>
      </c>
      <c r="S313" s="201" t="str">
        <f t="shared" si="25"/>
        <v>Inviable Sanitariamente</v>
      </c>
      <c r="T313" s="16"/>
    </row>
    <row r="314" spans="1:20" ht="32.1" customHeight="1">
      <c r="A314" s="82" t="s">
        <v>174</v>
      </c>
      <c r="B314" s="110" t="s">
        <v>2376</v>
      </c>
      <c r="C314" s="527" t="s">
        <v>2377</v>
      </c>
      <c r="D314" s="119">
        <v>120</v>
      </c>
      <c r="E314" s="200"/>
      <c r="F314" s="200">
        <v>97.35</v>
      </c>
      <c r="G314" s="200"/>
      <c r="H314" s="200"/>
      <c r="I314" s="200"/>
      <c r="J314" s="200"/>
      <c r="K314" s="200">
        <v>97.35</v>
      </c>
      <c r="L314" s="200"/>
      <c r="M314" s="200"/>
      <c r="N314" s="200"/>
      <c r="O314" s="200"/>
      <c r="P314" s="200"/>
      <c r="Q314" s="226">
        <f t="shared" si="27"/>
        <v>97.35</v>
      </c>
      <c r="R314" s="146" t="str">
        <f t="shared" si="26"/>
        <v>NO</v>
      </c>
      <c r="S314" s="201" t="str">
        <f t="shared" si="25"/>
        <v>Inviable Sanitariamente</v>
      </c>
      <c r="T314" s="16"/>
    </row>
    <row r="315" spans="1:20" ht="32.1" customHeight="1">
      <c r="A315" s="82" t="s">
        <v>174</v>
      </c>
      <c r="B315" s="110" t="s">
        <v>2378</v>
      </c>
      <c r="C315" s="527" t="s">
        <v>2379</v>
      </c>
      <c r="D315" s="114">
        <v>64</v>
      </c>
      <c r="E315" s="200"/>
      <c r="F315" s="200"/>
      <c r="G315" s="200"/>
      <c r="H315" s="200"/>
      <c r="I315" s="200">
        <v>97.35</v>
      </c>
      <c r="J315" s="200"/>
      <c r="K315" s="200"/>
      <c r="L315" s="200"/>
      <c r="M315" s="200"/>
      <c r="N315" s="200"/>
      <c r="O315" s="200"/>
      <c r="P315" s="200"/>
      <c r="Q315" s="226">
        <f t="shared" si="27"/>
        <v>97.35</v>
      </c>
      <c r="R315" s="146" t="str">
        <f t="shared" si="26"/>
        <v>NO</v>
      </c>
      <c r="S315" s="201" t="str">
        <f t="shared" si="25"/>
        <v>Inviable Sanitariamente</v>
      </c>
      <c r="T315" s="16"/>
    </row>
    <row r="316" spans="1:20" ht="32.1" customHeight="1">
      <c r="A316" s="82" t="s">
        <v>174</v>
      </c>
      <c r="B316" s="522" t="s">
        <v>2380</v>
      </c>
      <c r="C316" s="519" t="s">
        <v>2381</v>
      </c>
      <c r="D316" s="199">
        <v>57</v>
      </c>
      <c r="E316" s="200"/>
      <c r="F316" s="200"/>
      <c r="G316" s="200"/>
      <c r="H316" s="200"/>
      <c r="I316" s="200">
        <v>97.35</v>
      </c>
      <c r="J316" s="200"/>
      <c r="K316" s="200"/>
      <c r="L316" s="200">
        <v>97.35</v>
      </c>
      <c r="M316" s="200"/>
      <c r="N316" s="200"/>
      <c r="O316" s="200"/>
      <c r="P316" s="200"/>
      <c r="Q316" s="226">
        <f t="shared" si="27"/>
        <v>97.35</v>
      </c>
      <c r="R316" s="146" t="str">
        <f t="shared" si="26"/>
        <v>NO</v>
      </c>
      <c r="S316" s="201" t="str">
        <f t="shared" si="25"/>
        <v>Inviable Sanitariamente</v>
      </c>
      <c r="T316" s="16"/>
    </row>
    <row r="317" spans="1:20" ht="32.1" customHeight="1">
      <c r="A317" s="82" t="s">
        <v>174</v>
      </c>
      <c r="B317" s="522" t="s">
        <v>2382</v>
      </c>
      <c r="C317" s="519" t="s">
        <v>2383</v>
      </c>
      <c r="D317" s="199">
        <v>28</v>
      </c>
      <c r="E317" s="200">
        <v>97.35</v>
      </c>
      <c r="F317" s="200"/>
      <c r="G317" s="200">
        <v>0</v>
      </c>
      <c r="H317" s="200"/>
      <c r="I317" s="200"/>
      <c r="J317" s="200">
        <v>26.55</v>
      </c>
      <c r="K317" s="200"/>
      <c r="L317" s="200">
        <v>26.55</v>
      </c>
      <c r="M317" s="200"/>
      <c r="N317" s="200">
        <v>2.65</v>
      </c>
      <c r="O317" s="200">
        <v>0</v>
      </c>
      <c r="P317" s="200"/>
      <c r="Q317" s="226">
        <f t="shared" si="27"/>
        <v>25.516666666666666</v>
      </c>
      <c r="R317" s="146" t="str">
        <f t="shared" si="26"/>
        <v>NO</v>
      </c>
      <c r="S317" s="201" t="str">
        <f t="shared" si="25"/>
        <v>Medio</v>
      </c>
      <c r="T317" s="16"/>
    </row>
    <row r="318" spans="1:20" ht="32.1" customHeight="1">
      <c r="A318" s="82" t="s">
        <v>174</v>
      </c>
      <c r="B318" s="522" t="s">
        <v>2384</v>
      </c>
      <c r="C318" s="519" t="s">
        <v>2385</v>
      </c>
      <c r="D318" s="199">
        <v>59</v>
      </c>
      <c r="E318" s="200">
        <v>26.55</v>
      </c>
      <c r="F318" s="200"/>
      <c r="G318" s="200">
        <v>0</v>
      </c>
      <c r="H318" s="200"/>
      <c r="I318" s="200"/>
      <c r="J318" s="200">
        <v>26.55</v>
      </c>
      <c r="K318" s="200"/>
      <c r="L318" s="200">
        <v>0</v>
      </c>
      <c r="M318" s="200"/>
      <c r="N318" s="200">
        <v>0</v>
      </c>
      <c r="O318" s="200">
        <v>0</v>
      </c>
      <c r="P318" s="200"/>
      <c r="Q318" s="226">
        <f t="shared" si="27"/>
        <v>8.85</v>
      </c>
      <c r="R318" s="146" t="str">
        <f t="shared" si="26"/>
        <v>NO</v>
      </c>
      <c r="S318" s="201" t="str">
        <f t="shared" si="25"/>
        <v>Bajo</v>
      </c>
      <c r="T318" s="16"/>
    </row>
    <row r="319" spans="1:20" ht="32.1" customHeight="1">
      <c r="A319" s="82" t="s">
        <v>174</v>
      </c>
      <c r="B319" s="522" t="s">
        <v>2386</v>
      </c>
      <c r="C319" s="519" t="s">
        <v>2387</v>
      </c>
      <c r="D319" s="119">
        <v>22</v>
      </c>
      <c r="E319" s="200"/>
      <c r="F319" s="200"/>
      <c r="G319" s="200"/>
      <c r="H319" s="200"/>
      <c r="I319" s="200">
        <v>97.35</v>
      </c>
      <c r="J319" s="200"/>
      <c r="K319" s="200"/>
      <c r="L319" s="200"/>
      <c r="M319" s="200"/>
      <c r="N319" s="200"/>
      <c r="O319" s="200"/>
      <c r="P319" s="200"/>
      <c r="Q319" s="226">
        <f t="shared" si="27"/>
        <v>97.35</v>
      </c>
      <c r="R319" s="146" t="str">
        <f t="shared" si="26"/>
        <v>NO</v>
      </c>
      <c r="S319" s="201" t="str">
        <f t="shared" si="25"/>
        <v>Inviable Sanitariamente</v>
      </c>
      <c r="T319" s="16"/>
    </row>
    <row r="320" spans="1:20" ht="32.1" customHeight="1">
      <c r="A320" s="82" t="s">
        <v>174</v>
      </c>
      <c r="B320" s="82" t="s">
        <v>2388</v>
      </c>
      <c r="C320" s="529" t="s">
        <v>2389</v>
      </c>
      <c r="D320" s="148"/>
      <c r="E320" s="200"/>
      <c r="F320" s="200"/>
      <c r="G320" s="200"/>
      <c r="H320" s="200"/>
      <c r="I320" s="200"/>
      <c r="J320" s="200"/>
      <c r="K320" s="200"/>
      <c r="L320" s="200"/>
      <c r="M320" s="200"/>
      <c r="N320" s="200"/>
      <c r="O320" s="200"/>
      <c r="P320" s="200"/>
      <c r="Q320" s="226" t="e">
        <f t="shared" si="27"/>
        <v>#DIV/0!</v>
      </c>
      <c r="R320" s="146" t="e">
        <f t="shared" si="26"/>
        <v>#DIV/0!</v>
      </c>
      <c r="S320" s="201" t="e">
        <f t="shared" si="25"/>
        <v>#DIV/0!</v>
      </c>
      <c r="T320" s="16"/>
    </row>
    <row r="321" spans="1:20" ht="32.1" customHeight="1">
      <c r="A321" s="82" t="s">
        <v>175</v>
      </c>
      <c r="B321" s="530" t="s">
        <v>2390</v>
      </c>
      <c r="C321" s="519" t="s">
        <v>2391</v>
      </c>
      <c r="D321" s="148">
        <v>32</v>
      </c>
      <c r="E321" s="200"/>
      <c r="F321" s="200"/>
      <c r="G321" s="200"/>
      <c r="H321" s="200"/>
      <c r="I321" s="200">
        <v>97.35</v>
      </c>
      <c r="J321" s="200"/>
      <c r="K321" s="200"/>
      <c r="L321" s="200">
        <v>97.35</v>
      </c>
      <c r="M321" s="200"/>
      <c r="N321" s="200"/>
      <c r="O321" s="200"/>
      <c r="P321" s="200"/>
      <c r="Q321" s="226">
        <f t="shared" si="27"/>
        <v>97.35</v>
      </c>
      <c r="R321" s="146" t="str">
        <f t="shared" si="26"/>
        <v>NO</v>
      </c>
      <c r="S321" s="201" t="str">
        <f t="shared" si="25"/>
        <v>Inviable Sanitariamente</v>
      </c>
      <c r="T321" s="16"/>
    </row>
    <row r="322" spans="1:20" ht="32.1" customHeight="1">
      <c r="A322" s="82" t="s">
        <v>175</v>
      </c>
      <c r="B322" s="530" t="s">
        <v>2392</v>
      </c>
      <c r="C322" s="519" t="s">
        <v>2393</v>
      </c>
      <c r="D322" s="148">
        <v>22</v>
      </c>
      <c r="E322" s="200"/>
      <c r="F322" s="200"/>
      <c r="G322" s="200"/>
      <c r="H322" s="200"/>
      <c r="I322" s="200">
        <v>97.35</v>
      </c>
      <c r="J322" s="200"/>
      <c r="K322" s="200"/>
      <c r="L322" s="200">
        <v>97.35</v>
      </c>
      <c r="M322" s="200"/>
      <c r="N322" s="200"/>
      <c r="O322" s="200"/>
      <c r="P322" s="200"/>
      <c r="Q322" s="226">
        <f t="shared" si="27"/>
        <v>97.35</v>
      </c>
      <c r="R322" s="146" t="str">
        <f t="shared" si="26"/>
        <v>NO</v>
      </c>
      <c r="S322" s="201" t="str">
        <f t="shared" si="25"/>
        <v>Inviable Sanitariamente</v>
      </c>
      <c r="T322" s="16"/>
    </row>
    <row r="323" spans="1:20" ht="32.1" customHeight="1">
      <c r="A323" s="82" t="s">
        <v>175</v>
      </c>
      <c r="B323" s="530" t="s">
        <v>2394</v>
      </c>
      <c r="C323" s="519" t="s">
        <v>2395</v>
      </c>
      <c r="D323" s="208">
        <v>29</v>
      </c>
      <c r="E323" s="200"/>
      <c r="F323" s="200"/>
      <c r="G323" s="200"/>
      <c r="H323" s="200"/>
      <c r="I323" s="200">
        <v>97.35</v>
      </c>
      <c r="J323" s="200"/>
      <c r="K323" s="200"/>
      <c r="L323" s="200">
        <v>97.35</v>
      </c>
      <c r="M323" s="200"/>
      <c r="N323" s="200"/>
      <c r="O323" s="200"/>
      <c r="P323" s="200"/>
      <c r="Q323" s="226">
        <f t="shared" si="27"/>
        <v>97.35</v>
      </c>
      <c r="R323" s="146" t="str">
        <f t="shared" si="26"/>
        <v>NO</v>
      </c>
      <c r="S323" s="201" t="str">
        <f t="shared" si="25"/>
        <v>Inviable Sanitariamente</v>
      </c>
      <c r="T323" s="16"/>
    </row>
    <row r="324" spans="1:20" ht="32.1" customHeight="1">
      <c r="A324" s="82" t="s">
        <v>175</v>
      </c>
      <c r="B324" s="530" t="s">
        <v>2396</v>
      </c>
      <c r="C324" s="519" t="s">
        <v>2397</v>
      </c>
      <c r="D324" s="148">
        <v>29</v>
      </c>
      <c r="E324" s="200"/>
      <c r="F324" s="200"/>
      <c r="G324" s="200"/>
      <c r="H324" s="200"/>
      <c r="I324" s="200">
        <v>97.35</v>
      </c>
      <c r="J324" s="200"/>
      <c r="K324" s="200"/>
      <c r="L324" s="200">
        <v>97.35</v>
      </c>
      <c r="M324" s="200"/>
      <c r="N324" s="200"/>
      <c r="O324" s="200"/>
      <c r="P324" s="200"/>
      <c r="Q324" s="226">
        <f t="shared" si="27"/>
        <v>97.35</v>
      </c>
      <c r="R324" s="146" t="str">
        <f t="shared" si="26"/>
        <v>NO</v>
      </c>
      <c r="S324" s="201" t="str">
        <f t="shared" si="25"/>
        <v>Inviable Sanitariamente</v>
      </c>
      <c r="T324" s="16"/>
    </row>
    <row r="325" spans="1:20" ht="32.1" customHeight="1">
      <c r="A325" s="82" t="s">
        <v>175</v>
      </c>
      <c r="B325" s="530" t="s">
        <v>2398</v>
      </c>
      <c r="C325" s="519" t="s">
        <v>2399</v>
      </c>
      <c r="D325" s="119">
        <v>34</v>
      </c>
      <c r="E325" s="200"/>
      <c r="F325" s="200"/>
      <c r="G325" s="200"/>
      <c r="H325" s="200"/>
      <c r="I325" s="200">
        <v>97.35</v>
      </c>
      <c r="J325" s="200"/>
      <c r="K325" s="200"/>
      <c r="L325" s="200">
        <v>97.35</v>
      </c>
      <c r="M325" s="200"/>
      <c r="N325" s="200"/>
      <c r="O325" s="200"/>
      <c r="P325" s="200"/>
      <c r="Q325" s="226">
        <f t="shared" si="27"/>
        <v>97.35</v>
      </c>
      <c r="R325" s="146" t="str">
        <f t="shared" si="26"/>
        <v>NO</v>
      </c>
      <c r="S325" s="201" t="str">
        <f t="shared" si="25"/>
        <v>Inviable Sanitariamente</v>
      </c>
      <c r="T325" s="16"/>
    </row>
    <row r="326" spans="1:20" ht="32.1" customHeight="1">
      <c r="A326" s="82" t="s">
        <v>175</v>
      </c>
      <c r="B326" s="530" t="s">
        <v>2400</v>
      </c>
      <c r="C326" s="519" t="s">
        <v>2401</v>
      </c>
      <c r="D326" s="119">
        <v>75</v>
      </c>
      <c r="E326" s="200"/>
      <c r="F326" s="200"/>
      <c r="G326" s="200"/>
      <c r="H326" s="200"/>
      <c r="I326" s="200">
        <v>97.35</v>
      </c>
      <c r="J326" s="200"/>
      <c r="K326" s="200"/>
      <c r="L326" s="200">
        <v>97.35</v>
      </c>
      <c r="M326" s="200"/>
      <c r="N326" s="200"/>
      <c r="O326" s="200"/>
      <c r="P326" s="200"/>
      <c r="Q326" s="226">
        <f t="shared" si="27"/>
        <v>97.35</v>
      </c>
      <c r="R326" s="146" t="str">
        <f t="shared" si="26"/>
        <v>NO</v>
      </c>
      <c r="S326" s="201" t="str">
        <f t="shared" si="25"/>
        <v>Inviable Sanitariamente</v>
      </c>
      <c r="T326" s="16"/>
    </row>
    <row r="327" spans="1:20" ht="32.1" customHeight="1">
      <c r="A327" s="82" t="s">
        <v>176</v>
      </c>
      <c r="B327" s="522" t="s">
        <v>2402</v>
      </c>
      <c r="C327" s="519" t="s">
        <v>2403</v>
      </c>
      <c r="D327" s="119">
        <v>51</v>
      </c>
      <c r="E327" s="200"/>
      <c r="F327" s="200"/>
      <c r="G327" s="200"/>
      <c r="H327" s="200"/>
      <c r="I327" s="200"/>
      <c r="J327" s="200"/>
      <c r="K327" s="200"/>
      <c r="L327" s="200">
        <v>53</v>
      </c>
      <c r="M327" s="200"/>
      <c r="N327" s="200"/>
      <c r="O327" s="200"/>
      <c r="P327" s="200"/>
      <c r="Q327" s="226">
        <f t="shared" si="27"/>
        <v>53</v>
      </c>
      <c r="R327" s="146" t="str">
        <f t="shared" si="26"/>
        <v>NO</v>
      </c>
      <c r="S327" s="201" t="str">
        <f t="shared" si="25"/>
        <v>Alto</v>
      </c>
      <c r="T327" s="16"/>
    </row>
    <row r="328" spans="1:20" ht="32.1" customHeight="1">
      <c r="A328" s="82" t="s">
        <v>176</v>
      </c>
      <c r="B328" s="522" t="s">
        <v>1038</v>
      </c>
      <c r="C328" s="519" t="s">
        <v>2404</v>
      </c>
      <c r="D328" s="119"/>
      <c r="E328" s="200"/>
      <c r="F328" s="200"/>
      <c r="G328" s="200"/>
      <c r="H328" s="200"/>
      <c r="I328" s="200"/>
      <c r="J328" s="200"/>
      <c r="K328" s="200"/>
      <c r="L328" s="200"/>
      <c r="M328" s="200"/>
      <c r="N328" s="200"/>
      <c r="O328" s="200"/>
      <c r="P328" s="200"/>
      <c r="Q328" s="226" t="e">
        <f t="shared" si="27"/>
        <v>#DIV/0!</v>
      </c>
      <c r="R328" s="146" t="e">
        <f t="shared" si="26"/>
        <v>#DIV/0!</v>
      </c>
      <c r="S328" s="201" t="e">
        <f t="shared" si="25"/>
        <v>#DIV/0!</v>
      </c>
      <c r="T328" s="16"/>
    </row>
    <row r="329" spans="1:20" ht="32.1" customHeight="1">
      <c r="A329" s="82" t="s">
        <v>176</v>
      </c>
      <c r="B329" s="522" t="s">
        <v>2405</v>
      </c>
      <c r="C329" s="519" t="s">
        <v>2406</v>
      </c>
      <c r="D329" s="119">
        <v>28</v>
      </c>
      <c r="E329" s="200"/>
      <c r="F329" s="200"/>
      <c r="G329" s="200"/>
      <c r="H329" s="200">
        <v>53</v>
      </c>
      <c r="I329" s="200"/>
      <c r="J329" s="200"/>
      <c r="K329" s="200"/>
      <c r="L329" s="200"/>
      <c r="M329" s="200"/>
      <c r="N329" s="200"/>
      <c r="O329" s="200"/>
      <c r="P329" s="200"/>
      <c r="Q329" s="226">
        <f t="shared" si="27"/>
        <v>53</v>
      </c>
      <c r="R329" s="146" t="str">
        <f t="shared" si="26"/>
        <v>NO</v>
      </c>
      <c r="S329" s="201" t="str">
        <f t="shared" si="25"/>
        <v>Alto</v>
      </c>
      <c r="T329" s="16"/>
    </row>
    <row r="330" spans="1:20" ht="32.1" customHeight="1">
      <c r="A330" s="82" t="s">
        <v>176</v>
      </c>
      <c r="B330" s="522" t="s">
        <v>2407</v>
      </c>
      <c r="C330" s="519" t="s">
        <v>2408</v>
      </c>
      <c r="D330" s="199"/>
      <c r="E330" s="200"/>
      <c r="F330" s="200"/>
      <c r="G330" s="200"/>
      <c r="H330" s="200"/>
      <c r="I330" s="200"/>
      <c r="J330" s="200"/>
      <c r="K330" s="200"/>
      <c r="L330" s="200"/>
      <c r="M330" s="200"/>
      <c r="N330" s="200"/>
      <c r="O330" s="200"/>
      <c r="P330" s="200"/>
      <c r="Q330" s="226" t="e">
        <f t="shared" si="27"/>
        <v>#DIV/0!</v>
      </c>
      <c r="R330" s="146" t="e">
        <f t="shared" si="26"/>
        <v>#DIV/0!</v>
      </c>
      <c r="S330" s="201" t="e">
        <f t="shared" ref="S330:S393" si="28">IF(Q330&lt;5,"Sin Riesgo",IF(Q330 &lt;=14,"Bajo",IF(Q330&lt;=35,"Medio",IF(Q330&lt;=80,"Alto","Inviable Sanitariamente"))))</f>
        <v>#DIV/0!</v>
      </c>
      <c r="T330" s="16"/>
    </row>
    <row r="331" spans="1:20" ht="32.1" customHeight="1">
      <c r="A331" s="82" t="s">
        <v>176</v>
      </c>
      <c r="B331" s="522" t="s">
        <v>2409</v>
      </c>
      <c r="C331" s="519" t="s">
        <v>2410</v>
      </c>
      <c r="D331" s="199">
        <v>33</v>
      </c>
      <c r="E331" s="200"/>
      <c r="F331" s="200"/>
      <c r="G331" s="200"/>
      <c r="H331" s="200"/>
      <c r="I331" s="200"/>
      <c r="J331" s="200"/>
      <c r="K331" s="200"/>
      <c r="L331" s="200"/>
      <c r="M331" s="200"/>
      <c r="N331" s="200"/>
      <c r="O331" s="200">
        <v>53</v>
      </c>
      <c r="P331" s="200"/>
      <c r="Q331" s="226">
        <f t="shared" si="27"/>
        <v>53</v>
      </c>
      <c r="R331" s="146" t="str">
        <f t="shared" si="26"/>
        <v>NO</v>
      </c>
      <c r="S331" s="201" t="str">
        <f t="shared" si="28"/>
        <v>Alto</v>
      </c>
      <c r="T331" s="16"/>
    </row>
    <row r="332" spans="1:20" ht="32.1" customHeight="1">
      <c r="A332" s="82" t="s">
        <v>176</v>
      </c>
      <c r="B332" s="522" t="s">
        <v>2411</v>
      </c>
      <c r="C332" s="519" t="s">
        <v>2412</v>
      </c>
      <c r="D332" s="119">
        <v>55</v>
      </c>
      <c r="E332" s="200"/>
      <c r="F332" s="200"/>
      <c r="G332" s="200"/>
      <c r="H332" s="200">
        <v>0</v>
      </c>
      <c r="I332" s="200"/>
      <c r="J332" s="200"/>
      <c r="K332" s="200"/>
      <c r="L332" s="200"/>
      <c r="M332" s="200"/>
      <c r="N332" s="200"/>
      <c r="O332" s="200"/>
      <c r="P332" s="200"/>
      <c r="Q332" s="226">
        <f t="shared" si="27"/>
        <v>0</v>
      </c>
      <c r="R332" s="146" t="str">
        <f t="shared" si="26"/>
        <v>SI</v>
      </c>
      <c r="S332" s="201" t="str">
        <f t="shared" si="28"/>
        <v>Sin Riesgo</v>
      </c>
      <c r="T332" s="16"/>
    </row>
    <row r="333" spans="1:20" ht="32.1" customHeight="1">
      <c r="A333" s="82" t="s">
        <v>176</v>
      </c>
      <c r="B333" s="522" t="s">
        <v>2413</v>
      </c>
      <c r="C333" s="519" t="s">
        <v>2414</v>
      </c>
      <c r="D333" s="119">
        <v>54</v>
      </c>
      <c r="E333" s="200"/>
      <c r="F333" s="200"/>
      <c r="G333" s="200"/>
      <c r="H333" s="200"/>
      <c r="I333" s="200">
        <v>0</v>
      </c>
      <c r="J333" s="200"/>
      <c r="K333" s="200"/>
      <c r="L333" s="200"/>
      <c r="M333" s="200"/>
      <c r="N333" s="200"/>
      <c r="O333" s="200"/>
      <c r="P333" s="200"/>
      <c r="Q333" s="226">
        <f t="shared" si="27"/>
        <v>0</v>
      </c>
      <c r="R333" s="146" t="str">
        <f t="shared" si="26"/>
        <v>SI</v>
      </c>
      <c r="S333" s="201" t="str">
        <f t="shared" si="28"/>
        <v>Sin Riesgo</v>
      </c>
      <c r="T333" s="16"/>
    </row>
    <row r="334" spans="1:20" ht="32.1" customHeight="1">
      <c r="A334" s="82" t="s">
        <v>176</v>
      </c>
      <c r="B334" s="110" t="s">
        <v>2415</v>
      </c>
      <c r="C334" s="527" t="s">
        <v>2416</v>
      </c>
      <c r="D334" s="207">
        <v>67</v>
      </c>
      <c r="E334" s="200"/>
      <c r="F334" s="200"/>
      <c r="G334" s="200"/>
      <c r="H334" s="200"/>
      <c r="I334" s="200">
        <v>53</v>
      </c>
      <c r="J334" s="200"/>
      <c r="K334" s="200"/>
      <c r="L334" s="200"/>
      <c r="M334" s="200"/>
      <c r="N334" s="200"/>
      <c r="O334" s="200">
        <v>53</v>
      </c>
      <c r="P334" s="200"/>
      <c r="Q334" s="226">
        <f t="shared" si="27"/>
        <v>53</v>
      </c>
      <c r="R334" s="146" t="str">
        <f t="shared" si="26"/>
        <v>NO</v>
      </c>
      <c r="S334" s="201" t="str">
        <f t="shared" si="28"/>
        <v>Alto</v>
      </c>
      <c r="T334" s="16"/>
    </row>
    <row r="335" spans="1:20" ht="32.1" customHeight="1">
      <c r="A335" s="82" t="s">
        <v>176</v>
      </c>
      <c r="B335" s="522" t="s">
        <v>62</v>
      </c>
      <c r="C335" s="519" t="s">
        <v>2417</v>
      </c>
      <c r="D335" s="199">
        <v>20</v>
      </c>
      <c r="E335" s="200"/>
      <c r="F335" s="200"/>
      <c r="G335" s="200"/>
      <c r="H335" s="200"/>
      <c r="I335" s="200"/>
      <c r="J335" s="200">
        <v>53</v>
      </c>
      <c r="K335" s="200"/>
      <c r="L335" s="200"/>
      <c r="M335" s="200"/>
      <c r="N335" s="200"/>
      <c r="O335" s="200"/>
      <c r="P335" s="200"/>
      <c r="Q335" s="226">
        <f t="shared" si="27"/>
        <v>53</v>
      </c>
      <c r="R335" s="146" t="str">
        <f t="shared" si="26"/>
        <v>NO</v>
      </c>
      <c r="S335" s="201" t="str">
        <f t="shared" si="28"/>
        <v>Alto</v>
      </c>
      <c r="T335" s="16"/>
    </row>
    <row r="336" spans="1:20" ht="32.1" customHeight="1">
      <c r="A336" s="82" t="s">
        <v>176</v>
      </c>
      <c r="B336" s="522" t="s">
        <v>2418</v>
      </c>
      <c r="C336" s="519" t="s">
        <v>2419</v>
      </c>
      <c r="D336" s="199">
        <v>24</v>
      </c>
      <c r="E336" s="200"/>
      <c r="F336" s="200"/>
      <c r="G336" s="200"/>
      <c r="H336" s="200"/>
      <c r="I336" s="200"/>
      <c r="J336" s="200">
        <v>53</v>
      </c>
      <c r="K336" s="200"/>
      <c r="L336" s="200"/>
      <c r="M336" s="200"/>
      <c r="N336" s="200"/>
      <c r="O336" s="200"/>
      <c r="P336" s="200"/>
      <c r="Q336" s="226">
        <f t="shared" si="27"/>
        <v>53</v>
      </c>
      <c r="R336" s="146" t="str">
        <f t="shared" si="26"/>
        <v>NO</v>
      </c>
      <c r="S336" s="201" t="str">
        <f t="shared" si="28"/>
        <v>Alto</v>
      </c>
      <c r="T336" s="16"/>
    </row>
    <row r="337" spans="1:20" ht="32.1" customHeight="1">
      <c r="A337" s="82" t="s">
        <v>176</v>
      </c>
      <c r="B337" s="522" t="s">
        <v>2420</v>
      </c>
      <c r="C337" s="519" t="s">
        <v>2421</v>
      </c>
      <c r="D337" s="114"/>
      <c r="E337" s="200"/>
      <c r="F337" s="200"/>
      <c r="G337" s="200"/>
      <c r="H337" s="200"/>
      <c r="I337" s="200"/>
      <c r="J337" s="200"/>
      <c r="K337" s="200"/>
      <c r="L337" s="200"/>
      <c r="M337" s="200"/>
      <c r="N337" s="200"/>
      <c r="O337" s="200"/>
      <c r="P337" s="200"/>
      <c r="Q337" s="226" t="e">
        <f t="shared" si="27"/>
        <v>#DIV/0!</v>
      </c>
      <c r="R337" s="146" t="e">
        <f t="shared" si="26"/>
        <v>#DIV/0!</v>
      </c>
      <c r="S337" s="201" t="e">
        <f t="shared" si="28"/>
        <v>#DIV/0!</v>
      </c>
      <c r="T337" s="16"/>
    </row>
    <row r="338" spans="1:20" ht="32.1" customHeight="1">
      <c r="A338" s="82" t="s">
        <v>176</v>
      </c>
      <c r="B338" s="522" t="s">
        <v>2422</v>
      </c>
      <c r="C338" s="519" t="s">
        <v>2423</v>
      </c>
      <c r="D338" s="199">
        <v>180</v>
      </c>
      <c r="E338" s="200"/>
      <c r="F338" s="200"/>
      <c r="G338" s="200"/>
      <c r="H338" s="200"/>
      <c r="I338" s="200"/>
      <c r="J338" s="200"/>
      <c r="K338" s="200"/>
      <c r="L338" s="200">
        <v>26</v>
      </c>
      <c r="M338" s="200"/>
      <c r="N338" s="200"/>
      <c r="O338" s="200"/>
      <c r="P338" s="200"/>
      <c r="Q338" s="226">
        <f t="shared" si="27"/>
        <v>26</v>
      </c>
      <c r="R338" s="146" t="str">
        <f t="shared" si="26"/>
        <v>NO</v>
      </c>
      <c r="S338" s="201" t="str">
        <f t="shared" si="28"/>
        <v>Medio</v>
      </c>
      <c r="T338" s="16"/>
    </row>
    <row r="339" spans="1:20" ht="32.1" customHeight="1">
      <c r="A339" s="82" t="s">
        <v>176</v>
      </c>
      <c r="B339" s="522" t="s">
        <v>2424</v>
      </c>
      <c r="C339" s="519" t="s">
        <v>2425</v>
      </c>
      <c r="D339" s="119">
        <v>240</v>
      </c>
      <c r="E339" s="200"/>
      <c r="F339" s="200"/>
      <c r="G339" s="200"/>
      <c r="H339" s="200"/>
      <c r="I339" s="200"/>
      <c r="J339" s="200">
        <v>53</v>
      </c>
      <c r="K339" s="200"/>
      <c r="L339" s="200"/>
      <c r="M339" s="200"/>
      <c r="N339" s="200"/>
      <c r="O339" s="200"/>
      <c r="P339" s="200"/>
      <c r="Q339" s="226">
        <f t="shared" si="27"/>
        <v>53</v>
      </c>
      <c r="R339" s="146" t="str">
        <f t="shared" si="26"/>
        <v>NO</v>
      </c>
      <c r="S339" s="201" t="str">
        <f t="shared" si="28"/>
        <v>Alto</v>
      </c>
      <c r="T339" s="16"/>
    </row>
    <row r="340" spans="1:20" ht="32.1" customHeight="1">
      <c r="A340" s="82" t="s">
        <v>176</v>
      </c>
      <c r="B340" s="522" t="s">
        <v>2426</v>
      </c>
      <c r="C340" s="519" t="s">
        <v>2427</v>
      </c>
      <c r="D340" s="114"/>
      <c r="E340" s="200"/>
      <c r="F340" s="200"/>
      <c r="G340" s="200"/>
      <c r="H340" s="200"/>
      <c r="I340" s="200"/>
      <c r="J340" s="200"/>
      <c r="K340" s="200"/>
      <c r="L340" s="200"/>
      <c r="M340" s="200"/>
      <c r="N340" s="200"/>
      <c r="O340" s="200"/>
      <c r="P340" s="200"/>
      <c r="Q340" s="226" t="e">
        <f t="shared" si="27"/>
        <v>#DIV/0!</v>
      </c>
      <c r="R340" s="146" t="e">
        <f t="shared" si="26"/>
        <v>#DIV/0!</v>
      </c>
      <c r="S340" s="201" t="e">
        <f t="shared" si="28"/>
        <v>#DIV/0!</v>
      </c>
      <c r="T340" s="16"/>
    </row>
    <row r="341" spans="1:20" ht="32.1" customHeight="1">
      <c r="A341" s="82" t="s">
        <v>176</v>
      </c>
      <c r="B341" s="522" t="s">
        <v>2428</v>
      </c>
      <c r="C341" s="519" t="s">
        <v>2429</v>
      </c>
      <c r="D341" s="199">
        <v>102</v>
      </c>
      <c r="E341" s="200"/>
      <c r="F341" s="200"/>
      <c r="G341" s="200"/>
      <c r="H341" s="200"/>
      <c r="I341" s="200"/>
      <c r="J341" s="200">
        <v>53</v>
      </c>
      <c r="K341" s="200"/>
      <c r="L341" s="200"/>
      <c r="M341" s="200"/>
      <c r="N341" s="200"/>
      <c r="O341" s="200"/>
      <c r="P341" s="200"/>
      <c r="Q341" s="226">
        <f t="shared" si="27"/>
        <v>53</v>
      </c>
      <c r="R341" s="146" t="str">
        <f t="shared" si="26"/>
        <v>NO</v>
      </c>
      <c r="S341" s="201" t="str">
        <f t="shared" si="28"/>
        <v>Alto</v>
      </c>
      <c r="T341" s="16"/>
    </row>
    <row r="342" spans="1:20" ht="32.1" customHeight="1">
      <c r="A342" s="82" t="s">
        <v>176</v>
      </c>
      <c r="B342" s="522" t="s">
        <v>2430</v>
      </c>
      <c r="C342" s="519" t="s">
        <v>2431</v>
      </c>
      <c r="D342" s="199">
        <v>22</v>
      </c>
      <c r="E342" s="200"/>
      <c r="F342" s="200"/>
      <c r="G342" s="200"/>
      <c r="H342" s="200"/>
      <c r="I342" s="200"/>
      <c r="J342" s="200">
        <v>53</v>
      </c>
      <c r="K342" s="200"/>
      <c r="L342" s="200"/>
      <c r="M342" s="200"/>
      <c r="N342" s="200"/>
      <c r="O342" s="200"/>
      <c r="P342" s="200"/>
      <c r="Q342" s="226">
        <f t="shared" si="27"/>
        <v>53</v>
      </c>
      <c r="R342" s="146" t="str">
        <f t="shared" si="26"/>
        <v>NO</v>
      </c>
      <c r="S342" s="201" t="str">
        <f t="shared" si="28"/>
        <v>Alto</v>
      </c>
      <c r="T342" s="16"/>
    </row>
    <row r="343" spans="1:20" ht="32.1" customHeight="1">
      <c r="A343" s="82" t="s">
        <v>176</v>
      </c>
      <c r="B343" s="522" t="s">
        <v>2432</v>
      </c>
      <c r="C343" s="519" t="s">
        <v>2433</v>
      </c>
      <c r="D343" s="199">
        <v>109</v>
      </c>
      <c r="E343" s="200"/>
      <c r="F343" s="200"/>
      <c r="G343" s="200"/>
      <c r="H343" s="200"/>
      <c r="I343" s="200"/>
      <c r="J343" s="200"/>
      <c r="K343" s="200"/>
      <c r="L343" s="200"/>
      <c r="M343" s="200"/>
      <c r="N343" s="200"/>
      <c r="O343" s="200">
        <v>53</v>
      </c>
      <c r="P343" s="200"/>
      <c r="Q343" s="226">
        <f t="shared" si="27"/>
        <v>53</v>
      </c>
      <c r="R343" s="146" t="str">
        <f t="shared" si="26"/>
        <v>NO</v>
      </c>
      <c r="S343" s="201" t="str">
        <f t="shared" si="28"/>
        <v>Alto</v>
      </c>
      <c r="T343" s="16"/>
    </row>
    <row r="344" spans="1:20" ht="32.1" customHeight="1">
      <c r="A344" s="82" t="s">
        <v>176</v>
      </c>
      <c r="B344" s="522" t="s">
        <v>2434</v>
      </c>
      <c r="C344" s="519" t="s">
        <v>2435</v>
      </c>
      <c r="D344" s="199">
        <v>45</v>
      </c>
      <c r="E344" s="200"/>
      <c r="F344" s="200"/>
      <c r="G344" s="200"/>
      <c r="H344" s="200"/>
      <c r="I344" s="200">
        <v>53</v>
      </c>
      <c r="J344" s="200"/>
      <c r="K344" s="200"/>
      <c r="L344" s="200"/>
      <c r="M344" s="200"/>
      <c r="N344" s="200"/>
      <c r="O344" s="200"/>
      <c r="P344" s="200"/>
      <c r="Q344" s="226">
        <f t="shared" si="27"/>
        <v>53</v>
      </c>
      <c r="R344" s="146" t="str">
        <f t="shared" si="26"/>
        <v>NO</v>
      </c>
      <c r="S344" s="201" t="str">
        <f t="shared" si="28"/>
        <v>Alto</v>
      </c>
      <c r="T344" s="16"/>
    </row>
    <row r="345" spans="1:20" ht="32.1" customHeight="1">
      <c r="A345" s="82" t="s">
        <v>176</v>
      </c>
      <c r="B345" s="522" t="s">
        <v>1067</v>
      </c>
      <c r="C345" s="519" t="s">
        <v>2436</v>
      </c>
      <c r="D345" s="199">
        <v>44</v>
      </c>
      <c r="E345" s="200"/>
      <c r="F345" s="200"/>
      <c r="G345" s="200"/>
      <c r="H345" s="200">
        <v>0</v>
      </c>
      <c r="I345" s="200"/>
      <c r="J345" s="200"/>
      <c r="K345" s="200"/>
      <c r="L345" s="200"/>
      <c r="M345" s="200"/>
      <c r="N345" s="200"/>
      <c r="O345" s="200"/>
      <c r="P345" s="200"/>
      <c r="Q345" s="226">
        <f t="shared" si="27"/>
        <v>0</v>
      </c>
      <c r="R345" s="146" t="str">
        <f t="shared" si="26"/>
        <v>SI</v>
      </c>
      <c r="S345" s="201" t="str">
        <f t="shared" si="28"/>
        <v>Sin Riesgo</v>
      </c>
      <c r="T345" s="16"/>
    </row>
    <row r="346" spans="1:20" ht="32.1" customHeight="1">
      <c r="A346" s="82" t="s">
        <v>176</v>
      </c>
      <c r="B346" s="522" t="s">
        <v>2437</v>
      </c>
      <c r="C346" s="519" t="s">
        <v>2438</v>
      </c>
      <c r="D346" s="535" t="s">
        <v>2439</v>
      </c>
      <c r="E346" s="200"/>
      <c r="F346" s="200"/>
      <c r="G346" s="200"/>
      <c r="H346" s="200"/>
      <c r="I346" s="200"/>
      <c r="J346" s="200"/>
      <c r="K346" s="200"/>
      <c r="L346" s="200"/>
      <c r="M346" s="200"/>
      <c r="N346" s="200"/>
      <c r="O346" s="200"/>
      <c r="P346" s="200"/>
      <c r="Q346" s="226" t="e">
        <f t="shared" si="27"/>
        <v>#DIV/0!</v>
      </c>
      <c r="R346" s="146" t="e">
        <f t="shared" si="26"/>
        <v>#DIV/0!</v>
      </c>
      <c r="S346" s="201" t="e">
        <f t="shared" si="28"/>
        <v>#DIV/0!</v>
      </c>
      <c r="T346" s="16"/>
    </row>
    <row r="347" spans="1:20" ht="32.1" customHeight="1">
      <c r="A347" s="82" t="s">
        <v>176</v>
      </c>
      <c r="B347" s="110" t="s">
        <v>2440</v>
      </c>
      <c r="C347" s="527" t="s">
        <v>2441</v>
      </c>
      <c r="D347" s="199"/>
      <c r="E347" s="200"/>
      <c r="F347" s="200"/>
      <c r="G347" s="200"/>
      <c r="H347" s="200"/>
      <c r="I347" s="200"/>
      <c r="J347" s="200"/>
      <c r="K347" s="200"/>
      <c r="L347" s="200"/>
      <c r="M347" s="200"/>
      <c r="N347" s="200"/>
      <c r="O347" s="200"/>
      <c r="P347" s="200"/>
      <c r="Q347" s="226" t="e">
        <f t="shared" si="27"/>
        <v>#DIV/0!</v>
      </c>
      <c r="R347" s="146" t="e">
        <f t="shared" si="26"/>
        <v>#DIV/0!</v>
      </c>
      <c r="S347" s="201" t="e">
        <f t="shared" si="28"/>
        <v>#DIV/0!</v>
      </c>
      <c r="T347" s="16"/>
    </row>
    <row r="348" spans="1:20" ht="32.1" customHeight="1">
      <c r="A348" s="82" t="s">
        <v>176</v>
      </c>
      <c r="B348" s="522" t="s">
        <v>2442</v>
      </c>
      <c r="C348" s="527" t="s">
        <v>2443</v>
      </c>
      <c r="D348" s="199"/>
      <c r="E348" s="200"/>
      <c r="F348" s="200"/>
      <c r="G348" s="200"/>
      <c r="H348" s="200"/>
      <c r="I348" s="200"/>
      <c r="J348" s="200"/>
      <c r="K348" s="200"/>
      <c r="L348" s="200"/>
      <c r="M348" s="200"/>
      <c r="N348" s="200"/>
      <c r="O348" s="200"/>
      <c r="P348" s="200"/>
      <c r="Q348" s="226" t="e">
        <f t="shared" si="27"/>
        <v>#DIV/0!</v>
      </c>
      <c r="R348" s="146" t="e">
        <f t="shared" si="26"/>
        <v>#DIV/0!</v>
      </c>
      <c r="S348" s="201" t="e">
        <f t="shared" si="28"/>
        <v>#DIV/0!</v>
      </c>
      <c r="T348" s="16"/>
    </row>
    <row r="349" spans="1:20" ht="32.1" customHeight="1">
      <c r="A349" s="82" t="s">
        <v>176</v>
      </c>
      <c r="B349" s="110" t="s">
        <v>2444</v>
      </c>
      <c r="C349" s="527" t="s">
        <v>2445</v>
      </c>
      <c r="D349" s="119">
        <v>21</v>
      </c>
      <c r="E349" s="200"/>
      <c r="F349" s="200"/>
      <c r="G349" s="200"/>
      <c r="H349" s="200">
        <v>53</v>
      </c>
      <c r="I349" s="200"/>
      <c r="J349" s="200"/>
      <c r="K349" s="200"/>
      <c r="L349" s="200"/>
      <c r="M349" s="200"/>
      <c r="N349" s="200"/>
      <c r="O349" s="200"/>
      <c r="P349" s="200"/>
      <c r="Q349" s="226">
        <f t="shared" si="27"/>
        <v>53</v>
      </c>
      <c r="R349" s="146" t="str">
        <f t="shared" si="26"/>
        <v>NO</v>
      </c>
      <c r="S349" s="201" t="str">
        <f t="shared" si="28"/>
        <v>Alto</v>
      </c>
      <c r="T349" s="16"/>
    </row>
    <row r="350" spans="1:20" ht="32.1" customHeight="1">
      <c r="A350" s="82" t="s">
        <v>176</v>
      </c>
      <c r="B350" s="521" t="s">
        <v>2446</v>
      </c>
      <c r="C350" s="518" t="s">
        <v>2447</v>
      </c>
      <c r="D350" s="119">
        <v>22</v>
      </c>
      <c r="E350" s="200"/>
      <c r="F350" s="200"/>
      <c r="G350" s="200"/>
      <c r="H350" s="200"/>
      <c r="I350" s="200"/>
      <c r="J350" s="200"/>
      <c r="K350" s="200"/>
      <c r="L350" s="200">
        <v>53</v>
      </c>
      <c r="M350" s="200"/>
      <c r="N350" s="200"/>
      <c r="O350" s="200"/>
      <c r="P350" s="200"/>
      <c r="Q350" s="226">
        <f t="shared" si="27"/>
        <v>53</v>
      </c>
      <c r="R350" s="146" t="str">
        <f t="shared" si="26"/>
        <v>NO</v>
      </c>
      <c r="S350" s="201" t="str">
        <f t="shared" si="28"/>
        <v>Alto</v>
      </c>
      <c r="T350" s="16"/>
    </row>
    <row r="351" spans="1:20" ht="32.1" customHeight="1">
      <c r="A351" s="82" t="s">
        <v>176</v>
      </c>
      <c r="B351" s="521" t="s">
        <v>2448</v>
      </c>
      <c r="C351" s="518" t="s">
        <v>2449</v>
      </c>
      <c r="D351" s="119">
        <v>21</v>
      </c>
      <c r="E351" s="200"/>
      <c r="F351" s="200">
        <v>53</v>
      </c>
      <c r="G351" s="200"/>
      <c r="H351" s="200"/>
      <c r="I351" s="200"/>
      <c r="J351" s="200"/>
      <c r="K351" s="200"/>
      <c r="L351" s="200"/>
      <c r="M351" s="200"/>
      <c r="N351" s="200"/>
      <c r="O351" s="200"/>
      <c r="P351" s="200"/>
      <c r="Q351" s="226">
        <f t="shared" si="27"/>
        <v>53</v>
      </c>
      <c r="R351" s="146" t="str">
        <f t="shared" si="26"/>
        <v>NO</v>
      </c>
      <c r="S351" s="201" t="str">
        <f t="shared" si="28"/>
        <v>Alto</v>
      </c>
      <c r="T351" s="16"/>
    </row>
    <row r="352" spans="1:20" ht="32.1" customHeight="1">
      <c r="A352" s="82" t="s">
        <v>176</v>
      </c>
      <c r="B352" s="521" t="s">
        <v>2450</v>
      </c>
      <c r="C352" s="518" t="s">
        <v>2451</v>
      </c>
      <c r="D352" s="119">
        <v>53</v>
      </c>
      <c r="E352" s="200"/>
      <c r="F352" s="200"/>
      <c r="G352" s="200"/>
      <c r="H352" s="200"/>
      <c r="I352" s="200"/>
      <c r="J352" s="200"/>
      <c r="K352" s="200"/>
      <c r="L352" s="200"/>
      <c r="M352" s="200"/>
      <c r="N352" s="200"/>
      <c r="O352" s="200">
        <v>53</v>
      </c>
      <c r="P352" s="200"/>
      <c r="Q352" s="226">
        <f t="shared" si="27"/>
        <v>53</v>
      </c>
      <c r="R352" s="146" t="str">
        <f t="shared" si="26"/>
        <v>NO</v>
      </c>
      <c r="S352" s="201" t="str">
        <f t="shared" si="28"/>
        <v>Alto</v>
      </c>
      <c r="T352" s="16"/>
    </row>
    <row r="353" spans="1:20" ht="32.1" customHeight="1">
      <c r="A353" s="82" t="s">
        <v>176</v>
      </c>
      <c r="B353" s="521" t="s">
        <v>2452</v>
      </c>
      <c r="C353" s="518" t="s">
        <v>2453</v>
      </c>
      <c r="D353" s="148"/>
      <c r="E353" s="200"/>
      <c r="F353" s="200"/>
      <c r="G353" s="200"/>
      <c r="H353" s="200"/>
      <c r="I353" s="200"/>
      <c r="J353" s="200"/>
      <c r="K353" s="200"/>
      <c r="L353" s="200"/>
      <c r="M353" s="200"/>
      <c r="N353" s="200"/>
      <c r="O353" s="200"/>
      <c r="P353" s="200"/>
      <c r="Q353" s="226" t="e">
        <f t="shared" si="27"/>
        <v>#DIV/0!</v>
      </c>
      <c r="R353" s="146" t="e">
        <f t="shared" si="26"/>
        <v>#DIV/0!</v>
      </c>
      <c r="S353" s="201" t="e">
        <f t="shared" si="28"/>
        <v>#DIV/0!</v>
      </c>
      <c r="T353" s="16"/>
    </row>
    <row r="354" spans="1:20" ht="50.25" customHeight="1">
      <c r="A354" s="82" t="s">
        <v>177</v>
      </c>
      <c r="B354" s="521" t="s">
        <v>2454</v>
      </c>
      <c r="C354" s="518" t="s">
        <v>2455</v>
      </c>
      <c r="D354" s="199">
        <v>390</v>
      </c>
      <c r="E354" s="200">
        <v>0</v>
      </c>
      <c r="F354" s="200"/>
      <c r="G354" s="200">
        <v>0</v>
      </c>
      <c r="H354" s="200"/>
      <c r="I354" s="200">
        <v>0</v>
      </c>
      <c r="J354" s="200"/>
      <c r="K354" s="200"/>
      <c r="L354" s="200">
        <v>0</v>
      </c>
      <c r="M354" s="200"/>
      <c r="N354" s="200">
        <v>0</v>
      </c>
      <c r="O354" s="200"/>
      <c r="P354" s="200"/>
      <c r="Q354" s="226">
        <f t="shared" si="27"/>
        <v>0</v>
      </c>
      <c r="R354" s="146" t="str">
        <f t="shared" si="26"/>
        <v>SI</v>
      </c>
      <c r="S354" s="201" t="str">
        <f t="shared" si="28"/>
        <v>Sin Riesgo</v>
      </c>
      <c r="T354" s="16"/>
    </row>
    <row r="355" spans="1:20" ht="32.1" customHeight="1">
      <c r="A355" s="82" t="s">
        <v>177</v>
      </c>
      <c r="B355" s="521" t="s">
        <v>1425</v>
      </c>
      <c r="C355" s="518" t="s">
        <v>2456</v>
      </c>
      <c r="D355" s="199">
        <v>36</v>
      </c>
      <c r="E355" s="200"/>
      <c r="F355" s="200"/>
      <c r="G355" s="200">
        <v>0</v>
      </c>
      <c r="H355" s="200"/>
      <c r="I355" s="200">
        <v>0</v>
      </c>
      <c r="J355" s="200"/>
      <c r="K355" s="200">
        <v>0</v>
      </c>
      <c r="L355" s="200"/>
      <c r="M355" s="200">
        <v>0</v>
      </c>
      <c r="N355" s="200"/>
      <c r="O355" s="200">
        <v>0</v>
      </c>
      <c r="P355" s="200"/>
      <c r="Q355" s="226">
        <f t="shared" si="27"/>
        <v>0</v>
      </c>
      <c r="R355" s="146" t="str">
        <f t="shared" si="26"/>
        <v>SI</v>
      </c>
      <c r="S355" s="201" t="str">
        <f t="shared" si="28"/>
        <v>Sin Riesgo</v>
      </c>
      <c r="T355" s="16"/>
    </row>
    <row r="356" spans="1:20" ht="32.1" customHeight="1">
      <c r="A356" s="82" t="s">
        <v>177</v>
      </c>
      <c r="B356" s="522" t="s">
        <v>2075</v>
      </c>
      <c r="C356" s="518" t="s">
        <v>2457</v>
      </c>
      <c r="D356" s="199">
        <v>68</v>
      </c>
      <c r="E356" s="200"/>
      <c r="F356" s="200"/>
      <c r="G356" s="200"/>
      <c r="H356" s="200"/>
      <c r="I356" s="200"/>
      <c r="J356" s="200"/>
      <c r="K356" s="200"/>
      <c r="L356" s="200"/>
      <c r="M356" s="200"/>
      <c r="N356" s="200">
        <v>97.9</v>
      </c>
      <c r="O356" s="200"/>
      <c r="P356" s="200"/>
      <c r="Q356" s="226">
        <f t="shared" si="27"/>
        <v>97.9</v>
      </c>
      <c r="R356" s="146" t="str">
        <f t="shared" si="26"/>
        <v>NO</v>
      </c>
      <c r="S356" s="201" t="str">
        <f t="shared" si="28"/>
        <v>Inviable Sanitariamente</v>
      </c>
      <c r="T356" s="16"/>
    </row>
    <row r="357" spans="1:20" ht="32.1" customHeight="1">
      <c r="A357" s="82" t="s">
        <v>177</v>
      </c>
      <c r="B357" s="521" t="s">
        <v>2458</v>
      </c>
      <c r="C357" s="518" t="s">
        <v>2459</v>
      </c>
      <c r="D357" s="119">
        <v>280</v>
      </c>
      <c r="E357" s="200"/>
      <c r="F357" s="200"/>
      <c r="G357" s="200">
        <v>0</v>
      </c>
      <c r="H357" s="200"/>
      <c r="I357" s="200">
        <v>0</v>
      </c>
      <c r="J357" s="200"/>
      <c r="K357" s="200">
        <v>0</v>
      </c>
      <c r="L357" s="200"/>
      <c r="M357" s="200">
        <v>0</v>
      </c>
      <c r="N357" s="200"/>
      <c r="O357" s="200">
        <v>0</v>
      </c>
      <c r="P357" s="200"/>
      <c r="Q357" s="226">
        <f t="shared" si="27"/>
        <v>0</v>
      </c>
      <c r="R357" s="146" t="str">
        <f t="shared" si="26"/>
        <v>SI</v>
      </c>
      <c r="S357" s="201" t="str">
        <f t="shared" si="28"/>
        <v>Sin Riesgo</v>
      </c>
      <c r="T357" s="16"/>
    </row>
    <row r="358" spans="1:20" ht="32.1" customHeight="1">
      <c r="A358" s="82" t="s">
        <v>177</v>
      </c>
      <c r="B358" s="521" t="s">
        <v>2460</v>
      </c>
      <c r="C358" s="518" t="s">
        <v>2461</v>
      </c>
      <c r="D358" s="199">
        <v>32</v>
      </c>
      <c r="E358" s="200"/>
      <c r="F358" s="200"/>
      <c r="G358" s="200"/>
      <c r="H358" s="200"/>
      <c r="I358" s="200"/>
      <c r="J358" s="200"/>
      <c r="K358" s="200"/>
      <c r="L358" s="200"/>
      <c r="M358" s="200"/>
      <c r="N358" s="200"/>
      <c r="O358" s="200">
        <v>97.9</v>
      </c>
      <c r="P358" s="200"/>
      <c r="Q358" s="226">
        <f t="shared" si="27"/>
        <v>97.9</v>
      </c>
      <c r="R358" s="146" t="str">
        <f t="shared" si="26"/>
        <v>NO</v>
      </c>
      <c r="S358" s="201" t="str">
        <f t="shared" si="28"/>
        <v>Inviable Sanitariamente</v>
      </c>
      <c r="T358" s="16"/>
    </row>
    <row r="359" spans="1:20" ht="32.1" customHeight="1">
      <c r="A359" s="82" t="s">
        <v>177</v>
      </c>
      <c r="B359" s="521" t="s">
        <v>2462</v>
      </c>
      <c r="C359" s="518" t="s">
        <v>2463</v>
      </c>
      <c r="D359" s="199">
        <v>28</v>
      </c>
      <c r="E359" s="200"/>
      <c r="F359" s="200"/>
      <c r="G359" s="200"/>
      <c r="H359" s="200"/>
      <c r="I359" s="200"/>
      <c r="J359" s="200"/>
      <c r="K359" s="200"/>
      <c r="L359" s="200"/>
      <c r="M359" s="200"/>
      <c r="N359" s="200"/>
      <c r="O359" s="200"/>
      <c r="P359" s="200">
        <v>76.92</v>
      </c>
      <c r="Q359" s="226">
        <f t="shared" si="27"/>
        <v>76.92</v>
      </c>
      <c r="R359" s="146" t="str">
        <f t="shared" si="26"/>
        <v>NO</v>
      </c>
      <c r="S359" s="201" t="str">
        <f t="shared" si="28"/>
        <v>Alto</v>
      </c>
      <c r="T359" s="16"/>
    </row>
    <row r="360" spans="1:20" ht="32.1" customHeight="1">
      <c r="A360" s="82" t="s">
        <v>177</v>
      </c>
      <c r="B360" s="521" t="s">
        <v>2464</v>
      </c>
      <c r="C360" s="518" t="s">
        <v>2465</v>
      </c>
      <c r="D360" s="119">
        <v>130</v>
      </c>
      <c r="E360" s="200"/>
      <c r="F360" s="200">
        <v>97.9</v>
      </c>
      <c r="G360" s="200"/>
      <c r="H360" s="200"/>
      <c r="I360" s="200"/>
      <c r="J360" s="200"/>
      <c r="K360" s="200"/>
      <c r="L360" s="200"/>
      <c r="M360" s="200">
        <v>97.9</v>
      </c>
      <c r="N360" s="200"/>
      <c r="O360" s="200"/>
      <c r="P360" s="200"/>
      <c r="Q360" s="226">
        <f t="shared" si="27"/>
        <v>97.9</v>
      </c>
      <c r="R360" s="146" t="str">
        <f t="shared" si="26"/>
        <v>NO</v>
      </c>
      <c r="S360" s="201" t="str">
        <f t="shared" si="28"/>
        <v>Inviable Sanitariamente</v>
      </c>
      <c r="T360" s="16"/>
    </row>
    <row r="361" spans="1:20" ht="32.1" customHeight="1">
      <c r="A361" s="82" t="s">
        <v>177</v>
      </c>
      <c r="B361" s="521" t="s">
        <v>670</v>
      </c>
      <c r="C361" s="518" t="s">
        <v>2466</v>
      </c>
      <c r="D361" s="114">
        <v>34</v>
      </c>
      <c r="E361" s="200"/>
      <c r="F361" s="200"/>
      <c r="G361" s="200"/>
      <c r="H361" s="200"/>
      <c r="I361" s="200"/>
      <c r="J361" s="200"/>
      <c r="K361" s="200"/>
      <c r="L361" s="200"/>
      <c r="M361" s="200"/>
      <c r="N361" s="200">
        <v>97.9</v>
      </c>
      <c r="O361" s="200"/>
      <c r="P361" s="200"/>
      <c r="Q361" s="226">
        <f t="shared" si="27"/>
        <v>97.9</v>
      </c>
      <c r="R361" s="146" t="str">
        <f t="shared" si="26"/>
        <v>NO</v>
      </c>
      <c r="S361" s="201" t="str">
        <f t="shared" si="28"/>
        <v>Inviable Sanitariamente</v>
      </c>
      <c r="T361" s="16"/>
    </row>
    <row r="362" spans="1:20" ht="32.1" customHeight="1">
      <c r="A362" s="82" t="s">
        <v>177</v>
      </c>
      <c r="B362" s="521" t="s">
        <v>2467</v>
      </c>
      <c r="C362" s="518" t="s">
        <v>2468</v>
      </c>
      <c r="D362" s="119">
        <v>50</v>
      </c>
      <c r="E362" s="200"/>
      <c r="F362" s="200"/>
      <c r="G362" s="200"/>
      <c r="H362" s="200"/>
      <c r="I362" s="200"/>
      <c r="J362" s="200"/>
      <c r="K362" s="200"/>
      <c r="L362" s="200"/>
      <c r="M362" s="200"/>
      <c r="N362" s="200">
        <v>97.9</v>
      </c>
      <c r="O362" s="200"/>
      <c r="P362" s="200"/>
      <c r="Q362" s="226">
        <f t="shared" si="27"/>
        <v>97.9</v>
      </c>
      <c r="R362" s="146" t="str">
        <f t="shared" ref="R362:R425" si="29">IF(Q362&lt;5,"SI","NO")</f>
        <v>NO</v>
      </c>
      <c r="S362" s="201" t="str">
        <f t="shared" si="28"/>
        <v>Inviable Sanitariamente</v>
      </c>
      <c r="T362" s="16"/>
    </row>
    <row r="363" spans="1:20" ht="32.1" customHeight="1">
      <c r="A363" s="82" t="s">
        <v>177</v>
      </c>
      <c r="B363" s="521" t="s">
        <v>2469</v>
      </c>
      <c r="C363" s="518" t="s">
        <v>2470</v>
      </c>
      <c r="D363" s="199">
        <v>115</v>
      </c>
      <c r="E363" s="200"/>
      <c r="F363" s="200"/>
      <c r="G363" s="200"/>
      <c r="H363" s="200"/>
      <c r="I363" s="200"/>
      <c r="J363" s="200"/>
      <c r="K363" s="200"/>
      <c r="L363" s="200"/>
      <c r="M363" s="200"/>
      <c r="N363" s="200"/>
      <c r="O363" s="200"/>
      <c r="P363" s="200">
        <v>97.9</v>
      </c>
      <c r="Q363" s="226">
        <f t="shared" ref="Q363:Q426" si="30">AVERAGE(E363:P363)</f>
        <v>97.9</v>
      </c>
      <c r="R363" s="146" t="str">
        <f t="shared" si="29"/>
        <v>NO</v>
      </c>
      <c r="S363" s="201" t="str">
        <f t="shared" si="28"/>
        <v>Inviable Sanitariamente</v>
      </c>
      <c r="T363" s="16"/>
    </row>
    <row r="364" spans="1:20" ht="32.1" customHeight="1">
      <c r="A364" s="82" t="s">
        <v>177</v>
      </c>
      <c r="B364" s="521" t="s">
        <v>1323</v>
      </c>
      <c r="C364" s="518" t="s">
        <v>2471</v>
      </c>
      <c r="D364" s="208">
        <v>139</v>
      </c>
      <c r="E364" s="200"/>
      <c r="F364" s="200"/>
      <c r="G364" s="200"/>
      <c r="H364" s="200"/>
      <c r="I364" s="200"/>
      <c r="J364" s="200"/>
      <c r="K364" s="200"/>
      <c r="L364" s="200"/>
      <c r="M364" s="200"/>
      <c r="N364" s="200"/>
      <c r="O364" s="200"/>
      <c r="P364" s="200">
        <v>97.9</v>
      </c>
      <c r="Q364" s="226">
        <f t="shared" si="30"/>
        <v>97.9</v>
      </c>
      <c r="R364" s="146" t="str">
        <f t="shared" si="29"/>
        <v>NO</v>
      </c>
      <c r="S364" s="201" t="str">
        <f t="shared" si="28"/>
        <v>Inviable Sanitariamente</v>
      </c>
      <c r="T364" s="16"/>
    </row>
    <row r="365" spans="1:20" ht="32.1" customHeight="1">
      <c r="A365" s="82" t="s">
        <v>177</v>
      </c>
      <c r="B365" s="521" t="s">
        <v>1558</v>
      </c>
      <c r="C365" s="527" t="s">
        <v>2472</v>
      </c>
      <c r="D365" s="119">
        <v>67</v>
      </c>
      <c r="E365" s="200"/>
      <c r="F365" s="200">
        <v>97.9</v>
      </c>
      <c r="G365" s="200"/>
      <c r="H365" s="200"/>
      <c r="I365" s="200"/>
      <c r="J365" s="200"/>
      <c r="K365" s="200"/>
      <c r="L365" s="200"/>
      <c r="M365" s="200"/>
      <c r="N365" s="200"/>
      <c r="O365" s="200">
        <v>97.9</v>
      </c>
      <c r="P365" s="200"/>
      <c r="Q365" s="226">
        <f t="shared" si="30"/>
        <v>97.9</v>
      </c>
      <c r="R365" s="146" t="str">
        <f t="shared" si="29"/>
        <v>NO</v>
      </c>
      <c r="S365" s="201" t="str">
        <f t="shared" si="28"/>
        <v>Inviable Sanitariamente</v>
      </c>
      <c r="T365" s="16"/>
    </row>
    <row r="366" spans="1:20" ht="46.5" customHeight="1">
      <c r="A366" s="82" t="s">
        <v>177</v>
      </c>
      <c r="B366" s="521" t="s">
        <v>2473</v>
      </c>
      <c r="C366" s="518" t="s">
        <v>2474</v>
      </c>
      <c r="D366" s="199">
        <v>15</v>
      </c>
      <c r="E366" s="200">
        <v>0</v>
      </c>
      <c r="F366" s="200"/>
      <c r="G366" s="200">
        <v>0</v>
      </c>
      <c r="H366" s="200"/>
      <c r="I366" s="200">
        <v>0</v>
      </c>
      <c r="J366" s="200"/>
      <c r="K366" s="200"/>
      <c r="L366" s="200">
        <v>0</v>
      </c>
      <c r="M366" s="200"/>
      <c r="N366" s="200">
        <v>0</v>
      </c>
      <c r="O366" s="200"/>
      <c r="P366" s="200"/>
      <c r="Q366" s="226">
        <f t="shared" si="30"/>
        <v>0</v>
      </c>
      <c r="R366" s="146" t="str">
        <f t="shared" si="29"/>
        <v>SI</v>
      </c>
      <c r="S366" s="201" t="str">
        <f t="shared" si="28"/>
        <v>Sin Riesgo</v>
      </c>
      <c r="T366" s="16"/>
    </row>
    <row r="367" spans="1:20" ht="39" customHeight="1">
      <c r="A367" s="82" t="s">
        <v>177</v>
      </c>
      <c r="B367" s="521" t="s">
        <v>2475</v>
      </c>
      <c r="C367" s="518" t="s">
        <v>2476</v>
      </c>
      <c r="D367" s="114">
        <v>50</v>
      </c>
      <c r="E367" s="200">
        <v>0</v>
      </c>
      <c r="F367" s="200"/>
      <c r="G367" s="200">
        <v>0</v>
      </c>
      <c r="H367" s="200"/>
      <c r="I367" s="200">
        <v>0</v>
      </c>
      <c r="J367" s="200"/>
      <c r="K367" s="200"/>
      <c r="L367" s="200">
        <v>0</v>
      </c>
      <c r="M367" s="200"/>
      <c r="N367" s="200">
        <v>0</v>
      </c>
      <c r="O367" s="200"/>
      <c r="P367" s="200"/>
      <c r="Q367" s="226">
        <f t="shared" si="30"/>
        <v>0</v>
      </c>
      <c r="R367" s="146" t="str">
        <f t="shared" si="29"/>
        <v>SI</v>
      </c>
      <c r="S367" s="201" t="str">
        <f t="shared" si="28"/>
        <v>Sin Riesgo</v>
      </c>
      <c r="T367" s="16"/>
    </row>
    <row r="368" spans="1:20" ht="32.1" customHeight="1">
      <c r="A368" s="82" t="s">
        <v>177</v>
      </c>
      <c r="B368" s="521" t="s">
        <v>2477</v>
      </c>
      <c r="C368" s="518" t="s">
        <v>2478</v>
      </c>
      <c r="D368" s="119">
        <v>24</v>
      </c>
      <c r="E368" s="200">
        <v>0</v>
      </c>
      <c r="F368" s="200"/>
      <c r="G368" s="200">
        <v>0</v>
      </c>
      <c r="H368" s="200"/>
      <c r="I368" s="200">
        <v>0</v>
      </c>
      <c r="J368" s="200"/>
      <c r="K368" s="200"/>
      <c r="L368" s="200">
        <v>0</v>
      </c>
      <c r="M368" s="200"/>
      <c r="N368" s="200">
        <v>0</v>
      </c>
      <c r="O368" s="200"/>
      <c r="P368" s="200"/>
      <c r="Q368" s="226">
        <f t="shared" si="30"/>
        <v>0</v>
      </c>
      <c r="R368" s="146" t="str">
        <f t="shared" si="29"/>
        <v>SI</v>
      </c>
      <c r="S368" s="201" t="str">
        <f t="shared" si="28"/>
        <v>Sin Riesgo</v>
      </c>
      <c r="T368" s="16"/>
    </row>
    <row r="369" spans="1:20" ht="46.5" customHeight="1">
      <c r="A369" s="82" t="s">
        <v>177</v>
      </c>
      <c r="B369" s="521" t="s">
        <v>2479</v>
      </c>
      <c r="C369" s="518" t="s">
        <v>2480</v>
      </c>
      <c r="D369" s="119">
        <v>256</v>
      </c>
      <c r="E369" s="200"/>
      <c r="F369" s="200"/>
      <c r="G369" s="200"/>
      <c r="H369" s="200"/>
      <c r="I369" s="200">
        <v>97.9</v>
      </c>
      <c r="J369" s="200"/>
      <c r="K369" s="200"/>
      <c r="L369" s="200"/>
      <c r="M369" s="200"/>
      <c r="N369" s="200"/>
      <c r="O369" s="200"/>
      <c r="P369" s="200"/>
      <c r="Q369" s="226">
        <f t="shared" si="30"/>
        <v>97.9</v>
      </c>
      <c r="R369" s="146" t="str">
        <f t="shared" si="29"/>
        <v>NO</v>
      </c>
      <c r="S369" s="201" t="str">
        <f t="shared" si="28"/>
        <v>Inviable Sanitariamente</v>
      </c>
      <c r="T369" s="16"/>
    </row>
    <row r="370" spans="1:20" ht="32.1" customHeight="1">
      <c r="A370" s="82" t="s">
        <v>177</v>
      </c>
      <c r="B370" s="521" t="s">
        <v>2481</v>
      </c>
      <c r="C370" s="518" t="s">
        <v>2482</v>
      </c>
      <c r="D370" s="199">
        <v>25</v>
      </c>
      <c r="E370" s="200"/>
      <c r="F370" s="200"/>
      <c r="G370" s="200"/>
      <c r="H370" s="200"/>
      <c r="I370" s="200"/>
      <c r="J370" s="200"/>
      <c r="K370" s="200">
        <v>97.9</v>
      </c>
      <c r="L370" s="200"/>
      <c r="M370" s="200"/>
      <c r="N370" s="200"/>
      <c r="O370" s="200"/>
      <c r="P370" s="200"/>
      <c r="Q370" s="226">
        <f t="shared" si="30"/>
        <v>97.9</v>
      </c>
      <c r="R370" s="146" t="str">
        <f t="shared" si="29"/>
        <v>NO</v>
      </c>
      <c r="S370" s="201" t="str">
        <f t="shared" si="28"/>
        <v>Inviable Sanitariamente</v>
      </c>
      <c r="T370" s="16"/>
    </row>
    <row r="371" spans="1:20" ht="32.1" customHeight="1">
      <c r="A371" s="82" t="s">
        <v>177</v>
      </c>
      <c r="B371" s="521" t="s">
        <v>2483</v>
      </c>
      <c r="C371" s="518" t="s">
        <v>2484</v>
      </c>
      <c r="D371" s="119">
        <v>33</v>
      </c>
      <c r="E371" s="200"/>
      <c r="F371" s="200"/>
      <c r="G371" s="200"/>
      <c r="H371" s="200"/>
      <c r="I371" s="200"/>
      <c r="J371" s="200"/>
      <c r="K371" s="200"/>
      <c r="L371" s="200"/>
      <c r="M371" s="200"/>
      <c r="N371" s="200"/>
      <c r="O371" s="200"/>
      <c r="P371" s="200">
        <v>97.9</v>
      </c>
      <c r="Q371" s="226">
        <f t="shared" si="30"/>
        <v>97.9</v>
      </c>
      <c r="R371" s="146" t="str">
        <f t="shared" si="29"/>
        <v>NO</v>
      </c>
      <c r="S371" s="201" t="str">
        <f t="shared" si="28"/>
        <v>Inviable Sanitariamente</v>
      </c>
      <c r="T371" s="16"/>
    </row>
    <row r="372" spans="1:20" ht="32.1" customHeight="1">
      <c r="A372" s="82" t="s">
        <v>177</v>
      </c>
      <c r="B372" s="521" t="s">
        <v>2485</v>
      </c>
      <c r="C372" s="518" t="s">
        <v>2486</v>
      </c>
      <c r="D372" s="119">
        <v>61</v>
      </c>
      <c r="E372" s="200"/>
      <c r="F372" s="200"/>
      <c r="G372" s="200"/>
      <c r="H372" s="200"/>
      <c r="I372" s="200"/>
      <c r="J372" s="200"/>
      <c r="K372" s="200"/>
      <c r="L372" s="200"/>
      <c r="M372" s="200"/>
      <c r="N372" s="200"/>
      <c r="O372" s="200"/>
      <c r="P372" s="200">
        <v>97.9</v>
      </c>
      <c r="Q372" s="226">
        <f t="shared" si="30"/>
        <v>97.9</v>
      </c>
      <c r="R372" s="146" t="str">
        <f t="shared" si="29"/>
        <v>NO</v>
      </c>
      <c r="S372" s="201" t="str">
        <f t="shared" si="28"/>
        <v>Inviable Sanitariamente</v>
      </c>
      <c r="T372" s="16"/>
    </row>
    <row r="373" spans="1:20" ht="32.1" customHeight="1">
      <c r="A373" s="82" t="s">
        <v>177</v>
      </c>
      <c r="B373" s="521" t="s">
        <v>698</v>
      </c>
      <c r="C373" s="518" t="s">
        <v>1134</v>
      </c>
      <c r="D373" s="119">
        <v>34</v>
      </c>
      <c r="E373" s="200"/>
      <c r="F373" s="200"/>
      <c r="G373" s="200"/>
      <c r="H373" s="200"/>
      <c r="I373" s="200"/>
      <c r="J373" s="200"/>
      <c r="K373" s="200"/>
      <c r="L373" s="200"/>
      <c r="M373" s="200">
        <v>76.92</v>
      </c>
      <c r="N373" s="200"/>
      <c r="O373" s="200"/>
      <c r="P373" s="200"/>
      <c r="Q373" s="226">
        <f t="shared" si="30"/>
        <v>76.92</v>
      </c>
      <c r="R373" s="146" t="str">
        <f t="shared" si="29"/>
        <v>NO</v>
      </c>
      <c r="S373" s="201" t="str">
        <f t="shared" si="28"/>
        <v>Alto</v>
      </c>
      <c r="T373" s="16"/>
    </row>
    <row r="374" spans="1:20" ht="32.1" customHeight="1">
      <c r="A374" s="82" t="s">
        <v>177</v>
      </c>
      <c r="B374" s="521" t="s">
        <v>78</v>
      </c>
      <c r="C374" s="518" t="s">
        <v>2487</v>
      </c>
      <c r="D374" s="119">
        <v>65</v>
      </c>
      <c r="E374" s="200"/>
      <c r="F374" s="200"/>
      <c r="G374" s="200"/>
      <c r="H374" s="200"/>
      <c r="I374" s="200"/>
      <c r="J374" s="200"/>
      <c r="K374" s="200"/>
      <c r="L374" s="200"/>
      <c r="M374" s="200"/>
      <c r="N374" s="200"/>
      <c r="O374" s="200"/>
      <c r="P374" s="200">
        <v>97.9</v>
      </c>
      <c r="Q374" s="226">
        <f t="shared" si="30"/>
        <v>97.9</v>
      </c>
      <c r="R374" s="146" t="str">
        <f t="shared" si="29"/>
        <v>NO</v>
      </c>
      <c r="S374" s="201" t="str">
        <f t="shared" si="28"/>
        <v>Inviable Sanitariamente</v>
      </c>
      <c r="T374" s="16"/>
    </row>
    <row r="375" spans="1:20" ht="32.1" customHeight="1">
      <c r="A375" s="82" t="s">
        <v>177</v>
      </c>
      <c r="B375" s="521" t="s">
        <v>2488</v>
      </c>
      <c r="C375" s="518" t="s">
        <v>2489</v>
      </c>
      <c r="D375" s="119">
        <v>18</v>
      </c>
      <c r="E375" s="200"/>
      <c r="F375" s="200"/>
      <c r="G375" s="200"/>
      <c r="H375" s="200"/>
      <c r="I375" s="200"/>
      <c r="J375" s="200">
        <v>97.9</v>
      </c>
      <c r="K375" s="200"/>
      <c r="L375" s="200"/>
      <c r="M375" s="200"/>
      <c r="N375" s="200"/>
      <c r="O375" s="200"/>
      <c r="P375" s="200"/>
      <c r="Q375" s="226">
        <f t="shared" si="30"/>
        <v>97.9</v>
      </c>
      <c r="R375" s="146" t="str">
        <f t="shared" si="29"/>
        <v>NO</v>
      </c>
      <c r="S375" s="201" t="str">
        <f t="shared" si="28"/>
        <v>Inviable Sanitariamente</v>
      </c>
      <c r="T375" s="16"/>
    </row>
    <row r="376" spans="1:20" ht="32.1" customHeight="1">
      <c r="A376" s="82" t="s">
        <v>177</v>
      </c>
      <c r="B376" s="521" t="s">
        <v>2490</v>
      </c>
      <c r="C376" s="518" t="s">
        <v>2491</v>
      </c>
      <c r="D376" s="119">
        <v>23</v>
      </c>
      <c r="E376" s="200"/>
      <c r="F376" s="200"/>
      <c r="G376" s="200"/>
      <c r="H376" s="200"/>
      <c r="I376" s="200"/>
      <c r="J376" s="200"/>
      <c r="K376" s="200"/>
      <c r="L376" s="200"/>
      <c r="M376" s="200"/>
      <c r="N376" s="200"/>
      <c r="O376" s="200"/>
      <c r="P376" s="200">
        <v>97.9</v>
      </c>
      <c r="Q376" s="226">
        <f t="shared" si="30"/>
        <v>97.9</v>
      </c>
      <c r="R376" s="146" t="str">
        <f t="shared" si="29"/>
        <v>NO</v>
      </c>
      <c r="S376" s="201" t="str">
        <f t="shared" si="28"/>
        <v>Inviable Sanitariamente</v>
      </c>
      <c r="T376" s="16"/>
    </row>
    <row r="377" spans="1:20" ht="32.1" customHeight="1">
      <c r="A377" s="82" t="s">
        <v>177</v>
      </c>
      <c r="B377" s="521" t="s">
        <v>2492</v>
      </c>
      <c r="C377" s="518" t="s">
        <v>2493</v>
      </c>
      <c r="D377" s="119">
        <v>28</v>
      </c>
      <c r="E377" s="200"/>
      <c r="F377" s="200"/>
      <c r="G377" s="200"/>
      <c r="H377" s="200"/>
      <c r="I377" s="200"/>
      <c r="J377" s="200"/>
      <c r="K377" s="200"/>
      <c r="L377" s="200"/>
      <c r="M377" s="200">
        <v>97.9</v>
      </c>
      <c r="N377" s="200"/>
      <c r="O377" s="200"/>
      <c r="P377" s="200"/>
      <c r="Q377" s="226">
        <f t="shared" si="30"/>
        <v>97.9</v>
      </c>
      <c r="R377" s="146" t="str">
        <f t="shared" si="29"/>
        <v>NO</v>
      </c>
      <c r="S377" s="201" t="str">
        <f t="shared" si="28"/>
        <v>Inviable Sanitariamente</v>
      </c>
      <c r="T377" s="16"/>
    </row>
    <row r="378" spans="1:20" s="18" customFormat="1" ht="32.1" customHeight="1">
      <c r="A378" s="82" t="s">
        <v>177</v>
      </c>
      <c r="B378" s="521" t="s">
        <v>2494</v>
      </c>
      <c r="C378" s="518" t="s">
        <v>2495</v>
      </c>
      <c r="D378" s="119">
        <v>70</v>
      </c>
      <c r="E378" s="200"/>
      <c r="F378" s="200"/>
      <c r="G378" s="200">
        <v>97.9</v>
      </c>
      <c r="H378" s="200"/>
      <c r="I378" s="200"/>
      <c r="J378" s="200"/>
      <c r="K378" s="200"/>
      <c r="L378" s="200"/>
      <c r="M378" s="200"/>
      <c r="N378" s="200"/>
      <c r="O378" s="200"/>
      <c r="P378" s="200"/>
      <c r="Q378" s="226">
        <f t="shared" si="30"/>
        <v>97.9</v>
      </c>
      <c r="R378" s="146" t="str">
        <f t="shared" si="29"/>
        <v>NO</v>
      </c>
      <c r="S378" s="201" t="str">
        <f t="shared" si="28"/>
        <v>Inviable Sanitariamente</v>
      </c>
      <c r="T378" s="17"/>
    </row>
    <row r="379" spans="1:20" ht="32.1" customHeight="1">
      <c r="A379" s="82" t="s">
        <v>177</v>
      </c>
      <c r="B379" s="521" t="s">
        <v>2496</v>
      </c>
      <c r="C379" s="518" t="s">
        <v>2497</v>
      </c>
      <c r="D379" s="119">
        <v>89</v>
      </c>
      <c r="E379" s="200">
        <v>97.9</v>
      </c>
      <c r="F379" s="200"/>
      <c r="G379" s="200"/>
      <c r="H379" s="200"/>
      <c r="I379" s="200"/>
      <c r="J379" s="200"/>
      <c r="K379" s="200"/>
      <c r="L379" s="200"/>
      <c r="M379" s="200"/>
      <c r="N379" s="200"/>
      <c r="O379" s="200"/>
      <c r="P379" s="200"/>
      <c r="Q379" s="226">
        <f t="shared" si="30"/>
        <v>97.9</v>
      </c>
      <c r="R379" s="146" t="str">
        <f t="shared" si="29"/>
        <v>NO</v>
      </c>
      <c r="S379" s="201" t="str">
        <f t="shared" si="28"/>
        <v>Inviable Sanitariamente</v>
      </c>
      <c r="T379" s="16"/>
    </row>
    <row r="380" spans="1:20" ht="32.1" customHeight="1">
      <c r="A380" s="82" t="s">
        <v>177</v>
      </c>
      <c r="B380" s="521" t="s">
        <v>2498</v>
      </c>
      <c r="C380" s="518" t="s">
        <v>2499</v>
      </c>
      <c r="D380" s="148">
        <v>32</v>
      </c>
      <c r="E380" s="200"/>
      <c r="F380" s="200"/>
      <c r="G380" s="200"/>
      <c r="H380" s="200"/>
      <c r="I380" s="200"/>
      <c r="J380" s="200"/>
      <c r="K380" s="200"/>
      <c r="L380" s="200"/>
      <c r="M380" s="200">
        <v>97.9</v>
      </c>
      <c r="N380" s="200"/>
      <c r="O380" s="200"/>
      <c r="P380" s="200"/>
      <c r="Q380" s="226">
        <f t="shared" si="30"/>
        <v>97.9</v>
      </c>
      <c r="R380" s="146" t="str">
        <f t="shared" si="29"/>
        <v>NO</v>
      </c>
      <c r="S380" s="201" t="str">
        <f t="shared" si="28"/>
        <v>Inviable Sanitariamente</v>
      </c>
      <c r="T380" s="16"/>
    </row>
    <row r="381" spans="1:20" ht="32.1" customHeight="1">
      <c r="A381" s="82" t="s">
        <v>177</v>
      </c>
      <c r="B381" s="521" t="s">
        <v>2500</v>
      </c>
      <c r="C381" s="518" t="s">
        <v>2501</v>
      </c>
      <c r="D381" s="119">
        <v>115</v>
      </c>
      <c r="E381" s="200">
        <v>0</v>
      </c>
      <c r="F381" s="200"/>
      <c r="G381" s="200">
        <v>0</v>
      </c>
      <c r="H381" s="200"/>
      <c r="I381" s="200">
        <v>0</v>
      </c>
      <c r="J381" s="200"/>
      <c r="K381" s="200"/>
      <c r="L381" s="200">
        <v>0</v>
      </c>
      <c r="M381" s="200"/>
      <c r="N381" s="200">
        <v>0</v>
      </c>
      <c r="O381" s="200"/>
      <c r="P381" s="200"/>
      <c r="Q381" s="226">
        <f t="shared" si="30"/>
        <v>0</v>
      </c>
      <c r="R381" s="146" t="str">
        <f t="shared" si="29"/>
        <v>SI</v>
      </c>
      <c r="S381" s="201" t="str">
        <f t="shared" si="28"/>
        <v>Sin Riesgo</v>
      </c>
      <c r="T381" s="16"/>
    </row>
    <row r="382" spans="1:20" ht="32.1" customHeight="1">
      <c r="A382" s="82" t="s">
        <v>177</v>
      </c>
      <c r="B382" s="521" t="s">
        <v>2502</v>
      </c>
      <c r="C382" s="518" t="s">
        <v>2503</v>
      </c>
      <c r="D382" s="119">
        <v>139</v>
      </c>
      <c r="E382" s="200">
        <v>0</v>
      </c>
      <c r="F382" s="200"/>
      <c r="G382" s="200">
        <v>0</v>
      </c>
      <c r="H382" s="200"/>
      <c r="I382" s="200">
        <v>0</v>
      </c>
      <c r="J382" s="200"/>
      <c r="K382" s="200"/>
      <c r="L382" s="200">
        <v>0</v>
      </c>
      <c r="M382" s="200"/>
      <c r="N382" s="200">
        <v>0</v>
      </c>
      <c r="O382" s="200"/>
      <c r="P382" s="200"/>
      <c r="Q382" s="226">
        <f t="shared" si="30"/>
        <v>0</v>
      </c>
      <c r="R382" s="146" t="str">
        <f t="shared" si="29"/>
        <v>SI</v>
      </c>
      <c r="S382" s="201" t="str">
        <f t="shared" si="28"/>
        <v>Sin Riesgo</v>
      </c>
      <c r="T382" s="16"/>
    </row>
    <row r="383" spans="1:20" ht="32.1" customHeight="1">
      <c r="A383" s="82" t="s">
        <v>177</v>
      </c>
      <c r="B383" s="521" t="s">
        <v>2504</v>
      </c>
      <c r="C383" s="518" t="s">
        <v>2505</v>
      </c>
      <c r="D383" s="148">
        <v>35</v>
      </c>
      <c r="E383" s="200">
        <v>0</v>
      </c>
      <c r="F383" s="200"/>
      <c r="G383" s="200">
        <v>0</v>
      </c>
      <c r="H383" s="200"/>
      <c r="I383" s="200">
        <v>0</v>
      </c>
      <c r="J383" s="200"/>
      <c r="K383" s="200"/>
      <c r="L383" s="200">
        <v>0</v>
      </c>
      <c r="M383" s="200"/>
      <c r="N383" s="200">
        <v>0</v>
      </c>
      <c r="O383" s="200"/>
      <c r="P383" s="200"/>
      <c r="Q383" s="226">
        <f t="shared" si="30"/>
        <v>0</v>
      </c>
      <c r="R383" s="146" t="str">
        <f t="shared" si="29"/>
        <v>SI</v>
      </c>
      <c r="S383" s="201" t="str">
        <f t="shared" si="28"/>
        <v>Sin Riesgo</v>
      </c>
      <c r="T383" s="16"/>
    </row>
    <row r="384" spans="1:20" ht="32.1" customHeight="1">
      <c r="A384" s="82" t="s">
        <v>177</v>
      </c>
      <c r="B384" s="521" t="s">
        <v>44</v>
      </c>
      <c r="C384" s="518" t="s">
        <v>2506</v>
      </c>
      <c r="D384" s="119">
        <v>36</v>
      </c>
      <c r="E384" s="200">
        <v>0</v>
      </c>
      <c r="F384" s="200"/>
      <c r="G384" s="200">
        <v>0</v>
      </c>
      <c r="H384" s="200"/>
      <c r="I384" s="200">
        <v>0</v>
      </c>
      <c r="J384" s="200"/>
      <c r="K384" s="200"/>
      <c r="L384" s="200">
        <v>0</v>
      </c>
      <c r="M384" s="200"/>
      <c r="N384" s="200">
        <v>0</v>
      </c>
      <c r="O384" s="200"/>
      <c r="P384" s="200"/>
      <c r="Q384" s="226">
        <f t="shared" si="30"/>
        <v>0</v>
      </c>
      <c r="R384" s="146" t="str">
        <f t="shared" si="29"/>
        <v>SI</v>
      </c>
      <c r="S384" s="201" t="str">
        <f t="shared" si="28"/>
        <v>Sin Riesgo</v>
      </c>
      <c r="T384" s="16"/>
    </row>
    <row r="385" spans="1:20" ht="32.1" customHeight="1">
      <c r="A385" s="82" t="s">
        <v>177</v>
      </c>
      <c r="B385" s="521" t="s">
        <v>2507</v>
      </c>
      <c r="C385" s="518" t="s">
        <v>2508</v>
      </c>
      <c r="D385" s="148">
        <v>18</v>
      </c>
      <c r="E385" s="200">
        <v>0</v>
      </c>
      <c r="F385" s="200"/>
      <c r="G385" s="200">
        <v>0</v>
      </c>
      <c r="H385" s="200"/>
      <c r="I385" s="200">
        <v>0</v>
      </c>
      <c r="J385" s="200"/>
      <c r="K385" s="200"/>
      <c r="L385" s="200">
        <v>0</v>
      </c>
      <c r="M385" s="200"/>
      <c r="N385" s="200">
        <v>0</v>
      </c>
      <c r="O385" s="200"/>
      <c r="P385" s="200"/>
      <c r="Q385" s="226">
        <f t="shared" si="30"/>
        <v>0</v>
      </c>
      <c r="R385" s="146" t="str">
        <f t="shared" si="29"/>
        <v>SI</v>
      </c>
      <c r="S385" s="201" t="str">
        <f t="shared" si="28"/>
        <v>Sin Riesgo</v>
      </c>
      <c r="T385" s="16"/>
    </row>
    <row r="386" spans="1:20" ht="32.1" customHeight="1">
      <c r="A386" s="82" t="s">
        <v>177</v>
      </c>
      <c r="B386" s="521" t="s">
        <v>64</v>
      </c>
      <c r="C386" s="518" t="s">
        <v>2509</v>
      </c>
      <c r="D386" s="148">
        <v>48</v>
      </c>
      <c r="E386" s="200">
        <v>0</v>
      </c>
      <c r="F386" s="200"/>
      <c r="G386" s="200">
        <v>0</v>
      </c>
      <c r="H386" s="200"/>
      <c r="I386" s="200">
        <v>0</v>
      </c>
      <c r="J386" s="200"/>
      <c r="K386" s="200"/>
      <c r="L386" s="200">
        <v>0</v>
      </c>
      <c r="M386" s="200"/>
      <c r="N386" s="200">
        <v>0</v>
      </c>
      <c r="O386" s="200"/>
      <c r="P386" s="200"/>
      <c r="Q386" s="226">
        <f t="shared" si="30"/>
        <v>0</v>
      </c>
      <c r="R386" s="146" t="str">
        <f t="shared" si="29"/>
        <v>SI</v>
      </c>
      <c r="S386" s="201" t="str">
        <f t="shared" si="28"/>
        <v>Sin Riesgo</v>
      </c>
      <c r="T386" s="16"/>
    </row>
    <row r="387" spans="1:20" ht="32.1" customHeight="1">
      <c r="A387" s="82" t="s">
        <v>177</v>
      </c>
      <c r="B387" s="521" t="s">
        <v>2510</v>
      </c>
      <c r="C387" s="518" t="s">
        <v>2511</v>
      </c>
      <c r="D387" s="148">
        <v>143</v>
      </c>
      <c r="E387" s="200">
        <v>0</v>
      </c>
      <c r="F387" s="200"/>
      <c r="G387" s="200">
        <v>0</v>
      </c>
      <c r="H387" s="200"/>
      <c r="I387" s="200">
        <v>0</v>
      </c>
      <c r="J387" s="200"/>
      <c r="K387" s="200"/>
      <c r="L387" s="200">
        <v>0</v>
      </c>
      <c r="M387" s="200"/>
      <c r="N387" s="200">
        <v>0</v>
      </c>
      <c r="O387" s="200"/>
      <c r="P387" s="200"/>
      <c r="Q387" s="226">
        <f t="shared" si="30"/>
        <v>0</v>
      </c>
      <c r="R387" s="146" t="str">
        <f t="shared" si="29"/>
        <v>SI</v>
      </c>
      <c r="S387" s="201" t="str">
        <f t="shared" si="28"/>
        <v>Sin Riesgo</v>
      </c>
      <c r="T387" s="16"/>
    </row>
    <row r="388" spans="1:20" ht="32.1" customHeight="1">
      <c r="A388" s="82" t="s">
        <v>177</v>
      </c>
      <c r="B388" s="521" t="s">
        <v>2512</v>
      </c>
      <c r="C388" s="518" t="s">
        <v>2513</v>
      </c>
      <c r="D388" s="148">
        <v>27</v>
      </c>
      <c r="E388" s="200">
        <v>0</v>
      </c>
      <c r="F388" s="200"/>
      <c r="G388" s="200">
        <v>0</v>
      </c>
      <c r="H388" s="200"/>
      <c r="I388" s="200">
        <v>0</v>
      </c>
      <c r="J388" s="200"/>
      <c r="K388" s="200"/>
      <c r="L388" s="200">
        <v>0</v>
      </c>
      <c r="M388" s="200"/>
      <c r="N388" s="200">
        <v>0</v>
      </c>
      <c r="O388" s="200"/>
      <c r="P388" s="200"/>
      <c r="Q388" s="226">
        <f t="shared" si="30"/>
        <v>0</v>
      </c>
      <c r="R388" s="146" t="str">
        <f t="shared" si="29"/>
        <v>SI</v>
      </c>
      <c r="S388" s="201" t="str">
        <f t="shared" si="28"/>
        <v>Sin Riesgo</v>
      </c>
      <c r="T388" s="16"/>
    </row>
    <row r="389" spans="1:20" ht="32.1" customHeight="1">
      <c r="A389" s="82" t="s">
        <v>177</v>
      </c>
      <c r="B389" s="521" t="s">
        <v>2514</v>
      </c>
      <c r="C389" s="518" t="s">
        <v>2515</v>
      </c>
      <c r="D389" s="199">
        <v>40</v>
      </c>
      <c r="E389" s="200">
        <v>0</v>
      </c>
      <c r="F389" s="200"/>
      <c r="G389" s="200">
        <v>0</v>
      </c>
      <c r="H389" s="200"/>
      <c r="I389" s="200">
        <v>0</v>
      </c>
      <c r="J389" s="200"/>
      <c r="K389" s="200"/>
      <c r="L389" s="200">
        <v>0</v>
      </c>
      <c r="M389" s="200"/>
      <c r="N389" s="200">
        <v>0</v>
      </c>
      <c r="O389" s="200"/>
      <c r="P389" s="200"/>
      <c r="Q389" s="226">
        <f t="shared" si="30"/>
        <v>0</v>
      </c>
      <c r="R389" s="146" t="str">
        <f t="shared" si="29"/>
        <v>SI</v>
      </c>
      <c r="S389" s="201" t="str">
        <f t="shared" si="28"/>
        <v>Sin Riesgo</v>
      </c>
      <c r="T389" s="16"/>
    </row>
    <row r="390" spans="1:20" ht="32.1" customHeight="1">
      <c r="A390" s="82" t="s">
        <v>177</v>
      </c>
      <c r="B390" s="522" t="s">
        <v>2516</v>
      </c>
      <c r="C390" s="519" t="s">
        <v>2517</v>
      </c>
      <c r="D390" s="224">
        <v>51</v>
      </c>
      <c r="E390" s="200"/>
      <c r="F390" s="200"/>
      <c r="G390" s="200"/>
      <c r="H390" s="200"/>
      <c r="I390" s="200"/>
      <c r="J390" s="200"/>
      <c r="K390" s="200"/>
      <c r="L390" s="200"/>
      <c r="M390" s="200"/>
      <c r="N390" s="200"/>
      <c r="O390" s="200">
        <v>97.9</v>
      </c>
      <c r="P390" s="200"/>
      <c r="Q390" s="226">
        <f t="shared" si="30"/>
        <v>97.9</v>
      </c>
      <c r="R390" s="146" t="str">
        <f t="shared" si="29"/>
        <v>NO</v>
      </c>
      <c r="S390" s="201" t="str">
        <f t="shared" si="28"/>
        <v>Inviable Sanitariamente</v>
      </c>
      <c r="T390" s="16"/>
    </row>
    <row r="391" spans="1:20" ht="32.1" customHeight="1">
      <c r="A391" s="82" t="s">
        <v>177</v>
      </c>
      <c r="B391" s="522" t="s">
        <v>2518</v>
      </c>
      <c r="C391" s="519" t="s">
        <v>2519</v>
      </c>
      <c r="D391" s="199">
        <v>33</v>
      </c>
      <c r="E391" s="200">
        <v>0</v>
      </c>
      <c r="F391" s="200"/>
      <c r="G391" s="200">
        <v>0</v>
      </c>
      <c r="H391" s="200"/>
      <c r="I391" s="200"/>
      <c r="J391" s="200">
        <v>0</v>
      </c>
      <c r="K391" s="200"/>
      <c r="L391" s="200">
        <v>0</v>
      </c>
      <c r="M391" s="200"/>
      <c r="N391" s="200">
        <v>0</v>
      </c>
      <c r="O391" s="200"/>
      <c r="P391" s="200"/>
      <c r="Q391" s="226">
        <f t="shared" si="30"/>
        <v>0</v>
      </c>
      <c r="R391" s="146" t="str">
        <f t="shared" si="29"/>
        <v>SI</v>
      </c>
      <c r="S391" s="201" t="str">
        <f t="shared" si="28"/>
        <v>Sin Riesgo</v>
      </c>
      <c r="T391" s="16"/>
    </row>
    <row r="392" spans="1:20" ht="32.1" customHeight="1">
      <c r="A392" s="82" t="s">
        <v>177</v>
      </c>
      <c r="B392" s="521" t="s">
        <v>2520</v>
      </c>
      <c r="C392" s="527" t="s">
        <v>2521</v>
      </c>
      <c r="D392" s="224">
        <v>102</v>
      </c>
      <c r="E392" s="200">
        <v>0</v>
      </c>
      <c r="F392" s="200"/>
      <c r="G392" s="200">
        <v>0</v>
      </c>
      <c r="H392" s="200"/>
      <c r="I392" s="200"/>
      <c r="J392" s="200">
        <v>0</v>
      </c>
      <c r="K392" s="200"/>
      <c r="L392" s="200">
        <v>0</v>
      </c>
      <c r="M392" s="200"/>
      <c r="N392" s="200">
        <v>0</v>
      </c>
      <c r="O392" s="200"/>
      <c r="P392" s="200"/>
      <c r="Q392" s="226">
        <f t="shared" si="30"/>
        <v>0</v>
      </c>
      <c r="R392" s="146" t="str">
        <f t="shared" si="29"/>
        <v>SI</v>
      </c>
      <c r="S392" s="201" t="str">
        <f t="shared" si="28"/>
        <v>Sin Riesgo</v>
      </c>
      <c r="T392" s="16"/>
    </row>
    <row r="393" spans="1:20" ht="32.1" customHeight="1">
      <c r="A393" s="82" t="s">
        <v>177</v>
      </c>
      <c r="B393" s="522" t="s">
        <v>2522</v>
      </c>
      <c r="C393" s="527" t="s">
        <v>2523</v>
      </c>
      <c r="D393" s="119">
        <v>80</v>
      </c>
      <c r="E393" s="200"/>
      <c r="F393" s="200"/>
      <c r="G393" s="200"/>
      <c r="H393" s="200"/>
      <c r="I393" s="200"/>
      <c r="J393" s="200"/>
      <c r="K393" s="200">
        <v>97.9</v>
      </c>
      <c r="L393" s="200"/>
      <c r="M393" s="200"/>
      <c r="N393" s="200"/>
      <c r="O393" s="200"/>
      <c r="P393" s="200"/>
      <c r="Q393" s="226">
        <f t="shared" si="30"/>
        <v>97.9</v>
      </c>
      <c r="R393" s="146" t="str">
        <f t="shared" si="29"/>
        <v>NO</v>
      </c>
      <c r="S393" s="201" t="str">
        <f t="shared" si="28"/>
        <v>Inviable Sanitariamente</v>
      </c>
      <c r="T393" s="16"/>
    </row>
    <row r="394" spans="1:20" ht="32.1" customHeight="1">
      <c r="A394" s="82" t="s">
        <v>177</v>
      </c>
      <c r="B394" s="522" t="s">
        <v>2524</v>
      </c>
      <c r="C394" s="519" t="s">
        <v>2525</v>
      </c>
      <c r="D394" s="224">
        <v>113</v>
      </c>
      <c r="E394" s="200"/>
      <c r="F394" s="200"/>
      <c r="G394" s="200"/>
      <c r="H394" s="200"/>
      <c r="I394" s="200"/>
      <c r="J394" s="200"/>
      <c r="K394" s="200"/>
      <c r="L394" s="200"/>
      <c r="M394" s="200"/>
      <c r="N394" s="200">
        <v>97.9</v>
      </c>
      <c r="O394" s="200"/>
      <c r="P394" s="200"/>
      <c r="Q394" s="226">
        <f t="shared" si="30"/>
        <v>97.9</v>
      </c>
      <c r="R394" s="146" t="str">
        <f t="shared" si="29"/>
        <v>NO</v>
      </c>
      <c r="S394" s="201" t="str">
        <f t="shared" ref="S394:S462" si="31">IF(Q394&lt;5,"Sin Riesgo",IF(Q394 &lt;=14,"Bajo",IF(Q394&lt;=35,"Medio",IF(Q394&lt;=80,"Alto","Inviable Sanitariamente"))))</f>
        <v>Inviable Sanitariamente</v>
      </c>
      <c r="T394" s="16"/>
    </row>
    <row r="395" spans="1:20" ht="32.1" customHeight="1">
      <c r="A395" s="82" t="s">
        <v>4095</v>
      </c>
      <c r="B395" s="522" t="s">
        <v>19</v>
      </c>
      <c r="C395" s="519" t="s">
        <v>2526</v>
      </c>
      <c r="D395" s="224">
        <v>45</v>
      </c>
      <c r="E395" s="200"/>
      <c r="F395" s="200"/>
      <c r="G395" s="200"/>
      <c r="H395" s="200"/>
      <c r="I395" s="200">
        <v>62.94</v>
      </c>
      <c r="J395" s="200"/>
      <c r="K395" s="200"/>
      <c r="L395" s="200"/>
      <c r="M395" s="200"/>
      <c r="N395" s="200"/>
      <c r="O395" s="200"/>
      <c r="P395" s="200"/>
      <c r="Q395" s="226">
        <f t="shared" si="30"/>
        <v>62.94</v>
      </c>
      <c r="R395" s="146" t="str">
        <f t="shared" si="29"/>
        <v>NO</v>
      </c>
      <c r="S395" s="201" t="str">
        <f t="shared" si="31"/>
        <v>Alto</v>
      </c>
      <c r="T395" s="16"/>
    </row>
    <row r="396" spans="1:20" ht="32.1" customHeight="1">
      <c r="A396" s="82" t="s">
        <v>4095</v>
      </c>
      <c r="B396" s="521" t="s">
        <v>2527</v>
      </c>
      <c r="C396" s="518" t="s">
        <v>2528</v>
      </c>
      <c r="D396" s="224">
        <v>250</v>
      </c>
      <c r="E396" s="200">
        <v>0</v>
      </c>
      <c r="F396" s="200">
        <v>0</v>
      </c>
      <c r="G396" s="200">
        <v>0</v>
      </c>
      <c r="H396" s="200">
        <v>0</v>
      </c>
      <c r="I396" s="200">
        <v>0</v>
      </c>
      <c r="J396" s="200">
        <v>0</v>
      </c>
      <c r="K396" s="200">
        <v>0</v>
      </c>
      <c r="L396" s="200">
        <v>0</v>
      </c>
      <c r="M396" s="200"/>
      <c r="N396" s="200"/>
      <c r="O396" s="200"/>
      <c r="P396" s="200"/>
      <c r="Q396" s="226">
        <f t="shared" si="30"/>
        <v>0</v>
      </c>
      <c r="R396" s="146" t="str">
        <f t="shared" si="29"/>
        <v>SI</v>
      </c>
      <c r="S396" s="201" t="str">
        <f t="shared" si="31"/>
        <v>Sin Riesgo</v>
      </c>
      <c r="T396" s="16"/>
    </row>
    <row r="397" spans="1:20" ht="32.1" customHeight="1">
      <c r="A397" s="82" t="s">
        <v>4095</v>
      </c>
      <c r="B397" s="522" t="s">
        <v>2485</v>
      </c>
      <c r="C397" s="519" t="s">
        <v>2529</v>
      </c>
      <c r="D397" s="224">
        <v>108</v>
      </c>
      <c r="E397" s="200"/>
      <c r="F397" s="200"/>
      <c r="G397" s="200"/>
      <c r="H397" s="200"/>
      <c r="I397" s="200"/>
      <c r="J397" s="200">
        <v>62.94</v>
      </c>
      <c r="K397" s="200"/>
      <c r="L397" s="200"/>
      <c r="M397" s="200"/>
      <c r="N397" s="200"/>
      <c r="O397" s="200"/>
      <c r="P397" s="200"/>
      <c r="Q397" s="226">
        <f t="shared" si="30"/>
        <v>62.94</v>
      </c>
      <c r="R397" s="146" t="str">
        <f t="shared" si="29"/>
        <v>NO</v>
      </c>
      <c r="S397" s="201" t="str">
        <f t="shared" si="31"/>
        <v>Alto</v>
      </c>
      <c r="T397" s="16"/>
    </row>
    <row r="398" spans="1:20" ht="32.1" customHeight="1">
      <c r="A398" s="82" t="s">
        <v>4095</v>
      </c>
      <c r="B398" s="522" t="s">
        <v>2530</v>
      </c>
      <c r="C398" s="519" t="s">
        <v>2531</v>
      </c>
      <c r="D398" s="224">
        <v>288</v>
      </c>
      <c r="E398" s="200"/>
      <c r="F398" s="200"/>
      <c r="G398" s="200"/>
      <c r="H398" s="200"/>
      <c r="I398" s="200"/>
      <c r="J398" s="200">
        <v>97.9</v>
      </c>
      <c r="K398" s="200"/>
      <c r="L398" s="200"/>
      <c r="M398" s="200"/>
      <c r="N398" s="200"/>
      <c r="O398" s="200"/>
      <c r="P398" s="200"/>
      <c r="Q398" s="226">
        <f t="shared" si="30"/>
        <v>97.9</v>
      </c>
      <c r="R398" s="146" t="str">
        <f t="shared" si="29"/>
        <v>NO</v>
      </c>
      <c r="S398" s="201" t="str">
        <f t="shared" si="31"/>
        <v>Inviable Sanitariamente</v>
      </c>
      <c r="T398" s="16"/>
    </row>
    <row r="399" spans="1:20" ht="32.1" customHeight="1">
      <c r="A399" s="82" t="s">
        <v>4095</v>
      </c>
      <c r="B399" s="522" t="s">
        <v>2532</v>
      </c>
      <c r="C399" s="527" t="s">
        <v>2533</v>
      </c>
      <c r="D399" s="531">
        <v>72</v>
      </c>
      <c r="E399" s="200"/>
      <c r="F399" s="200"/>
      <c r="G399" s="200"/>
      <c r="H399" s="200">
        <v>41.96</v>
      </c>
      <c r="I399" s="200"/>
      <c r="J399" s="200"/>
      <c r="K399" s="200"/>
      <c r="L399" s="200"/>
      <c r="M399" s="200"/>
      <c r="N399" s="200"/>
      <c r="O399" s="200"/>
      <c r="P399" s="200"/>
      <c r="Q399" s="226">
        <f t="shared" si="30"/>
        <v>41.96</v>
      </c>
      <c r="R399" s="146" t="str">
        <f t="shared" si="29"/>
        <v>NO</v>
      </c>
      <c r="S399" s="201" t="str">
        <f t="shared" si="31"/>
        <v>Alto</v>
      </c>
      <c r="T399" s="16"/>
    </row>
    <row r="400" spans="1:20" ht="32.1" customHeight="1">
      <c r="A400" s="82" t="s">
        <v>4095</v>
      </c>
      <c r="B400" s="522" t="s">
        <v>1543</v>
      </c>
      <c r="C400" s="519" t="s">
        <v>2534</v>
      </c>
      <c r="D400" s="224">
        <v>34</v>
      </c>
      <c r="E400" s="200"/>
      <c r="F400" s="200"/>
      <c r="G400" s="200"/>
      <c r="H400" s="200"/>
      <c r="I400" s="200"/>
      <c r="J400" s="200"/>
      <c r="K400" s="200">
        <v>97.9</v>
      </c>
      <c r="L400" s="200"/>
      <c r="M400" s="200"/>
      <c r="N400" s="200"/>
      <c r="O400" s="200"/>
      <c r="P400" s="200"/>
      <c r="Q400" s="226">
        <f t="shared" si="30"/>
        <v>97.9</v>
      </c>
      <c r="R400" s="146" t="str">
        <f t="shared" si="29"/>
        <v>NO</v>
      </c>
      <c r="S400" s="201" t="str">
        <f t="shared" si="31"/>
        <v>Inviable Sanitariamente</v>
      </c>
      <c r="T400" s="16"/>
    </row>
    <row r="401" spans="1:20" ht="32.1" customHeight="1">
      <c r="A401" s="82" t="s">
        <v>4095</v>
      </c>
      <c r="B401" s="522" t="s">
        <v>2535</v>
      </c>
      <c r="C401" s="519" t="s">
        <v>2536</v>
      </c>
      <c r="D401" s="224">
        <v>40</v>
      </c>
      <c r="E401" s="200"/>
      <c r="F401" s="200"/>
      <c r="G401" s="200"/>
      <c r="H401" s="200"/>
      <c r="I401" s="200"/>
      <c r="J401" s="200"/>
      <c r="K401" s="200">
        <v>41.96</v>
      </c>
      <c r="L401" s="200"/>
      <c r="M401" s="200"/>
      <c r="N401" s="200"/>
      <c r="O401" s="200"/>
      <c r="P401" s="200"/>
      <c r="Q401" s="226">
        <f t="shared" si="30"/>
        <v>41.96</v>
      </c>
      <c r="R401" s="146" t="str">
        <f t="shared" si="29"/>
        <v>NO</v>
      </c>
      <c r="S401" s="201" t="str">
        <f t="shared" si="31"/>
        <v>Alto</v>
      </c>
      <c r="T401" s="16"/>
    </row>
    <row r="402" spans="1:20" ht="32.1" customHeight="1">
      <c r="A402" s="82" t="s">
        <v>4095</v>
      </c>
      <c r="B402" s="522" t="s">
        <v>2537</v>
      </c>
      <c r="C402" s="527" t="s">
        <v>2538</v>
      </c>
      <c r="D402" s="225">
        <v>17</v>
      </c>
      <c r="E402" s="200"/>
      <c r="F402" s="200"/>
      <c r="G402" s="200"/>
      <c r="H402" s="200">
        <v>62.94</v>
      </c>
      <c r="I402" s="200"/>
      <c r="J402" s="200"/>
      <c r="K402" s="200"/>
      <c r="L402" s="200"/>
      <c r="M402" s="200"/>
      <c r="N402" s="200"/>
      <c r="O402" s="200"/>
      <c r="P402" s="200"/>
      <c r="Q402" s="226">
        <f t="shared" si="30"/>
        <v>62.94</v>
      </c>
      <c r="R402" s="146" t="str">
        <f t="shared" si="29"/>
        <v>NO</v>
      </c>
      <c r="S402" s="201" t="str">
        <f t="shared" si="31"/>
        <v>Alto</v>
      </c>
      <c r="T402" s="16"/>
    </row>
    <row r="403" spans="1:20" ht="32.1" customHeight="1">
      <c r="A403" s="82" t="s">
        <v>4095</v>
      </c>
      <c r="B403" s="521" t="s">
        <v>2539</v>
      </c>
      <c r="C403" s="527" t="s">
        <v>2540</v>
      </c>
      <c r="D403" s="224">
        <v>247</v>
      </c>
      <c r="E403" s="200"/>
      <c r="F403" s="200"/>
      <c r="G403" s="200"/>
      <c r="H403" s="200"/>
      <c r="I403" s="200">
        <v>76.92</v>
      </c>
      <c r="J403" s="200"/>
      <c r="K403" s="200"/>
      <c r="L403" s="200"/>
      <c r="M403" s="200"/>
      <c r="N403" s="200"/>
      <c r="O403" s="200"/>
      <c r="P403" s="200"/>
      <c r="Q403" s="226">
        <f t="shared" si="30"/>
        <v>76.92</v>
      </c>
      <c r="R403" s="146" t="str">
        <f t="shared" si="29"/>
        <v>NO</v>
      </c>
      <c r="S403" s="201" t="str">
        <f t="shared" si="31"/>
        <v>Alto</v>
      </c>
      <c r="T403" s="16"/>
    </row>
    <row r="404" spans="1:20" ht="32.1" customHeight="1">
      <c r="A404" s="82" t="s">
        <v>4095</v>
      </c>
      <c r="B404" s="522" t="s">
        <v>2541</v>
      </c>
      <c r="C404" s="527" t="s">
        <v>2542</v>
      </c>
      <c r="D404" s="224">
        <v>247</v>
      </c>
      <c r="E404" s="200"/>
      <c r="F404" s="200"/>
      <c r="G404" s="200"/>
      <c r="H404" s="200"/>
      <c r="I404" s="200">
        <v>76.92</v>
      </c>
      <c r="J404" s="200"/>
      <c r="K404" s="200"/>
      <c r="L404" s="200"/>
      <c r="M404" s="200"/>
      <c r="N404" s="200"/>
      <c r="O404" s="200"/>
      <c r="P404" s="200"/>
      <c r="Q404" s="226">
        <f t="shared" si="30"/>
        <v>76.92</v>
      </c>
      <c r="R404" s="146" t="str">
        <f t="shared" si="29"/>
        <v>NO</v>
      </c>
      <c r="S404" s="201" t="str">
        <f t="shared" si="31"/>
        <v>Alto</v>
      </c>
      <c r="T404" s="16"/>
    </row>
    <row r="405" spans="1:20" ht="32.1" customHeight="1">
      <c r="A405" s="82" t="s">
        <v>4095</v>
      </c>
      <c r="B405" s="521" t="s">
        <v>2543</v>
      </c>
      <c r="C405" s="527" t="s">
        <v>2544</v>
      </c>
      <c r="D405" s="114">
        <v>182</v>
      </c>
      <c r="E405" s="200">
        <v>0</v>
      </c>
      <c r="F405" s="200"/>
      <c r="G405" s="200">
        <v>0</v>
      </c>
      <c r="H405" s="200"/>
      <c r="I405" s="200">
        <v>0</v>
      </c>
      <c r="J405" s="200"/>
      <c r="K405" s="200">
        <v>0</v>
      </c>
      <c r="L405" s="200"/>
      <c r="M405" s="200"/>
      <c r="N405" s="200"/>
      <c r="O405" s="200"/>
      <c r="P405" s="200"/>
      <c r="Q405" s="226">
        <f t="shared" si="30"/>
        <v>0</v>
      </c>
      <c r="R405" s="146" t="str">
        <f t="shared" si="29"/>
        <v>SI</v>
      </c>
      <c r="S405" s="201" t="str">
        <f t="shared" si="31"/>
        <v>Sin Riesgo</v>
      </c>
      <c r="T405" s="16"/>
    </row>
    <row r="406" spans="1:20" ht="32.1" customHeight="1">
      <c r="A406" s="82" t="s">
        <v>4095</v>
      </c>
      <c r="B406" s="521" t="s">
        <v>2545</v>
      </c>
      <c r="C406" s="527" t="s">
        <v>2546</v>
      </c>
      <c r="D406" s="224">
        <v>182</v>
      </c>
      <c r="E406" s="200">
        <v>0</v>
      </c>
      <c r="F406" s="200"/>
      <c r="G406" s="200">
        <v>0</v>
      </c>
      <c r="H406" s="200"/>
      <c r="I406" s="200">
        <v>0</v>
      </c>
      <c r="J406" s="200"/>
      <c r="K406" s="200">
        <v>0</v>
      </c>
      <c r="L406" s="200"/>
      <c r="M406" s="200"/>
      <c r="N406" s="200"/>
      <c r="O406" s="200">
        <v>0</v>
      </c>
      <c r="P406" s="200"/>
      <c r="Q406" s="226">
        <f t="shared" si="30"/>
        <v>0</v>
      </c>
      <c r="R406" s="146" t="str">
        <f t="shared" si="29"/>
        <v>SI</v>
      </c>
      <c r="S406" s="201" t="str">
        <f t="shared" si="31"/>
        <v>Sin Riesgo</v>
      </c>
      <c r="T406" s="16"/>
    </row>
    <row r="407" spans="1:20" ht="32.1" customHeight="1">
      <c r="A407" s="82" t="s">
        <v>4095</v>
      </c>
      <c r="B407" s="522" t="s">
        <v>1115</v>
      </c>
      <c r="C407" s="519" t="s">
        <v>2547</v>
      </c>
      <c r="D407" s="199">
        <v>182</v>
      </c>
      <c r="E407" s="200">
        <v>0</v>
      </c>
      <c r="F407" s="200"/>
      <c r="G407" s="200">
        <v>0</v>
      </c>
      <c r="H407" s="200"/>
      <c r="I407" s="200">
        <v>0</v>
      </c>
      <c r="J407" s="200"/>
      <c r="K407" s="200">
        <v>0</v>
      </c>
      <c r="L407" s="200"/>
      <c r="M407" s="200"/>
      <c r="N407" s="200"/>
      <c r="O407" s="200">
        <v>0</v>
      </c>
      <c r="P407" s="200"/>
      <c r="Q407" s="226">
        <f t="shared" si="30"/>
        <v>0</v>
      </c>
      <c r="R407" s="146" t="str">
        <f t="shared" si="29"/>
        <v>SI</v>
      </c>
      <c r="S407" s="201" t="str">
        <f t="shared" si="31"/>
        <v>Sin Riesgo</v>
      </c>
      <c r="T407" s="16"/>
    </row>
    <row r="408" spans="1:20" ht="32.1" customHeight="1">
      <c r="A408" s="82" t="s">
        <v>4095</v>
      </c>
      <c r="B408" s="521" t="s">
        <v>2548</v>
      </c>
      <c r="C408" s="527" t="s">
        <v>2549</v>
      </c>
      <c r="D408" s="114">
        <v>350</v>
      </c>
      <c r="E408" s="200"/>
      <c r="F408" s="200">
        <v>0</v>
      </c>
      <c r="G408" s="200"/>
      <c r="H408" s="200">
        <v>0</v>
      </c>
      <c r="I408" s="200"/>
      <c r="J408" s="200">
        <v>0</v>
      </c>
      <c r="K408" s="200"/>
      <c r="L408" s="200">
        <v>0</v>
      </c>
      <c r="M408" s="200"/>
      <c r="N408" s="200"/>
      <c r="O408" s="200">
        <v>0</v>
      </c>
      <c r="P408" s="200"/>
      <c r="Q408" s="226">
        <f t="shared" si="30"/>
        <v>0</v>
      </c>
      <c r="R408" s="146" t="str">
        <f t="shared" si="29"/>
        <v>SI</v>
      </c>
      <c r="S408" s="201" t="str">
        <f t="shared" si="31"/>
        <v>Sin Riesgo</v>
      </c>
      <c r="T408" s="16"/>
    </row>
    <row r="409" spans="1:20" ht="32.1" customHeight="1">
      <c r="A409" s="82" t="s">
        <v>4095</v>
      </c>
      <c r="B409" s="522" t="s">
        <v>2550</v>
      </c>
      <c r="C409" s="519" t="s">
        <v>2550</v>
      </c>
      <c r="D409" s="224">
        <v>350</v>
      </c>
      <c r="E409" s="200"/>
      <c r="F409" s="200">
        <v>0</v>
      </c>
      <c r="G409" s="200"/>
      <c r="H409" s="200">
        <v>0</v>
      </c>
      <c r="I409" s="200"/>
      <c r="J409" s="200">
        <v>0</v>
      </c>
      <c r="K409" s="200"/>
      <c r="L409" s="200">
        <v>0</v>
      </c>
      <c r="M409" s="200"/>
      <c r="N409" s="200"/>
      <c r="O409" s="200">
        <v>41.96</v>
      </c>
      <c r="P409" s="200"/>
      <c r="Q409" s="226">
        <f t="shared" si="30"/>
        <v>8.3919999999999995</v>
      </c>
      <c r="R409" s="146" t="str">
        <f t="shared" si="29"/>
        <v>NO</v>
      </c>
      <c r="S409" s="201" t="str">
        <f t="shared" si="31"/>
        <v>Bajo</v>
      </c>
      <c r="T409" s="16"/>
    </row>
    <row r="410" spans="1:20" ht="32.1" customHeight="1">
      <c r="A410" s="82" t="s">
        <v>4095</v>
      </c>
      <c r="B410" s="522" t="s">
        <v>2551</v>
      </c>
      <c r="C410" s="519" t="s">
        <v>2552</v>
      </c>
      <c r="D410" s="199">
        <v>48</v>
      </c>
      <c r="E410" s="200"/>
      <c r="F410" s="200">
        <v>62.9</v>
      </c>
      <c r="G410" s="200"/>
      <c r="H410" s="200"/>
      <c r="I410" s="200"/>
      <c r="J410" s="200"/>
      <c r="K410" s="200"/>
      <c r="L410" s="200"/>
      <c r="M410" s="200"/>
      <c r="N410" s="200"/>
      <c r="O410" s="200"/>
      <c r="P410" s="200"/>
      <c r="Q410" s="226">
        <f t="shared" si="30"/>
        <v>62.9</v>
      </c>
      <c r="R410" s="146" t="str">
        <f t="shared" si="29"/>
        <v>NO</v>
      </c>
      <c r="S410" s="201" t="str">
        <f t="shared" si="31"/>
        <v>Alto</v>
      </c>
      <c r="T410" s="16"/>
    </row>
    <row r="411" spans="1:20" ht="32.1" customHeight="1">
      <c r="A411" s="82" t="s">
        <v>4095</v>
      </c>
      <c r="B411" s="521" t="s">
        <v>99</v>
      </c>
      <c r="C411" s="527" t="s">
        <v>2553</v>
      </c>
      <c r="D411" s="224">
        <v>180</v>
      </c>
      <c r="E411" s="200"/>
      <c r="F411" s="200"/>
      <c r="G411" s="200"/>
      <c r="H411" s="200">
        <v>62.9</v>
      </c>
      <c r="I411" s="200"/>
      <c r="J411" s="200"/>
      <c r="K411" s="200">
        <v>62.9</v>
      </c>
      <c r="L411" s="200"/>
      <c r="M411" s="200"/>
      <c r="N411" s="200"/>
      <c r="O411" s="200"/>
      <c r="P411" s="200"/>
      <c r="Q411" s="226">
        <f t="shared" si="30"/>
        <v>62.9</v>
      </c>
      <c r="R411" s="146" t="str">
        <f t="shared" si="29"/>
        <v>NO</v>
      </c>
      <c r="S411" s="201" t="str">
        <f t="shared" si="31"/>
        <v>Alto</v>
      </c>
      <c r="T411" s="16"/>
    </row>
    <row r="412" spans="1:20" ht="32.1" customHeight="1">
      <c r="A412" s="82" t="s">
        <v>4095</v>
      </c>
      <c r="B412" s="522" t="s">
        <v>904</v>
      </c>
      <c r="C412" s="519" t="s">
        <v>2554</v>
      </c>
      <c r="D412" s="199">
        <v>350</v>
      </c>
      <c r="E412" s="200"/>
      <c r="F412" s="200">
        <v>0</v>
      </c>
      <c r="G412" s="200"/>
      <c r="H412" s="200">
        <v>0</v>
      </c>
      <c r="I412" s="200"/>
      <c r="J412" s="200">
        <v>0</v>
      </c>
      <c r="K412" s="200"/>
      <c r="L412" s="200">
        <v>0</v>
      </c>
      <c r="M412" s="200"/>
      <c r="N412" s="200"/>
      <c r="O412" s="200">
        <v>0</v>
      </c>
      <c r="P412" s="200"/>
      <c r="Q412" s="226">
        <f t="shared" si="30"/>
        <v>0</v>
      </c>
      <c r="R412" s="146" t="str">
        <f t="shared" si="29"/>
        <v>SI</v>
      </c>
      <c r="S412" s="201" t="str">
        <f t="shared" si="31"/>
        <v>Sin Riesgo</v>
      </c>
      <c r="T412" s="16"/>
    </row>
    <row r="413" spans="1:20" ht="32.1" customHeight="1">
      <c r="A413" s="82" t="s">
        <v>4095</v>
      </c>
      <c r="B413" s="522" t="s">
        <v>1404</v>
      </c>
      <c r="C413" s="527" t="s">
        <v>2555</v>
      </c>
      <c r="D413" s="199">
        <v>74</v>
      </c>
      <c r="E413" s="200"/>
      <c r="F413" s="200">
        <v>62.94</v>
      </c>
      <c r="G413" s="200"/>
      <c r="H413" s="200"/>
      <c r="I413" s="200"/>
      <c r="J413" s="200"/>
      <c r="K413" s="200">
        <v>62.94</v>
      </c>
      <c r="L413" s="200"/>
      <c r="M413" s="200"/>
      <c r="N413" s="200"/>
      <c r="O413" s="200" t="s">
        <v>1720</v>
      </c>
      <c r="P413" s="200"/>
      <c r="Q413" s="226">
        <f t="shared" si="30"/>
        <v>62.94</v>
      </c>
      <c r="R413" s="146" t="str">
        <f t="shared" si="29"/>
        <v>NO</v>
      </c>
      <c r="S413" s="201" t="str">
        <f t="shared" si="31"/>
        <v>Alto</v>
      </c>
      <c r="T413" s="16"/>
    </row>
    <row r="414" spans="1:20" ht="32.1" customHeight="1">
      <c r="A414" s="82" t="s">
        <v>4095</v>
      </c>
      <c r="B414" s="521" t="s">
        <v>2556</v>
      </c>
      <c r="C414" s="527" t="s">
        <v>2557</v>
      </c>
      <c r="D414" s="224">
        <v>114</v>
      </c>
      <c r="E414" s="200"/>
      <c r="F414" s="200"/>
      <c r="G414" s="200"/>
      <c r="H414" s="200"/>
      <c r="I414" s="200"/>
      <c r="J414" s="200">
        <v>76.92</v>
      </c>
      <c r="K414" s="200"/>
      <c r="L414" s="200"/>
      <c r="M414" s="200"/>
      <c r="N414" s="200"/>
      <c r="O414" s="200"/>
      <c r="P414" s="200"/>
      <c r="Q414" s="226">
        <f t="shared" si="30"/>
        <v>76.92</v>
      </c>
      <c r="R414" s="146" t="str">
        <f t="shared" si="29"/>
        <v>NO</v>
      </c>
      <c r="S414" s="201" t="str">
        <f t="shared" si="31"/>
        <v>Alto</v>
      </c>
      <c r="T414" s="16"/>
    </row>
    <row r="415" spans="1:20" ht="32.1" customHeight="1">
      <c r="A415" s="82" t="s">
        <v>4095</v>
      </c>
      <c r="B415" s="522" t="s">
        <v>2558</v>
      </c>
      <c r="C415" s="519" t="s">
        <v>2559</v>
      </c>
      <c r="D415" s="224">
        <v>114</v>
      </c>
      <c r="E415" s="200"/>
      <c r="F415" s="200"/>
      <c r="G415" s="200"/>
      <c r="H415" s="200"/>
      <c r="I415" s="200"/>
      <c r="J415" s="200"/>
      <c r="K415" s="200">
        <v>97.9</v>
      </c>
      <c r="L415" s="200"/>
      <c r="M415" s="200"/>
      <c r="N415" s="200"/>
      <c r="O415" s="200"/>
      <c r="P415" s="200"/>
      <c r="Q415" s="226">
        <f t="shared" si="30"/>
        <v>97.9</v>
      </c>
      <c r="R415" s="146" t="str">
        <f t="shared" si="29"/>
        <v>NO</v>
      </c>
      <c r="S415" s="201" t="str">
        <f t="shared" si="31"/>
        <v>Inviable Sanitariamente</v>
      </c>
      <c r="T415" s="16"/>
    </row>
    <row r="416" spans="1:20" ht="32.1" customHeight="1">
      <c r="A416" s="82" t="s">
        <v>4095</v>
      </c>
      <c r="B416" s="522" t="s">
        <v>631</v>
      </c>
      <c r="C416" s="519" t="s">
        <v>2560</v>
      </c>
      <c r="D416" s="224">
        <v>114</v>
      </c>
      <c r="E416" s="200"/>
      <c r="F416" s="200"/>
      <c r="G416" s="200"/>
      <c r="H416" s="200">
        <v>41.96</v>
      </c>
      <c r="I416" s="200"/>
      <c r="J416" s="200"/>
      <c r="K416" s="200"/>
      <c r="L416" s="200"/>
      <c r="M416" s="200"/>
      <c r="N416" s="200"/>
      <c r="O416" s="200"/>
      <c r="P416" s="200"/>
      <c r="Q416" s="226">
        <f t="shared" si="30"/>
        <v>41.96</v>
      </c>
      <c r="R416" s="146" t="str">
        <f t="shared" si="29"/>
        <v>NO</v>
      </c>
      <c r="S416" s="201" t="str">
        <f t="shared" si="31"/>
        <v>Alto</v>
      </c>
      <c r="T416" s="16"/>
    </row>
    <row r="417" spans="1:20" ht="32.1" customHeight="1">
      <c r="A417" s="82" t="s">
        <v>4095</v>
      </c>
      <c r="B417" s="110" t="s">
        <v>2561</v>
      </c>
      <c r="C417" s="527" t="s">
        <v>2562</v>
      </c>
      <c r="D417" s="119">
        <v>26</v>
      </c>
      <c r="E417" s="200"/>
      <c r="F417" s="200"/>
      <c r="G417" s="200"/>
      <c r="H417" s="200"/>
      <c r="I417" s="200">
        <v>76.92</v>
      </c>
      <c r="J417" s="200"/>
      <c r="K417" s="200"/>
      <c r="L417" s="200"/>
      <c r="M417" s="200"/>
      <c r="N417" s="200"/>
      <c r="O417" s="200"/>
      <c r="P417" s="200"/>
      <c r="Q417" s="226">
        <f t="shared" si="30"/>
        <v>76.92</v>
      </c>
      <c r="R417" s="146" t="str">
        <f t="shared" si="29"/>
        <v>NO</v>
      </c>
      <c r="S417" s="201" t="str">
        <f t="shared" si="31"/>
        <v>Alto</v>
      </c>
      <c r="T417" s="16"/>
    </row>
    <row r="418" spans="1:20" ht="32.1" customHeight="1">
      <c r="A418" s="82" t="s">
        <v>4095</v>
      </c>
      <c r="B418" s="521" t="s">
        <v>2</v>
      </c>
      <c r="C418" s="518" t="s">
        <v>2563</v>
      </c>
      <c r="D418" s="224">
        <v>37</v>
      </c>
      <c r="E418" s="200"/>
      <c r="F418" s="200"/>
      <c r="G418" s="200"/>
      <c r="H418" s="200"/>
      <c r="I418" s="200"/>
      <c r="J418" s="200"/>
      <c r="K418" s="200"/>
      <c r="L418" s="200"/>
      <c r="M418" s="200">
        <v>41.96</v>
      </c>
      <c r="N418" s="200"/>
      <c r="O418" s="200"/>
      <c r="P418" s="200"/>
      <c r="Q418" s="226">
        <f t="shared" si="30"/>
        <v>41.96</v>
      </c>
      <c r="R418" s="146" t="str">
        <f t="shared" si="29"/>
        <v>NO</v>
      </c>
      <c r="S418" s="201" t="str">
        <f t="shared" si="31"/>
        <v>Alto</v>
      </c>
      <c r="T418" s="16"/>
    </row>
    <row r="419" spans="1:20" ht="32.1" customHeight="1">
      <c r="A419" s="82" t="s">
        <v>4095</v>
      </c>
      <c r="B419" s="522" t="s">
        <v>1</v>
      </c>
      <c r="C419" s="527" t="s">
        <v>2564</v>
      </c>
      <c r="D419" s="224">
        <v>69</v>
      </c>
      <c r="E419" s="200"/>
      <c r="F419" s="200"/>
      <c r="G419" s="200"/>
      <c r="H419" s="200"/>
      <c r="I419" s="200">
        <v>76.92</v>
      </c>
      <c r="J419" s="200"/>
      <c r="K419" s="200"/>
      <c r="L419" s="200"/>
      <c r="M419" s="200"/>
      <c r="N419" s="200"/>
      <c r="O419" s="200"/>
      <c r="P419" s="200"/>
      <c r="Q419" s="226">
        <f t="shared" si="30"/>
        <v>76.92</v>
      </c>
      <c r="R419" s="146" t="str">
        <f t="shared" si="29"/>
        <v>NO</v>
      </c>
      <c r="S419" s="201" t="str">
        <f t="shared" si="31"/>
        <v>Alto</v>
      </c>
      <c r="T419" s="16"/>
    </row>
    <row r="420" spans="1:20" ht="32.1" customHeight="1">
      <c r="A420" s="82" t="s">
        <v>4095</v>
      </c>
      <c r="B420" s="521" t="s">
        <v>1995</v>
      </c>
      <c r="C420" s="518" t="s">
        <v>2565</v>
      </c>
      <c r="D420" s="224">
        <v>19</v>
      </c>
      <c r="E420" s="200"/>
      <c r="F420" s="200"/>
      <c r="G420" s="200"/>
      <c r="H420" s="200"/>
      <c r="I420" s="200">
        <v>76.92</v>
      </c>
      <c r="J420" s="200"/>
      <c r="K420" s="200"/>
      <c r="L420" s="200"/>
      <c r="M420" s="200"/>
      <c r="N420" s="200"/>
      <c r="O420" s="200">
        <v>41.96</v>
      </c>
      <c r="P420" s="200"/>
      <c r="Q420" s="226">
        <f t="shared" si="30"/>
        <v>59.44</v>
      </c>
      <c r="R420" s="146" t="str">
        <f t="shared" si="29"/>
        <v>NO</v>
      </c>
      <c r="S420" s="201" t="str">
        <f t="shared" si="31"/>
        <v>Alto</v>
      </c>
      <c r="T420" s="16"/>
    </row>
    <row r="421" spans="1:20" ht="32.1" customHeight="1">
      <c r="A421" s="82" t="s">
        <v>4095</v>
      </c>
      <c r="B421" s="522" t="s">
        <v>2566</v>
      </c>
      <c r="C421" s="519" t="s">
        <v>2567</v>
      </c>
      <c r="D421" s="199">
        <v>42</v>
      </c>
      <c r="E421" s="200"/>
      <c r="F421" s="200"/>
      <c r="G421" s="200"/>
      <c r="H421" s="200"/>
      <c r="I421" s="200">
        <v>76.92</v>
      </c>
      <c r="J421" s="200"/>
      <c r="K421" s="200"/>
      <c r="L421" s="200"/>
      <c r="M421" s="200"/>
      <c r="N421" s="200"/>
      <c r="O421" s="200"/>
      <c r="P421" s="200"/>
      <c r="Q421" s="226">
        <f t="shared" si="30"/>
        <v>76.92</v>
      </c>
      <c r="R421" s="146" t="str">
        <f t="shared" si="29"/>
        <v>NO</v>
      </c>
      <c r="S421" s="201" t="str">
        <f t="shared" si="31"/>
        <v>Alto</v>
      </c>
      <c r="T421" s="16"/>
    </row>
    <row r="422" spans="1:20" ht="32.1" customHeight="1">
      <c r="A422" s="82" t="s">
        <v>4095</v>
      </c>
      <c r="B422" s="522" t="s">
        <v>2568</v>
      </c>
      <c r="C422" s="519" t="s">
        <v>2569</v>
      </c>
      <c r="D422" s="199">
        <v>50</v>
      </c>
      <c r="E422" s="200"/>
      <c r="F422" s="200"/>
      <c r="G422" s="200"/>
      <c r="H422" s="200"/>
      <c r="I422" s="200">
        <v>76.92</v>
      </c>
      <c r="J422" s="200"/>
      <c r="K422" s="200"/>
      <c r="L422" s="200"/>
      <c r="M422" s="200"/>
      <c r="N422" s="200"/>
      <c r="O422" s="200"/>
      <c r="P422" s="200"/>
      <c r="Q422" s="226">
        <f t="shared" si="30"/>
        <v>76.92</v>
      </c>
      <c r="R422" s="146" t="str">
        <f t="shared" si="29"/>
        <v>NO</v>
      </c>
      <c r="S422" s="201" t="str">
        <f t="shared" si="31"/>
        <v>Alto</v>
      </c>
      <c r="T422" s="16"/>
    </row>
    <row r="423" spans="1:20" ht="32.1" customHeight="1">
      <c r="A423" s="82" t="s">
        <v>4095</v>
      </c>
      <c r="B423" s="521" t="s">
        <v>2</v>
      </c>
      <c r="C423" s="527" t="s">
        <v>412</v>
      </c>
      <c r="D423" s="119">
        <v>30</v>
      </c>
      <c r="E423" s="200"/>
      <c r="F423" s="200"/>
      <c r="G423" s="200"/>
      <c r="H423" s="200"/>
      <c r="I423" s="200"/>
      <c r="J423" s="200"/>
      <c r="K423" s="200">
        <v>76.92</v>
      </c>
      <c r="L423" s="200"/>
      <c r="M423" s="200"/>
      <c r="N423" s="200"/>
      <c r="O423" s="200"/>
      <c r="P423" s="200"/>
      <c r="Q423" s="226">
        <f t="shared" si="30"/>
        <v>76.92</v>
      </c>
      <c r="R423" s="146" t="str">
        <f t="shared" si="29"/>
        <v>NO</v>
      </c>
      <c r="S423" s="201" t="str">
        <f t="shared" si="31"/>
        <v>Alto</v>
      </c>
      <c r="T423" s="16"/>
    </row>
    <row r="424" spans="1:20" ht="32.1" customHeight="1">
      <c r="A424" s="82" t="s">
        <v>4095</v>
      </c>
      <c r="B424" s="522" t="s">
        <v>2570</v>
      </c>
      <c r="C424" s="519" t="s">
        <v>2571</v>
      </c>
      <c r="D424" s="224">
        <v>40</v>
      </c>
      <c r="E424" s="200"/>
      <c r="F424" s="200"/>
      <c r="G424" s="200"/>
      <c r="H424" s="200"/>
      <c r="I424" s="200"/>
      <c r="J424" s="200">
        <v>62.94</v>
      </c>
      <c r="K424" s="200"/>
      <c r="L424" s="200"/>
      <c r="M424" s="200"/>
      <c r="N424" s="200"/>
      <c r="O424" s="200"/>
      <c r="P424" s="200"/>
      <c r="Q424" s="226">
        <f t="shared" si="30"/>
        <v>62.94</v>
      </c>
      <c r="R424" s="146" t="str">
        <f t="shared" si="29"/>
        <v>NO</v>
      </c>
      <c r="S424" s="201" t="str">
        <f t="shared" si="31"/>
        <v>Alto</v>
      </c>
      <c r="T424" s="16"/>
    </row>
    <row r="425" spans="1:20" ht="32.1" customHeight="1">
      <c r="A425" s="82" t="s">
        <v>4095</v>
      </c>
      <c r="B425" s="522" t="s">
        <v>2572</v>
      </c>
      <c r="C425" s="519" t="s">
        <v>2573</v>
      </c>
      <c r="D425" s="224">
        <v>54</v>
      </c>
      <c r="E425" s="200"/>
      <c r="F425" s="200"/>
      <c r="G425" s="200"/>
      <c r="H425" s="200">
        <v>62.94</v>
      </c>
      <c r="I425" s="200"/>
      <c r="J425" s="200"/>
      <c r="K425" s="200">
        <v>62.9</v>
      </c>
      <c r="L425" s="200"/>
      <c r="M425" s="200"/>
      <c r="N425" s="200"/>
      <c r="O425" s="200"/>
      <c r="P425" s="200"/>
      <c r="Q425" s="226">
        <f t="shared" si="30"/>
        <v>62.92</v>
      </c>
      <c r="R425" s="146" t="str">
        <f t="shared" si="29"/>
        <v>NO</v>
      </c>
      <c r="S425" s="201" t="str">
        <f t="shared" si="31"/>
        <v>Alto</v>
      </c>
      <c r="T425" s="16"/>
    </row>
    <row r="426" spans="1:20" ht="32.1" customHeight="1">
      <c r="A426" s="82" t="s">
        <v>4095</v>
      </c>
      <c r="B426" s="521" t="s">
        <v>2574</v>
      </c>
      <c r="C426" s="518" t="s">
        <v>2575</v>
      </c>
      <c r="D426" s="224">
        <v>72</v>
      </c>
      <c r="E426" s="200"/>
      <c r="F426" s="200"/>
      <c r="G426" s="200"/>
      <c r="H426" s="200"/>
      <c r="I426" s="200"/>
      <c r="J426" s="200"/>
      <c r="K426" s="200">
        <v>41.96</v>
      </c>
      <c r="L426" s="200"/>
      <c r="M426" s="200"/>
      <c r="N426" s="200"/>
      <c r="O426" s="200"/>
      <c r="P426" s="200"/>
      <c r="Q426" s="226">
        <f t="shared" si="30"/>
        <v>41.96</v>
      </c>
      <c r="R426" s="146" t="str">
        <f t="shared" ref="R426:R494" si="32">IF(Q426&lt;5,"SI","NO")</f>
        <v>NO</v>
      </c>
      <c r="S426" s="201" t="str">
        <f t="shared" si="31"/>
        <v>Alto</v>
      </c>
      <c r="T426" s="16"/>
    </row>
    <row r="427" spans="1:20" ht="32.1" customHeight="1">
      <c r="A427" s="82" t="s">
        <v>4095</v>
      </c>
      <c r="B427" s="522" t="s">
        <v>2576</v>
      </c>
      <c r="C427" s="519" t="s">
        <v>2577</v>
      </c>
      <c r="D427" s="199">
        <v>40</v>
      </c>
      <c r="E427" s="200"/>
      <c r="F427" s="200"/>
      <c r="G427" s="200"/>
      <c r="H427" s="200"/>
      <c r="I427" s="200"/>
      <c r="J427" s="200">
        <v>41.96</v>
      </c>
      <c r="K427" s="200"/>
      <c r="L427" s="200"/>
      <c r="M427" s="200"/>
      <c r="N427" s="200"/>
      <c r="O427" s="200"/>
      <c r="P427" s="200"/>
      <c r="Q427" s="226">
        <f t="shared" ref="Q427:Q495" si="33">AVERAGE(E427:P427)</f>
        <v>41.96</v>
      </c>
      <c r="R427" s="146" t="str">
        <f t="shared" si="32"/>
        <v>NO</v>
      </c>
      <c r="S427" s="201" t="str">
        <f t="shared" si="31"/>
        <v>Alto</v>
      </c>
      <c r="T427" s="16"/>
    </row>
    <row r="428" spans="1:20" ht="32.1" customHeight="1">
      <c r="A428" s="82" t="s">
        <v>179</v>
      </c>
      <c r="B428" s="522" t="s">
        <v>2578</v>
      </c>
      <c r="C428" s="519" t="s">
        <v>2579</v>
      </c>
      <c r="D428" s="119">
        <v>127</v>
      </c>
      <c r="E428" s="200"/>
      <c r="F428" s="200">
        <v>0</v>
      </c>
      <c r="G428" s="200"/>
      <c r="H428" s="200"/>
      <c r="I428" s="200"/>
      <c r="J428" s="200"/>
      <c r="K428" s="200">
        <v>0</v>
      </c>
      <c r="L428" s="200"/>
      <c r="M428" s="200"/>
      <c r="N428" s="200"/>
      <c r="O428" s="200">
        <v>0</v>
      </c>
      <c r="P428" s="200"/>
      <c r="Q428" s="226">
        <f t="shared" si="33"/>
        <v>0</v>
      </c>
      <c r="R428" s="146" t="str">
        <f t="shared" si="32"/>
        <v>SI</v>
      </c>
      <c r="S428" s="201" t="str">
        <f t="shared" si="31"/>
        <v>Sin Riesgo</v>
      </c>
      <c r="T428" s="16"/>
    </row>
    <row r="429" spans="1:20" ht="32.1" customHeight="1">
      <c r="A429" s="82" t="s">
        <v>179</v>
      </c>
      <c r="B429" s="522" t="s">
        <v>2580</v>
      </c>
      <c r="C429" s="519" t="s">
        <v>2581</v>
      </c>
      <c r="D429" s="119">
        <v>27</v>
      </c>
      <c r="E429" s="200"/>
      <c r="F429" s="200"/>
      <c r="G429" s="200"/>
      <c r="H429" s="200"/>
      <c r="I429" s="200">
        <v>97.35</v>
      </c>
      <c r="J429" s="200"/>
      <c r="K429" s="200"/>
      <c r="L429" s="200"/>
      <c r="M429" s="200"/>
      <c r="N429" s="200"/>
      <c r="O429" s="200"/>
      <c r="P429" s="200"/>
      <c r="Q429" s="226">
        <f t="shared" si="33"/>
        <v>97.35</v>
      </c>
      <c r="R429" s="146" t="str">
        <f t="shared" si="32"/>
        <v>NO</v>
      </c>
      <c r="S429" s="201" t="str">
        <f t="shared" si="31"/>
        <v>Inviable Sanitariamente</v>
      </c>
      <c r="T429" s="16"/>
    </row>
    <row r="430" spans="1:20" ht="32.1" customHeight="1">
      <c r="A430" s="82" t="s">
        <v>179</v>
      </c>
      <c r="B430" s="522" t="s">
        <v>2582</v>
      </c>
      <c r="C430" s="527" t="s">
        <v>2583</v>
      </c>
      <c r="D430" s="119">
        <v>60</v>
      </c>
      <c r="E430" s="200">
        <v>97.35</v>
      </c>
      <c r="F430" s="200"/>
      <c r="G430" s="200"/>
      <c r="H430" s="200"/>
      <c r="I430" s="200"/>
      <c r="J430" s="200"/>
      <c r="K430" s="200"/>
      <c r="L430" s="200"/>
      <c r="M430" s="200"/>
      <c r="N430" s="200"/>
      <c r="O430" s="200"/>
      <c r="P430" s="200"/>
      <c r="Q430" s="226">
        <f t="shared" si="33"/>
        <v>97.35</v>
      </c>
      <c r="R430" s="146" t="str">
        <f t="shared" si="32"/>
        <v>NO</v>
      </c>
      <c r="S430" s="201" t="str">
        <f t="shared" si="31"/>
        <v>Inviable Sanitariamente</v>
      </c>
      <c r="T430" s="16"/>
    </row>
    <row r="431" spans="1:20" ht="32.1" customHeight="1">
      <c r="A431" s="82" t="s">
        <v>179</v>
      </c>
      <c r="B431" s="522" t="s">
        <v>2141</v>
      </c>
      <c r="C431" s="527" t="s">
        <v>2584</v>
      </c>
      <c r="D431" s="114">
        <v>50</v>
      </c>
      <c r="E431" s="200"/>
      <c r="F431" s="200"/>
      <c r="G431" s="200"/>
      <c r="H431" s="200"/>
      <c r="I431" s="200"/>
      <c r="J431" s="200"/>
      <c r="K431" s="200"/>
      <c r="L431" s="200"/>
      <c r="M431" s="200"/>
      <c r="N431" s="200"/>
      <c r="O431" s="200"/>
      <c r="P431" s="200"/>
      <c r="Q431" s="226" t="e">
        <f t="shared" si="33"/>
        <v>#DIV/0!</v>
      </c>
      <c r="R431" s="146" t="e">
        <f t="shared" si="32"/>
        <v>#DIV/0!</v>
      </c>
      <c r="S431" s="201" t="e">
        <f t="shared" si="31"/>
        <v>#DIV/0!</v>
      </c>
      <c r="T431" s="16"/>
    </row>
    <row r="432" spans="1:20" ht="32.1" customHeight="1">
      <c r="A432" s="82" t="s">
        <v>179</v>
      </c>
      <c r="B432" s="522" t="s">
        <v>2585</v>
      </c>
      <c r="C432" s="519" t="s">
        <v>2586</v>
      </c>
      <c r="D432" s="119">
        <v>30</v>
      </c>
      <c r="E432" s="200"/>
      <c r="F432" s="200"/>
      <c r="G432" s="200"/>
      <c r="H432" s="200"/>
      <c r="I432" s="200"/>
      <c r="J432" s="200"/>
      <c r="K432" s="200"/>
      <c r="L432" s="200"/>
      <c r="M432" s="200"/>
      <c r="N432" s="200"/>
      <c r="O432" s="200"/>
      <c r="P432" s="200"/>
      <c r="Q432" s="226" t="e">
        <f t="shared" si="33"/>
        <v>#DIV/0!</v>
      </c>
      <c r="R432" s="146" t="e">
        <f t="shared" si="32"/>
        <v>#DIV/0!</v>
      </c>
      <c r="S432" s="201" t="e">
        <f t="shared" si="31"/>
        <v>#DIV/0!</v>
      </c>
      <c r="T432" s="16"/>
    </row>
    <row r="433" spans="1:20" ht="32.1" customHeight="1">
      <c r="A433" s="82" t="s">
        <v>179</v>
      </c>
      <c r="B433" s="522" t="s">
        <v>2587</v>
      </c>
      <c r="C433" s="527" t="s">
        <v>2588</v>
      </c>
      <c r="D433" s="119">
        <v>38</v>
      </c>
      <c r="E433" s="200">
        <v>97.35</v>
      </c>
      <c r="F433" s="200"/>
      <c r="G433" s="200">
        <v>97.35</v>
      </c>
      <c r="H433" s="200"/>
      <c r="I433" s="200">
        <v>97.35</v>
      </c>
      <c r="J433" s="200"/>
      <c r="K433" s="200"/>
      <c r="L433" s="200"/>
      <c r="M433" s="200"/>
      <c r="N433" s="200"/>
      <c r="O433" s="200">
        <v>97.35</v>
      </c>
      <c r="P433" s="200"/>
      <c r="Q433" s="226">
        <f t="shared" si="33"/>
        <v>97.35</v>
      </c>
      <c r="R433" s="146" t="str">
        <f t="shared" si="32"/>
        <v>NO</v>
      </c>
      <c r="S433" s="201" t="str">
        <f t="shared" si="31"/>
        <v>Inviable Sanitariamente</v>
      </c>
      <c r="T433" s="16"/>
    </row>
    <row r="434" spans="1:20" ht="32.1" customHeight="1">
      <c r="A434" s="82" t="s">
        <v>179</v>
      </c>
      <c r="B434" s="522" t="s">
        <v>2589</v>
      </c>
      <c r="C434" s="527" t="s">
        <v>2590</v>
      </c>
      <c r="D434" s="207">
        <v>25</v>
      </c>
      <c r="E434" s="200"/>
      <c r="F434" s="200"/>
      <c r="G434" s="200"/>
      <c r="H434" s="200"/>
      <c r="I434" s="200"/>
      <c r="J434" s="200"/>
      <c r="K434" s="200"/>
      <c r="L434" s="200"/>
      <c r="M434" s="200"/>
      <c r="N434" s="200"/>
      <c r="O434" s="200"/>
      <c r="P434" s="200"/>
      <c r="Q434" s="226" t="e">
        <f t="shared" si="33"/>
        <v>#DIV/0!</v>
      </c>
      <c r="R434" s="146" t="e">
        <f t="shared" si="32"/>
        <v>#DIV/0!</v>
      </c>
      <c r="S434" s="201" t="e">
        <f t="shared" si="31"/>
        <v>#DIV/0!</v>
      </c>
      <c r="T434" s="16"/>
    </row>
    <row r="435" spans="1:20" ht="32.1" customHeight="1">
      <c r="A435" s="82" t="s">
        <v>179</v>
      </c>
      <c r="B435" s="522" t="s">
        <v>836</v>
      </c>
      <c r="C435" s="519" t="s">
        <v>2591</v>
      </c>
      <c r="D435" s="207">
        <v>60</v>
      </c>
      <c r="E435" s="200"/>
      <c r="F435" s="200">
        <v>0</v>
      </c>
      <c r="G435" s="200"/>
      <c r="H435" s="200">
        <v>0</v>
      </c>
      <c r="I435" s="200"/>
      <c r="J435" s="200">
        <v>0</v>
      </c>
      <c r="K435" s="200"/>
      <c r="L435" s="200"/>
      <c r="M435" s="200"/>
      <c r="N435" s="200"/>
      <c r="O435" s="200"/>
      <c r="P435" s="200"/>
      <c r="Q435" s="226">
        <f t="shared" ref="Q435:Q439" si="34">AVERAGE(E435:P435)</f>
        <v>0</v>
      </c>
      <c r="R435" s="146" t="str">
        <f t="shared" ref="R435:R439" si="35">IF(Q435&lt;5,"SI","NO")</f>
        <v>SI</v>
      </c>
      <c r="S435" s="201" t="str">
        <f t="shared" ref="S435:S439" si="36">IF(Q435&lt;5,"Sin Riesgo",IF(Q435 &lt;=14,"Bajo",IF(Q435&lt;=35,"Medio",IF(Q435&lt;=80,"Alto","Inviable Sanitariamente"))))</f>
        <v>Sin Riesgo</v>
      </c>
      <c r="T435" s="16"/>
    </row>
    <row r="436" spans="1:20" ht="32.1" customHeight="1">
      <c r="A436" s="82" t="s">
        <v>179</v>
      </c>
      <c r="B436" s="522" t="s">
        <v>4476</v>
      </c>
      <c r="C436" s="519" t="s">
        <v>4477</v>
      </c>
      <c r="D436" s="207">
        <v>100</v>
      </c>
      <c r="E436" s="200"/>
      <c r="F436" s="200"/>
      <c r="G436" s="200"/>
      <c r="H436" s="200"/>
      <c r="I436" s="200"/>
      <c r="J436" s="200">
        <v>0</v>
      </c>
      <c r="K436" s="200"/>
      <c r="L436" s="200"/>
      <c r="M436" s="200"/>
      <c r="N436" s="200"/>
      <c r="O436" s="200">
        <v>0</v>
      </c>
      <c r="P436" s="200"/>
      <c r="Q436" s="226">
        <f t="shared" si="34"/>
        <v>0</v>
      </c>
      <c r="R436" s="146" t="str">
        <f t="shared" si="35"/>
        <v>SI</v>
      </c>
      <c r="S436" s="201" t="str">
        <f t="shared" si="36"/>
        <v>Sin Riesgo</v>
      </c>
      <c r="T436" s="16"/>
    </row>
    <row r="437" spans="1:20" ht="32.1" customHeight="1">
      <c r="A437" s="82" t="s">
        <v>179</v>
      </c>
      <c r="B437" s="522" t="s">
        <v>4478</v>
      </c>
      <c r="C437" s="519" t="s">
        <v>4479</v>
      </c>
      <c r="D437" s="207">
        <v>127</v>
      </c>
      <c r="E437" s="200"/>
      <c r="F437" s="200">
        <v>0</v>
      </c>
      <c r="G437" s="200"/>
      <c r="H437" s="200"/>
      <c r="I437" s="200"/>
      <c r="J437" s="200"/>
      <c r="K437" s="200">
        <v>0</v>
      </c>
      <c r="L437" s="200"/>
      <c r="M437" s="200"/>
      <c r="N437" s="200"/>
      <c r="O437" s="200">
        <v>0</v>
      </c>
      <c r="P437" s="200"/>
      <c r="Q437" s="226">
        <f t="shared" si="34"/>
        <v>0</v>
      </c>
      <c r="R437" s="146" t="str">
        <f t="shared" si="35"/>
        <v>SI</v>
      </c>
      <c r="S437" s="201" t="str">
        <f t="shared" si="36"/>
        <v>Sin Riesgo</v>
      </c>
      <c r="T437" s="16"/>
    </row>
    <row r="438" spans="1:20" ht="32.1" customHeight="1">
      <c r="A438" s="82" t="s">
        <v>179</v>
      </c>
      <c r="B438" s="522" t="s">
        <v>2141</v>
      </c>
      <c r="C438" s="519" t="s">
        <v>4480</v>
      </c>
      <c r="D438" s="207">
        <v>60</v>
      </c>
      <c r="E438" s="200"/>
      <c r="F438" s="200"/>
      <c r="G438" s="200"/>
      <c r="H438" s="200"/>
      <c r="I438" s="200">
        <v>0</v>
      </c>
      <c r="J438" s="200"/>
      <c r="K438" s="200">
        <v>0</v>
      </c>
      <c r="L438" s="200"/>
      <c r="M438" s="200"/>
      <c r="N438" s="200"/>
      <c r="O438" s="200"/>
      <c r="P438" s="200"/>
      <c r="Q438" s="226">
        <f t="shared" si="34"/>
        <v>0</v>
      </c>
      <c r="R438" s="146" t="str">
        <f t="shared" si="35"/>
        <v>SI</v>
      </c>
      <c r="S438" s="201" t="str">
        <f t="shared" si="36"/>
        <v>Sin Riesgo</v>
      </c>
      <c r="T438" s="16"/>
    </row>
    <row r="439" spans="1:20" ht="32.1" customHeight="1">
      <c r="A439" s="82" t="s">
        <v>179</v>
      </c>
      <c r="B439" s="522" t="s">
        <v>2580</v>
      </c>
      <c r="C439" s="519" t="s">
        <v>4481</v>
      </c>
      <c r="D439" s="207">
        <v>30</v>
      </c>
      <c r="E439" s="200"/>
      <c r="F439" s="200"/>
      <c r="G439" s="200"/>
      <c r="H439" s="200"/>
      <c r="I439" s="200">
        <v>0</v>
      </c>
      <c r="J439" s="200"/>
      <c r="K439" s="200">
        <v>0</v>
      </c>
      <c r="L439" s="200"/>
      <c r="M439" s="200"/>
      <c r="N439" s="200"/>
      <c r="O439" s="200">
        <v>0</v>
      </c>
      <c r="P439" s="200"/>
      <c r="Q439" s="226">
        <f t="shared" si="34"/>
        <v>0</v>
      </c>
      <c r="R439" s="146" t="str">
        <f t="shared" si="35"/>
        <v>SI</v>
      </c>
      <c r="S439" s="201" t="str">
        <f t="shared" si="36"/>
        <v>Sin Riesgo</v>
      </c>
      <c r="T439" s="16"/>
    </row>
    <row r="440" spans="1:20" ht="32.1" customHeight="1">
      <c r="A440" s="82" t="s">
        <v>179</v>
      </c>
      <c r="B440" s="522" t="s">
        <v>4482</v>
      </c>
      <c r="C440" s="519" t="s">
        <v>4483</v>
      </c>
      <c r="D440" s="207">
        <v>10</v>
      </c>
      <c r="E440" s="200"/>
      <c r="F440" s="200"/>
      <c r="G440" s="200"/>
      <c r="H440" s="200"/>
      <c r="I440" s="200">
        <v>0</v>
      </c>
      <c r="J440" s="200"/>
      <c r="K440" s="200"/>
      <c r="L440" s="200"/>
      <c r="M440" s="200"/>
      <c r="N440" s="200"/>
      <c r="O440" s="200"/>
      <c r="P440" s="200"/>
      <c r="Q440" s="226">
        <f t="shared" si="33"/>
        <v>0</v>
      </c>
      <c r="R440" s="146" t="str">
        <f t="shared" si="32"/>
        <v>SI</v>
      </c>
      <c r="S440" s="201" t="str">
        <f t="shared" si="31"/>
        <v>Sin Riesgo</v>
      </c>
      <c r="T440" s="16"/>
    </row>
    <row r="441" spans="1:20" ht="32.1" customHeight="1">
      <c r="A441" s="82" t="s">
        <v>180</v>
      </c>
      <c r="B441" s="522" t="s">
        <v>2592</v>
      </c>
      <c r="C441" s="519" t="s">
        <v>2593</v>
      </c>
      <c r="D441" s="119">
        <v>20</v>
      </c>
      <c r="E441" s="200">
        <v>8.4</v>
      </c>
      <c r="F441" s="200"/>
      <c r="G441" s="200">
        <v>26.5</v>
      </c>
      <c r="H441" s="200"/>
      <c r="I441" s="200">
        <v>0</v>
      </c>
      <c r="J441" s="200"/>
      <c r="K441" s="200">
        <v>0</v>
      </c>
      <c r="L441" s="200"/>
      <c r="M441" s="200">
        <v>0</v>
      </c>
      <c r="N441" s="200"/>
      <c r="O441" s="200"/>
      <c r="P441" s="200">
        <v>97.34</v>
      </c>
      <c r="Q441" s="226">
        <v>97.3</v>
      </c>
      <c r="R441" s="146" t="str">
        <f t="shared" si="32"/>
        <v>NO</v>
      </c>
      <c r="S441" s="201" t="str">
        <f t="shared" si="31"/>
        <v>Inviable Sanitariamente</v>
      </c>
    </row>
    <row r="442" spans="1:20" ht="32.1" customHeight="1">
      <c r="A442" s="82" t="s">
        <v>180</v>
      </c>
      <c r="B442" s="522" t="s">
        <v>2594</v>
      </c>
      <c r="C442" s="519" t="s">
        <v>2595</v>
      </c>
      <c r="D442" s="119">
        <v>104</v>
      </c>
      <c r="E442" s="200">
        <v>97.4</v>
      </c>
      <c r="F442" s="200"/>
      <c r="G442" s="200">
        <v>0</v>
      </c>
      <c r="H442" s="200"/>
      <c r="I442" s="200">
        <v>0</v>
      </c>
      <c r="J442" s="200"/>
      <c r="K442" s="200">
        <v>97.4</v>
      </c>
      <c r="L442" s="200"/>
      <c r="M442" s="200">
        <v>0</v>
      </c>
      <c r="N442" s="200"/>
      <c r="O442" s="200"/>
      <c r="P442" s="200">
        <v>97.4</v>
      </c>
      <c r="Q442" s="226">
        <f t="shared" si="33"/>
        <v>48.70000000000001</v>
      </c>
      <c r="R442" s="146" t="str">
        <f t="shared" si="32"/>
        <v>NO</v>
      </c>
      <c r="S442" s="201" t="str">
        <f t="shared" si="31"/>
        <v>Alto</v>
      </c>
    </row>
    <row r="443" spans="1:20" ht="32.1" customHeight="1">
      <c r="A443" s="82" t="s">
        <v>180</v>
      </c>
      <c r="B443" s="522" t="s">
        <v>2596</v>
      </c>
      <c r="C443" s="519" t="s">
        <v>2597</v>
      </c>
      <c r="D443" s="119">
        <v>187</v>
      </c>
      <c r="E443" s="200"/>
      <c r="F443" s="200"/>
      <c r="G443" s="200"/>
      <c r="H443" s="200"/>
      <c r="I443" s="200"/>
      <c r="J443" s="200">
        <v>97.4</v>
      </c>
      <c r="K443" s="200"/>
      <c r="L443" s="200"/>
      <c r="M443" s="200"/>
      <c r="N443" s="200"/>
      <c r="O443" s="200">
        <v>97.4</v>
      </c>
      <c r="P443" s="200"/>
      <c r="Q443" s="226">
        <f t="shared" si="33"/>
        <v>97.4</v>
      </c>
      <c r="R443" s="146" t="str">
        <f t="shared" si="32"/>
        <v>NO</v>
      </c>
      <c r="S443" s="201" t="str">
        <f t="shared" si="31"/>
        <v>Inviable Sanitariamente</v>
      </c>
    </row>
    <row r="444" spans="1:20" ht="32.1" customHeight="1">
      <c r="A444" s="82" t="s">
        <v>180</v>
      </c>
      <c r="B444" s="522" t="s">
        <v>2598</v>
      </c>
      <c r="C444" s="519" t="s">
        <v>2599</v>
      </c>
      <c r="D444" s="119">
        <v>148</v>
      </c>
      <c r="E444" s="200"/>
      <c r="F444" s="200"/>
      <c r="G444" s="200">
        <v>97.4</v>
      </c>
      <c r="H444" s="200"/>
      <c r="I444" s="200"/>
      <c r="J444" s="200"/>
      <c r="K444" s="200"/>
      <c r="L444" s="200"/>
      <c r="M444" s="200"/>
      <c r="N444" s="200"/>
      <c r="O444" s="200">
        <v>97.4</v>
      </c>
      <c r="P444" s="200"/>
      <c r="Q444" s="226">
        <f t="shared" si="33"/>
        <v>97.4</v>
      </c>
      <c r="R444" s="146" t="str">
        <f t="shared" si="32"/>
        <v>NO</v>
      </c>
      <c r="S444" s="201" t="str">
        <f t="shared" si="31"/>
        <v>Inviable Sanitariamente</v>
      </c>
    </row>
    <row r="445" spans="1:20" ht="32.1" customHeight="1">
      <c r="A445" s="82" t="s">
        <v>180</v>
      </c>
      <c r="B445" s="522" t="s">
        <v>2600</v>
      </c>
      <c r="C445" s="519" t="s">
        <v>2601</v>
      </c>
      <c r="D445" s="199">
        <v>36</v>
      </c>
      <c r="E445" s="200"/>
      <c r="F445" s="200"/>
      <c r="G445" s="200">
        <v>97.4</v>
      </c>
      <c r="H445" s="200"/>
      <c r="I445" s="200"/>
      <c r="J445" s="200"/>
      <c r="K445" s="200"/>
      <c r="L445" s="200"/>
      <c r="M445" s="200"/>
      <c r="N445" s="200"/>
      <c r="O445" s="200">
        <v>97.4</v>
      </c>
      <c r="P445" s="200"/>
      <c r="Q445" s="226">
        <f t="shared" si="33"/>
        <v>97.4</v>
      </c>
      <c r="R445" s="146" t="str">
        <f t="shared" si="32"/>
        <v>NO</v>
      </c>
      <c r="S445" s="201" t="str">
        <f t="shared" si="31"/>
        <v>Inviable Sanitariamente</v>
      </c>
    </row>
    <row r="446" spans="1:20" ht="32.1" customHeight="1">
      <c r="A446" s="82" t="s">
        <v>180</v>
      </c>
      <c r="B446" s="522" t="s">
        <v>1742</v>
      </c>
      <c r="C446" s="519" t="s">
        <v>2602</v>
      </c>
      <c r="D446" s="119">
        <v>32</v>
      </c>
      <c r="E446" s="200"/>
      <c r="F446" s="200"/>
      <c r="G446" s="200"/>
      <c r="H446" s="200"/>
      <c r="I446" s="200">
        <v>97.4</v>
      </c>
      <c r="J446" s="200"/>
      <c r="K446" s="200"/>
      <c r="L446" s="200"/>
      <c r="M446" s="200"/>
      <c r="N446" s="200">
        <v>97.4</v>
      </c>
      <c r="O446" s="200"/>
      <c r="P446" s="200"/>
      <c r="Q446" s="226">
        <f t="shared" si="33"/>
        <v>97.4</v>
      </c>
      <c r="R446" s="146" t="str">
        <f t="shared" si="32"/>
        <v>NO</v>
      </c>
      <c r="S446" s="201" t="str">
        <f t="shared" si="31"/>
        <v>Inviable Sanitariamente</v>
      </c>
    </row>
    <row r="447" spans="1:20" ht="32.1" customHeight="1">
      <c r="A447" s="82" t="s">
        <v>180</v>
      </c>
      <c r="B447" s="522" t="s">
        <v>65</v>
      </c>
      <c r="C447" s="519" t="s">
        <v>2603</v>
      </c>
      <c r="D447" s="114">
        <v>138</v>
      </c>
      <c r="E447" s="200"/>
      <c r="F447" s="200">
        <v>97.4</v>
      </c>
      <c r="G447" s="200"/>
      <c r="H447" s="200"/>
      <c r="I447" s="200"/>
      <c r="J447" s="200"/>
      <c r="K447" s="200"/>
      <c r="L447" s="200"/>
      <c r="M447" s="200"/>
      <c r="N447" s="200">
        <v>97.4</v>
      </c>
      <c r="O447" s="200"/>
      <c r="P447" s="200"/>
      <c r="Q447" s="226">
        <f t="shared" si="33"/>
        <v>97.4</v>
      </c>
      <c r="R447" s="146" t="str">
        <f t="shared" si="32"/>
        <v>NO</v>
      </c>
      <c r="S447" s="201" t="str">
        <f t="shared" si="31"/>
        <v>Inviable Sanitariamente</v>
      </c>
    </row>
    <row r="448" spans="1:20" ht="32.1" customHeight="1">
      <c r="A448" s="82" t="s">
        <v>180</v>
      </c>
      <c r="B448" s="522" t="s">
        <v>631</v>
      </c>
      <c r="C448" s="519" t="s">
        <v>2604</v>
      </c>
      <c r="D448" s="119">
        <v>56</v>
      </c>
      <c r="E448" s="200">
        <v>0</v>
      </c>
      <c r="F448" s="200"/>
      <c r="G448" s="200">
        <v>0</v>
      </c>
      <c r="H448" s="200"/>
      <c r="I448" s="200">
        <v>0</v>
      </c>
      <c r="J448" s="200"/>
      <c r="K448" s="200">
        <v>26.5</v>
      </c>
      <c r="L448" s="200"/>
      <c r="M448" s="200">
        <v>0</v>
      </c>
      <c r="N448" s="200"/>
      <c r="O448" s="200"/>
      <c r="P448" s="200">
        <v>0</v>
      </c>
      <c r="Q448" s="226">
        <f t="shared" si="33"/>
        <v>4.416666666666667</v>
      </c>
      <c r="R448" s="146" t="str">
        <f t="shared" si="32"/>
        <v>SI</v>
      </c>
      <c r="S448" s="201" t="str">
        <f t="shared" si="31"/>
        <v>Sin Riesgo</v>
      </c>
    </row>
    <row r="449" spans="1:19" ht="32.1" customHeight="1">
      <c r="A449" s="82" t="s">
        <v>180</v>
      </c>
      <c r="B449" s="522" t="s">
        <v>2605</v>
      </c>
      <c r="C449" s="519" t="s">
        <v>2606</v>
      </c>
      <c r="D449" s="119">
        <v>150</v>
      </c>
      <c r="E449" s="200"/>
      <c r="F449" s="200"/>
      <c r="G449" s="200"/>
      <c r="H449" s="200"/>
      <c r="I449" s="200"/>
      <c r="J449" s="200">
        <v>97.4</v>
      </c>
      <c r="K449" s="200"/>
      <c r="L449" s="200"/>
      <c r="M449" s="200"/>
      <c r="N449" s="200">
        <v>97.4</v>
      </c>
      <c r="O449" s="200"/>
      <c r="P449" s="200"/>
      <c r="Q449" s="226">
        <f t="shared" si="33"/>
        <v>97.4</v>
      </c>
      <c r="R449" s="146" t="str">
        <f t="shared" si="32"/>
        <v>NO</v>
      </c>
      <c r="S449" s="201" t="str">
        <f t="shared" si="31"/>
        <v>Inviable Sanitariamente</v>
      </c>
    </row>
    <row r="450" spans="1:19" ht="32.1" customHeight="1">
      <c r="A450" s="82" t="s">
        <v>180</v>
      </c>
      <c r="B450" s="110" t="s">
        <v>2607</v>
      </c>
      <c r="C450" s="527" t="s">
        <v>2608</v>
      </c>
      <c r="D450" s="207">
        <v>87</v>
      </c>
      <c r="E450" s="200"/>
      <c r="F450" s="200">
        <v>97.4</v>
      </c>
      <c r="G450" s="200"/>
      <c r="H450" s="200"/>
      <c r="I450" s="200"/>
      <c r="J450" s="200"/>
      <c r="K450" s="200"/>
      <c r="L450" s="200"/>
      <c r="M450" s="200"/>
      <c r="N450" s="200"/>
      <c r="O450" s="200">
        <v>97.4</v>
      </c>
      <c r="P450" s="200"/>
      <c r="Q450" s="226">
        <f t="shared" si="33"/>
        <v>97.4</v>
      </c>
      <c r="R450" s="146" t="str">
        <f t="shared" si="32"/>
        <v>NO</v>
      </c>
      <c r="S450" s="201" t="str">
        <f t="shared" si="31"/>
        <v>Inviable Sanitariamente</v>
      </c>
    </row>
    <row r="451" spans="1:19" ht="32.1" customHeight="1">
      <c r="A451" s="82" t="s">
        <v>180</v>
      </c>
      <c r="B451" s="522" t="s">
        <v>2609</v>
      </c>
      <c r="C451" s="527" t="s">
        <v>2610</v>
      </c>
      <c r="D451" s="199">
        <v>52</v>
      </c>
      <c r="E451" s="200"/>
      <c r="F451" s="200"/>
      <c r="G451" s="200"/>
      <c r="H451" s="200"/>
      <c r="I451" s="200"/>
      <c r="J451" s="200">
        <v>97.4</v>
      </c>
      <c r="K451" s="200"/>
      <c r="L451" s="200"/>
      <c r="M451" s="200"/>
      <c r="N451" s="200">
        <v>97.4</v>
      </c>
      <c r="O451" s="200"/>
      <c r="P451" s="200"/>
      <c r="Q451" s="226">
        <f t="shared" si="33"/>
        <v>97.4</v>
      </c>
      <c r="R451" s="146" t="str">
        <f t="shared" si="32"/>
        <v>NO</v>
      </c>
      <c r="S451" s="201" t="str">
        <f t="shared" si="31"/>
        <v>Inviable Sanitariamente</v>
      </c>
    </row>
    <row r="452" spans="1:19" ht="32.1" customHeight="1">
      <c r="A452" s="82" t="s">
        <v>180</v>
      </c>
      <c r="B452" s="522" t="s">
        <v>2611</v>
      </c>
      <c r="C452" s="519" t="s">
        <v>2612</v>
      </c>
      <c r="D452" s="119">
        <v>68</v>
      </c>
      <c r="E452" s="200"/>
      <c r="F452" s="200"/>
      <c r="G452" s="200"/>
      <c r="H452" s="200"/>
      <c r="I452" s="200"/>
      <c r="J452" s="200">
        <v>97.4</v>
      </c>
      <c r="K452" s="200"/>
      <c r="L452" s="200"/>
      <c r="M452" s="200"/>
      <c r="N452" s="200"/>
      <c r="O452" s="200">
        <v>97.4</v>
      </c>
      <c r="P452" s="200"/>
      <c r="Q452" s="226">
        <f t="shared" si="33"/>
        <v>97.4</v>
      </c>
      <c r="R452" s="146" t="str">
        <f t="shared" si="32"/>
        <v>NO</v>
      </c>
      <c r="S452" s="201" t="str">
        <f t="shared" si="31"/>
        <v>Inviable Sanitariamente</v>
      </c>
    </row>
    <row r="453" spans="1:19" ht="32.1" customHeight="1">
      <c r="A453" s="82" t="s">
        <v>180</v>
      </c>
      <c r="B453" s="522" t="s">
        <v>66</v>
      </c>
      <c r="C453" s="527" t="s">
        <v>2613</v>
      </c>
      <c r="D453" s="114">
        <v>94</v>
      </c>
      <c r="E453" s="200"/>
      <c r="F453" s="200"/>
      <c r="G453" s="200">
        <v>97.4</v>
      </c>
      <c r="H453" s="200"/>
      <c r="I453" s="200"/>
      <c r="J453" s="200"/>
      <c r="K453" s="200"/>
      <c r="L453" s="200"/>
      <c r="M453" s="200"/>
      <c r="N453" s="200">
        <v>97.4</v>
      </c>
      <c r="O453" s="200"/>
      <c r="P453" s="200"/>
      <c r="Q453" s="226">
        <f t="shared" si="33"/>
        <v>97.4</v>
      </c>
      <c r="R453" s="146" t="str">
        <f t="shared" si="32"/>
        <v>NO</v>
      </c>
      <c r="S453" s="201" t="str">
        <f t="shared" si="31"/>
        <v>Inviable Sanitariamente</v>
      </c>
    </row>
    <row r="454" spans="1:19" ht="32.1" customHeight="1">
      <c r="A454" s="82" t="s">
        <v>180</v>
      </c>
      <c r="B454" s="522" t="s">
        <v>2614</v>
      </c>
      <c r="C454" s="519" t="s">
        <v>2615</v>
      </c>
      <c r="D454" s="119">
        <v>61</v>
      </c>
      <c r="E454" s="200"/>
      <c r="F454" s="200"/>
      <c r="G454" s="200">
        <v>97.4</v>
      </c>
      <c r="H454" s="200"/>
      <c r="I454" s="200"/>
      <c r="J454" s="200"/>
      <c r="K454" s="200"/>
      <c r="L454" s="200"/>
      <c r="M454" s="200">
        <v>97.4</v>
      </c>
      <c r="N454" s="200"/>
      <c r="O454" s="200"/>
      <c r="P454" s="200"/>
      <c r="Q454" s="226">
        <f t="shared" si="33"/>
        <v>97.4</v>
      </c>
      <c r="R454" s="146" t="str">
        <f t="shared" si="32"/>
        <v>NO</v>
      </c>
      <c r="S454" s="201" t="str">
        <f t="shared" si="31"/>
        <v>Inviable Sanitariamente</v>
      </c>
    </row>
    <row r="455" spans="1:19" ht="32.1" customHeight="1">
      <c r="A455" s="82" t="s">
        <v>180</v>
      </c>
      <c r="B455" s="522" t="s">
        <v>2616</v>
      </c>
      <c r="C455" s="519" t="s">
        <v>2617</v>
      </c>
      <c r="D455" s="119">
        <v>37</v>
      </c>
      <c r="E455" s="200"/>
      <c r="F455" s="200"/>
      <c r="G455" s="200"/>
      <c r="H455" s="200"/>
      <c r="I455" s="200"/>
      <c r="J455" s="200">
        <v>97.4</v>
      </c>
      <c r="K455" s="200"/>
      <c r="L455" s="200"/>
      <c r="M455" s="200"/>
      <c r="N455" s="200"/>
      <c r="O455" s="200">
        <v>97.4</v>
      </c>
      <c r="P455" s="200"/>
      <c r="Q455" s="226">
        <f t="shared" si="33"/>
        <v>97.4</v>
      </c>
      <c r="R455" s="146" t="str">
        <f t="shared" si="32"/>
        <v>NO</v>
      </c>
      <c r="S455" s="201" t="str">
        <f t="shared" si="31"/>
        <v>Inviable Sanitariamente</v>
      </c>
    </row>
    <row r="456" spans="1:19" ht="32.1" customHeight="1">
      <c r="A456" s="82" t="s">
        <v>180</v>
      </c>
      <c r="B456" s="522" t="s">
        <v>2618</v>
      </c>
      <c r="C456" s="519" t="s">
        <v>2619</v>
      </c>
      <c r="D456" s="119">
        <v>70</v>
      </c>
      <c r="E456" s="200"/>
      <c r="F456" s="200">
        <v>97.4</v>
      </c>
      <c r="G456" s="200"/>
      <c r="H456" s="200"/>
      <c r="I456" s="200"/>
      <c r="J456" s="200"/>
      <c r="K456" s="200"/>
      <c r="L456" s="200"/>
      <c r="M456" s="200"/>
      <c r="N456" s="200">
        <v>97.4</v>
      </c>
      <c r="O456" s="200"/>
      <c r="P456" s="200"/>
      <c r="Q456" s="226">
        <f t="shared" si="33"/>
        <v>97.4</v>
      </c>
      <c r="R456" s="146" t="str">
        <f t="shared" si="32"/>
        <v>NO</v>
      </c>
      <c r="S456" s="201" t="str">
        <f t="shared" si="31"/>
        <v>Inviable Sanitariamente</v>
      </c>
    </row>
    <row r="457" spans="1:19" ht="32.1" customHeight="1">
      <c r="A457" s="82" t="s">
        <v>180</v>
      </c>
      <c r="B457" s="522" t="s">
        <v>2620</v>
      </c>
      <c r="C457" s="519" t="s">
        <v>2621</v>
      </c>
      <c r="D457" s="199">
        <v>63</v>
      </c>
      <c r="E457" s="200"/>
      <c r="F457" s="200"/>
      <c r="G457" s="200">
        <v>97.4</v>
      </c>
      <c r="H457" s="200"/>
      <c r="I457" s="200"/>
      <c r="J457" s="200"/>
      <c r="K457" s="200"/>
      <c r="L457" s="200"/>
      <c r="M457" s="200"/>
      <c r="N457" s="200"/>
      <c r="O457" s="200">
        <v>97.4</v>
      </c>
      <c r="P457" s="200"/>
      <c r="Q457" s="226">
        <f t="shared" si="33"/>
        <v>97.4</v>
      </c>
      <c r="R457" s="146" t="str">
        <f t="shared" si="32"/>
        <v>NO</v>
      </c>
      <c r="S457" s="201" t="str">
        <f t="shared" si="31"/>
        <v>Inviable Sanitariamente</v>
      </c>
    </row>
    <row r="458" spans="1:19" ht="32.1" customHeight="1">
      <c r="A458" s="82" t="s">
        <v>180</v>
      </c>
      <c r="B458" s="522" t="s">
        <v>61</v>
      </c>
      <c r="C458" s="519" t="s">
        <v>2622</v>
      </c>
      <c r="D458" s="199">
        <v>43</v>
      </c>
      <c r="E458" s="200"/>
      <c r="F458" s="200"/>
      <c r="G458" s="200"/>
      <c r="H458" s="200">
        <v>97.4</v>
      </c>
      <c r="I458" s="200"/>
      <c r="J458" s="200"/>
      <c r="K458" s="200"/>
      <c r="L458" s="200"/>
      <c r="M458" s="200"/>
      <c r="N458" s="200">
        <v>97.4</v>
      </c>
      <c r="O458" s="200"/>
      <c r="P458" s="200"/>
      <c r="Q458" s="226">
        <f t="shared" si="33"/>
        <v>97.4</v>
      </c>
      <c r="R458" s="146" t="str">
        <f t="shared" si="32"/>
        <v>NO</v>
      </c>
      <c r="S458" s="201" t="str">
        <f t="shared" si="31"/>
        <v>Inviable Sanitariamente</v>
      </c>
    </row>
    <row r="459" spans="1:19" ht="32.1" customHeight="1">
      <c r="A459" s="82" t="s">
        <v>180</v>
      </c>
      <c r="B459" s="522" t="s">
        <v>2623</v>
      </c>
      <c r="C459" s="519" t="s">
        <v>2624</v>
      </c>
      <c r="D459" s="119">
        <v>16</v>
      </c>
      <c r="E459" s="200"/>
      <c r="F459" s="200"/>
      <c r="G459" s="200"/>
      <c r="H459" s="200"/>
      <c r="I459" s="200"/>
      <c r="J459" s="200">
        <v>97.4</v>
      </c>
      <c r="K459" s="200"/>
      <c r="L459" s="200"/>
      <c r="M459" s="200"/>
      <c r="N459" s="200"/>
      <c r="O459" s="200">
        <v>97.4</v>
      </c>
      <c r="P459" s="200"/>
      <c r="Q459" s="226">
        <f t="shared" si="33"/>
        <v>97.4</v>
      </c>
      <c r="R459" s="146" t="str">
        <f t="shared" si="32"/>
        <v>NO</v>
      </c>
      <c r="S459" s="201" t="str">
        <f t="shared" si="31"/>
        <v>Inviable Sanitariamente</v>
      </c>
    </row>
    <row r="460" spans="1:19" ht="32.1" customHeight="1">
      <c r="A460" s="82" t="s">
        <v>180</v>
      </c>
      <c r="B460" s="522" t="s">
        <v>2625</v>
      </c>
      <c r="C460" s="519" t="s">
        <v>2626</v>
      </c>
      <c r="D460" s="199">
        <v>20</v>
      </c>
      <c r="E460" s="200"/>
      <c r="F460" s="200"/>
      <c r="G460" s="200"/>
      <c r="H460" s="200"/>
      <c r="I460" s="200"/>
      <c r="J460" s="200">
        <v>97.4</v>
      </c>
      <c r="K460" s="200"/>
      <c r="L460" s="200"/>
      <c r="M460" s="200"/>
      <c r="N460" s="200"/>
      <c r="O460" s="200">
        <v>97.4</v>
      </c>
      <c r="P460" s="200"/>
      <c r="Q460" s="226">
        <f t="shared" si="33"/>
        <v>97.4</v>
      </c>
      <c r="R460" s="146" t="str">
        <f t="shared" si="32"/>
        <v>NO</v>
      </c>
      <c r="S460" s="201" t="str">
        <f t="shared" si="31"/>
        <v>Inviable Sanitariamente</v>
      </c>
    </row>
    <row r="461" spans="1:19" ht="32.1" customHeight="1">
      <c r="A461" s="82" t="s">
        <v>180</v>
      </c>
      <c r="B461" s="522" t="s">
        <v>2627</v>
      </c>
      <c r="C461" s="519" t="s">
        <v>2628</v>
      </c>
      <c r="D461" s="199">
        <v>36</v>
      </c>
      <c r="E461" s="200"/>
      <c r="F461" s="200"/>
      <c r="G461" s="200"/>
      <c r="H461" s="200">
        <v>97.4</v>
      </c>
      <c r="I461" s="200"/>
      <c r="J461" s="200"/>
      <c r="K461" s="200"/>
      <c r="L461" s="200"/>
      <c r="M461" s="200"/>
      <c r="N461" s="200">
        <v>97.4</v>
      </c>
      <c r="O461" s="200"/>
      <c r="P461" s="200"/>
      <c r="Q461" s="226">
        <f t="shared" si="33"/>
        <v>97.4</v>
      </c>
      <c r="R461" s="146" t="str">
        <f t="shared" si="32"/>
        <v>NO</v>
      </c>
      <c r="S461" s="201" t="str">
        <f t="shared" si="31"/>
        <v>Inviable Sanitariamente</v>
      </c>
    </row>
    <row r="462" spans="1:19" ht="32.1" customHeight="1">
      <c r="A462" s="82" t="s">
        <v>180</v>
      </c>
      <c r="B462" s="522" t="s">
        <v>2629</v>
      </c>
      <c r="C462" s="519" t="s">
        <v>2630</v>
      </c>
      <c r="D462" s="199">
        <v>99</v>
      </c>
      <c r="E462" s="200"/>
      <c r="F462" s="200"/>
      <c r="G462" s="200"/>
      <c r="H462" s="200"/>
      <c r="I462" s="200"/>
      <c r="J462" s="200">
        <v>97.4</v>
      </c>
      <c r="K462" s="200"/>
      <c r="L462" s="200"/>
      <c r="M462" s="200"/>
      <c r="N462" s="200">
        <v>97.4</v>
      </c>
      <c r="O462" s="200"/>
      <c r="P462" s="200"/>
      <c r="Q462" s="226">
        <f t="shared" si="33"/>
        <v>97.4</v>
      </c>
      <c r="R462" s="146" t="str">
        <f t="shared" si="32"/>
        <v>NO</v>
      </c>
      <c r="S462" s="201" t="str">
        <f t="shared" si="31"/>
        <v>Inviable Sanitariamente</v>
      </c>
    </row>
    <row r="463" spans="1:19" ht="32.1" customHeight="1">
      <c r="A463" s="82" t="s">
        <v>180</v>
      </c>
      <c r="B463" s="522" t="s">
        <v>2611</v>
      </c>
      <c r="C463" s="519" t="s">
        <v>2631</v>
      </c>
      <c r="D463" s="199">
        <v>27</v>
      </c>
      <c r="E463" s="200"/>
      <c r="F463" s="200"/>
      <c r="G463" s="200"/>
      <c r="H463" s="200"/>
      <c r="I463" s="200"/>
      <c r="J463" s="200">
        <v>97.4</v>
      </c>
      <c r="K463" s="200"/>
      <c r="L463" s="200"/>
      <c r="M463" s="200"/>
      <c r="N463" s="200"/>
      <c r="O463" s="200">
        <v>97.4</v>
      </c>
      <c r="P463" s="200"/>
      <c r="Q463" s="226">
        <f t="shared" si="33"/>
        <v>97.4</v>
      </c>
      <c r="R463" s="146" t="str">
        <f t="shared" si="32"/>
        <v>NO</v>
      </c>
      <c r="S463" s="201" t="str">
        <f t="shared" ref="S463:S521" si="37">IF(Q463&lt;5,"Sin Riesgo",IF(Q463 &lt;=14,"Bajo",IF(Q463&lt;=35,"Medio",IF(Q463&lt;=80,"Alto","Inviable Sanitariamente"))))</f>
        <v>Inviable Sanitariamente</v>
      </c>
    </row>
    <row r="464" spans="1:19" ht="32.1" customHeight="1">
      <c r="A464" s="82" t="s">
        <v>181</v>
      </c>
      <c r="B464" s="522" t="s">
        <v>2632</v>
      </c>
      <c r="C464" s="519" t="s">
        <v>2633</v>
      </c>
      <c r="D464" s="199"/>
      <c r="E464" s="200"/>
      <c r="F464" s="200"/>
      <c r="G464" s="200"/>
      <c r="H464" s="200"/>
      <c r="I464" s="200"/>
      <c r="J464" s="200"/>
      <c r="K464" s="200"/>
      <c r="L464" s="200"/>
      <c r="M464" s="200"/>
      <c r="N464" s="200"/>
      <c r="O464" s="200"/>
      <c r="P464" s="200"/>
      <c r="Q464" s="226" t="e">
        <f t="shared" si="33"/>
        <v>#DIV/0!</v>
      </c>
      <c r="R464" s="146" t="e">
        <f t="shared" si="32"/>
        <v>#DIV/0!</v>
      </c>
      <c r="S464" s="201" t="e">
        <f t="shared" si="37"/>
        <v>#DIV/0!</v>
      </c>
    </row>
    <row r="465" spans="1:19" ht="32.1" customHeight="1">
      <c r="A465" s="82" t="s">
        <v>181</v>
      </c>
      <c r="B465" s="522" t="s">
        <v>2634</v>
      </c>
      <c r="C465" s="519" t="s">
        <v>2635</v>
      </c>
      <c r="D465" s="199">
        <v>52</v>
      </c>
      <c r="E465" s="200"/>
      <c r="F465" s="200"/>
      <c r="G465" s="200"/>
      <c r="H465" s="200">
        <v>95</v>
      </c>
      <c r="I465" s="200"/>
      <c r="J465" s="200"/>
      <c r="K465" s="200"/>
      <c r="L465" s="200"/>
      <c r="M465" s="200"/>
      <c r="N465" s="200"/>
      <c r="O465" s="200"/>
      <c r="P465" s="200"/>
      <c r="Q465" s="226">
        <f t="shared" si="33"/>
        <v>95</v>
      </c>
      <c r="R465" s="146" t="str">
        <f t="shared" si="32"/>
        <v>NO</v>
      </c>
      <c r="S465" s="201" t="str">
        <f t="shared" si="37"/>
        <v>Inviable Sanitariamente</v>
      </c>
    </row>
    <row r="466" spans="1:19" ht="32.1" customHeight="1">
      <c r="A466" s="82" t="s">
        <v>181</v>
      </c>
      <c r="B466" s="522" t="s">
        <v>2636</v>
      </c>
      <c r="C466" s="519" t="s">
        <v>2637</v>
      </c>
      <c r="D466" s="199"/>
      <c r="E466" s="200"/>
      <c r="F466" s="200"/>
      <c r="G466" s="200"/>
      <c r="H466" s="200"/>
      <c r="I466" s="200"/>
      <c r="J466" s="200"/>
      <c r="K466" s="200"/>
      <c r="L466" s="200"/>
      <c r="M466" s="200"/>
      <c r="N466" s="200"/>
      <c r="O466" s="200"/>
      <c r="P466" s="200"/>
      <c r="Q466" s="226" t="e">
        <f t="shared" si="33"/>
        <v>#DIV/0!</v>
      </c>
      <c r="R466" s="146" t="e">
        <f t="shared" si="32"/>
        <v>#DIV/0!</v>
      </c>
      <c r="S466" s="201" t="e">
        <f t="shared" si="37"/>
        <v>#DIV/0!</v>
      </c>
    </row>
    <row r="467" spans="1:19" ht="32.1" customHeight="1">
      <c r="A467" s="82" t="s">
        <v>181</v>
      </c>
      <c r="B467" s="522" t="s">
        <v>19</v>
      </c>
      <c r="C467" s="519" t="s">
        <v>2638</v>
      </c>
      <c r="D467" s="199">
        <v>32</v>
      </c>
      <c r="E467" s="200"/>
      <c r="F467" s="200"/>
      <c r="G467" s="200">
        <v>90</v>
      </c>
      <c r="H467" s="200"/>
      <c r="I467" s="200"/>
      <c r="J467" s="200"/>
      <c r="K467" s="200"/>
      <c r="L467" s="200"/>
      <c r="M467" s="200"/>
      <c r="N467" s="200"/>
      <c r="O467" s="200"/>
      <c r="P467" s="200"/>
      <c r="Q467" s="226">
        <f t="shared" si="33"/>
        <v>90</v>
      </c>
      <c r="R467" s="146" t="str">
        <f t="shared" si="32"/>
        <v>NO</v>
      </c>
      <c r="S467" s="201" t="str">
        <f t="shared" si="37"/>
        <v>Inviable Sanitariamente</v>
      </c>
    </row>
    <row r="468" spans="1:19" ht="32.1" customHeight="1">
      <c r="A468" s="82" t="s">
        <v>181</v>
      </c>
      <c r="B468" s="522" t="s">
        <v>2639</v>
      </c>
      <c r="C468" s="519" t="s">
        <v>2640</v>
      </c>
      <c r="D468" s="199">
        <v>32</v>
      </c>
      <c r="E468" s="200"/>
      <c r="F468" s="200"/>
      <c r="G468" s="200"/>
      <c r="H468" s="200">
        <v>95</v>
      </c>
      <c r="I468" s="200"/>
      <c r="J468" s="200"/>
      <c r="K468" s="200"/>
      <c r="L468" s="200"/>
      <c r="M468" s="200"/>
      <c r="N468" s="200"/>
      <c r="O468" s="200"/>
      <c r="P468" s="200"/>
      <c r="Q468" s="226">
        <f t="shared" si="33"/>
        <v>95</v>
      </c>
      <c r="R468" s="146" t="str">
        <f t="shared" si="32"/>
        <v>NO</v>
      </c>
      <c r="S468" s="201" t="str">
        <f t="shared" si="37"/>
        <v>Inviable Sanitariamente</v>
      </c>
    </row>
    <row r="469" spans="1:19" ht="32.1" customHeight="1">
      <c r="A469" s="82" t="s">
        <v>181</v>
      </c>
      <c r="B469" s="522" t="s">
        <v>2641</v>
      </c>
      <c r="C469" s="519" t="s">
        <v>2642</v>
      </c>
      <c r="D469" s="119"/>
      <c r="E469" s="200"/>
      <c r="F469" s="200"/>
      <c r="G469" s="200"/>
      <c r="H469" s="200"/>
      <c r="I469" s="200"/>
      <c r="J469" s="200"/>
      <c r="K469" s="200"/>
      <c r="L469" s="200"/>
      <c r="M469" s="200"/>
      <c r="N469" s="200"/>
      <c r="O469" s="200"/>
      <c r="P469" s="200"/>
      <c r="Q469" s="226" t="e">
        <f t="shared" si="33"/>
        <v>#DIV/0!</v>
      </c>
      <c r="R469" s="146" t="e">
        <f t="shared" si="32"/>
        <v>#DIV/0!</v>
      </c>
      <c r="S469" s="201" t="e">
        <f t="shared" si="37"/>
        <v>#DIV/0!</v>
      </c>
    </row>
    <row r="470" spans="1:19" ht="32.1" customHeight="1">
      <c r="A470" s="82" t="s">
        <v>181</v>
      </c>
      <c r="B470" s="522" t="s">
        <v>2643</v>
      </c>
      <c r="C470" s="519" t="s">
        <v>2644</v>
      </c>
      <c r="D470" s="199"/>
      <c r="E470" s="200"/>
      <c r="F470" s="200"/>
      <c r="G470" s="200"/>
      <c r="H470" s="200"/>
      <c r="I470" s="200"/>
      <c r="J470" s="200"/>
      <c r="K470" s="200"/>
      <c r="L470" s="200"/>
      <c r="M470" s="200"/>
      <c r="N470" s="200"/>
      <c r="O470" s="200"/>
      <c r="P470" s="200"/>
      <c r="Q470" s="226" t="e">
        <f t="shared" si="33"/>
        <v>#DIV/0!</v>
      </c>
      <c r="R470" s="146" t="e">
        <f t="shared" si="32"/>
        <v>#DIV/0!</v>
      </c>
      <c r="S470" s="201" t="e">
        <f t="shared" si="37"/>
        <v>#DIV/0!</v>
      </c>
    </row>
    <row r="471" spans="1:19" ht="32.1" customHeight="1">
      <c r="A471" s="82" t="s">
        <v>181</v>
      </c>
      <c r="B471" s="522" t="s">
        <v>2645</v>
      </c>
      <c r="C471" s="519" t="s">
        <v>2646</v>
      </c>
      <c r="D471" s="207"/>
      <c r="E471" s="200"/>
      <c r="F471" s="200"/>
      <c r="G471" s="200"/>
      <c r="H471" s="200"/>
      <c r="I471" s="200"/>
      <c r="J471" s="200"/>
      <c r="K471" s="200"/>
      <c r="L471" s="200"/>
      <c r="M471" s="200"/>
      <c r="N471" s="200"/>
      <c r="O471" s="200"/>
      <c r="P471" s="200"/>
      <c r="Q471" s="226" t="e">
        <f t="shared" si="33"/>
        <v>#DIV/0!</v>
      </c>
      <c r="R471" s="146" t="e">
        <f t="shared" si="32"/>
        <v>#DIV/0!</v>
      </c>
      <c r="S471" s="201" t="e">
        <f t="shared" si="37"/>
        <v>#DIV/0!</v>
      </c>
    </row>
    <row r="472" spans="1:19" ht="32.1" customHeight="1">
      <c r="A472" s="82" t="s">
        <v>181</v>
      </c>
      <c r="B472" s="522" t="s">
        <v>97</v>
      </c>
      <c r="C472" s="519" t="s">
        <v>2647</v>
      </c>
      <c r="D472" s="119"/>
      <c r="E472" s="200"/>
      <c r="F472" s="200"/>
      <c r="G472" s="200"/>
      <c r="H472" s="200"/>
      <c r="I472" s="200"/>
      <c r="J472" s="200"/>
      <c r="K472" s="200"/>
      <c r="L472" s="200"/>
      <c r="M472" s="200"/>
      <c r="N472" s="200"/>
      <c r="O472" s="200"/>
      <c r="P472" s="200"/>
      <c r="Q472" s="226" t="e">
        <f t="shared" si="33"/>
        <v>#DIV/0!</v>
      </c>
      <c r="R472" s="146" t="e">
        <f t="shared" si="32"/>
        <v>#DIV/0!</v>
      </c>
      <c r="S472" s="201" t="e">
        <f t="shared" si="37"/>
        <v>#DIV/0!</v>
      </c>
    </row>
    <row r="473" spans="1:19" ht="32.1" customHeight="1">
      <c r="A473" s="82" t="s">
        <v>181</v>
      </c>
      <c r="B473" s="522" t="s">
        <v>2648</v>
      </c>
      <c r="C473" s="519" t="s">
        <v>2649</v>
      </c>
      <c r="D473" s="119">
        <v>70</v>
      </c>
      <c r="E473" s="200"/>
      <c r="F473" s="200"/>
      <c r="G473" s="200">
        <v>95</v>
      </c>
      <c r="H473" s="200"/>
      <c r="I473" s="200"/>
      <c r="J473" s="200"/>
      <c r="K473" s="200"/>
      <c r="L473" s="200"/>
      <c r="M473" s="200"/>
      <c r="N473" s="200"/>
      <c r="O473" s="200"/>
      <c r="P473" s="200"/>
      <c r="Q473" s="226">
        <f t="shared" si="33"/>
        <v>95</v>
      </c>
      <c r="R473" s="146" t="str">
        <f t="shared" si="32"/>
        <v>NO</v>
      </c>
      <c r="S473" s="201" t="str">
        <f t="shared" si="37"/>
        <v>Inviable Sanitariamente</v>
      </c>
    </row>
    <row r="474" spans="1:19" ht="32.1" customHeight="1">
      <c r="A474" s="82" t="s">
        <v>181</v>
      </c>
      <c r="B474" s="522" t="s">
        <v>2650</v>
      </c>
      <c r="C474" s="519" t="s">
        <v>2651</v>
      </c>
      <c r="D474" s="472">
        <v>120</v>
      </c>
      <c r="E474" s="200"/>
      <c r="F474" s="200"/>
      <c r="G474" s="200"/>
      <c r="H474" s="200"/>
      <c r="I474" s="200">
        <v>95</v>
      </c>
      <c r="J474" s="200"/>
      <c r="K474" s="200"/>
      <c r="L474" s="200"/>
      <c r="M474" s="200"/>
      <c r="N474" s="200"/>
      <c r="O474" s="200"/>
      <c r="P474" s="200"/>
      <c r="Q474" s="226">
        <f t="shared" si="33"/>
        <v>95</v>
      </c>
      <c r="R474" s="146" t="str">
        <f t="shared" si="32"/>
        <v>NO</v>
      </c>
      <c r="S474" s="201" t="str">
        <f t="shared" si="37"/>
        <v>Inviable Sanitariamente</v>
      </c>
    </row>
    <row r="475" spans="1:19" ht="32.1" customHeight="1">
      <c r="A475" s="82" t="s">
        <v>181</v>
      </c>
      <c r="B475" s="522" t="s">
        <v>2652</v>
      </c>
      <c r="C475" s="519" t="s">
        <v>2653</v>
      </c>
      <c r="D475" s="199">
        <v>42</v>
      </c>
      <c r="E475" s="200"/>
      <c r="F475" s="200"/>
      <c r="G475" s="200"/>
      <c r="H475" s="200"/>
      <c r="I475" s="200"/>
      <c r="J475" s="200"/>
      <c r="K475" s="200"/>
      <c r="L475" s="200"/>
      <c r="M475" s="200"/>
      <c r="N475" s="200"/>
      <c r="O475" s="200"/>
      <c r="P475" s="200"/>
      <c r="Q475" s="226" t="e">
        <f t="shared" si="33"/>
        <v>#DIV/0!</v>
      </c>
      <c r="R475" s="146" t="e">
        <f t="shared" si="32"/>
        <v>#DIV/0!</v>
      </c>
      <c r="S475" s="201" t="e">
        <f t="shared" si="37"/>
        <v>#DIV/0!</v>
      </c>
    </row>
    <row r="476" spans="1:19" ht="32.1" customHeight="1">
      <c r="A476" s="82" t="s">
        <v>181</v>
      </c>
      <c r="B476" s="522" t="s">
        <v>2654</v>
      </c>
      <c r="C476" s="519" t="s">
        <v>2655</v>
      </c>
      <c r="D476" s="119">
        <v>87</v>
      </c>
      <c r="E476" s="200"/>
      <c r="F476" s="200"/>
      <c r="G476" s="200"/>
      <c r="H476" s="200"/>
      <c r="I476" s="200">
        <v>95</v>
      </c>
      <c r="J476" s="200"/>
      <c r="K476" s="200"/>
      <c r="L476" s="200"/>
      <c r="M476" s="200"/>
      <c r="N476" s="200"/>
      <c r="O476" s="200"/>
      <c r="P476" s="200"/>
      <c r="Q476" s="226">
        <f t="shared" si="33"/>
        <v>95</v>
      </c>
      <c r="R476" s="146" t="str">
        <f t="shared" si="32"/>
        <v>NO</v>
      </c>
      <c r="S476" s="201" t="str">
        <f t="shared" si="37"/>
        <v>Inviable Sanitariamente</v>
      </c>
    </row>
    <row r="477" spans="1:19" ht="32.1" customHeight="1">
      <c r="A477" s="82" t="s">
        <v>181</v>
      </c>
      <c r="B477" s="522" t="s">
        <v>2656</v>
      </c>
      <c r="C477" s="519" t="s">
        <v>2657</v>
      </c>
      <c r="D477" s="114">
        <v>36</v>
      </c>
      <c r="E477" s="200"/>
      <c r="F477" s="200"/>
      <c r="G477" s="200"/>
      <c r="H477" s="200"/>
      <c r="I477" s="200"/>
      <c r="J477" s="200"/>
      <c r="K477" s="200"/>
      <c r="L477" s="200"/>
      <c r="M477" s="200"/>
      <c r="N477" s="200"/>
      <c r="O477" s="200"/>
      <c r="P477" s="200"/>
      <c r="Q477" s="226" t="e">
        <f t="shared" si="33"/>
        <v>#DIV/0!</v>
      </c>
      <c r="R477" s="146" t="e">
        <f t="shared" si="32"/>
        <v>#DIV/0!</v>
      </c>
      <c r="S477" s="201" t="e">
        <f t="shared" si="37"/>
        <v>#DIV/0!</v>
      </c>
    </row>
    <row r="478" spans="1:19" ht="32.1" customHeight="1">
      <c r="A478" s="82" t="s">
        <v>181</v>
      </c>
      <c r="B478" s="522" t="s">
        <v>2658</v>
      </c>
      <c r="C478" s="519" t="s">
        <v>2659</v>
      </c>
      <c r="D478" s="199">
        <v>35</v>
      </c>
      <c r="E478" s="200"/>
      <c r="F478" s="200"/>
      <c r="G478" s="200"/>
      <c r="H478" s="200"/>
      <c r="I478" s="200"/>
      <c r="J478" s="200"/>
      <c r="K478" s="200"/>
      <c r="L478" s="200"/>
      <c r="M478" s="200"/>
      <c r="N478" s="200"/>
      <c r="O478" s="200"/>
      <c r="P478" s="200"/>
      <c r="Q478" s="226" t="e">
        <f t="shared" si="33"/>
        <v>#DIV/0!</v>
      </c>
      <c r="R478" s="146" t="e">
        <f t="shared" si="32"/>
        <v>#DIV/0!</v>
      </c>
      <c r="S478" s="201" t="e">
        <f t="shared" si="37"/>
        <v>#DIV/0!</v>
      </c>
    </row>
    <row r="479" spans="1:19" ht="32.1" customHeight="1">
      <c r="A479" s="82" t="s">
        <v>181</v>
      </c>
      <c r="B479" s="522" t="s">
        <v>2660</v>
      </c>
      <c r="C479" s="519" t="s">
        <v>2661</v>
      </c>
      <c r="D479" s="199">
        <v>70</v>
      </c>
      <c r="E479" s="200"/>
      <c r="F479" s="200"/>
      <c r="G479" s="200">
        <v>95</v>
      </c>
      <c r="H479" s="200"/>
      <c r="I479" s="200"/>
      <c r="J479" s="200"/>
      <c r="K479" s="200"/>
      <c r="L479" s="200"/>
      <c r="M479" s="200"/>
      <c r="N479" s="200"/>
      <c r="O479" s="200"/>
      <c r="P479" s="200"/>
      <c r="Q479" s="226">
        <f t="shared" si="33"/>
        <v>95</v>
      </c>
      <c r="R479" s="146" t="str">
        <f t="shared" si="32"/>
        <v>NO</v>
      </c>
      <c r="S479" s="201" t="str">
        <f t="shared" si="37"/>
        <v>Inviable Sanitariamente</v>
      </c>
    </row>
    <row r="480" spans="1:19" ht="32.1" customHeight="1">
      <c r="A480" s="82" t="s">
        <v>181</v>
      </c>
      <c r="B480" s="522" t="s">
        <v>2662</v>
      </c>
      <c r="C480" s="519" t="s">
        <v>2663</v>
      </c>
      <c r="D480" s="199"/>
      <c r="E480" s="200"/>
      <c r="F480" s="200"/>
      <c r="G480" s="200"/>
      <c r="H480" s="200"/>
      <c r="I480" s="200"/>
      <c r="J480" s="200"/>
      <c r="K480" s="200"/>
      <c r="L480" s="200"/>
      <c r="M480" s="200"/>
      <c r="N480" s="200"/>
      <c r="O480" s="200"/>
      <c r="P480" s="200"/>
      <c r="Q480" s="226" t="e">
        <f t="shared" si="33"/>
        <v>#DIV/0!</v>
      </c>
      <c r="R480" s="146" t="e">
        <f t="shared" si="32"/>
        <v>#DIV/0!</v>
      </c>
      <c r="S480" s="201" t="e">
        <f t="shared" si="37"/>
        <v>#DIV/0!</v>
      </c>
    </row>
    <row r="481" spans="1:19" ht="32.1" customHeight="1">
      <c r="A481" s="82" t="s">
        <v>181</v>
      </c>
      <c r="B481" s="522" t="s">
        <v>2664</v>
      </c>
      <c r="C481" s="519" t="s">
        <v>2665</v>
      </c>
      <c r="D481" s="119">
        <v>38</v>
      </c>
      <c r="E481" s="200"/>
      <c r="F481" s="200"/>
      <c r="G481" s="200">
        <v>95</v>
      </c>
      <c r="H481" s="200"/>
      <c r="I481" s="200"/>
      <c r="J481" s="200"/>
      <c r="K481" s="200"/>
      <c r="L481" s="200"/>
      <c r="M481" s="200"/>
      <c r="N481" s="200"/>
      <c r="O481" s="200"/>
      <c r="P481" s="200"/>
      <c r="Q481" s="226">
        <f t="shared" si="33"/>
        <v>95</v>
      </c>
      <c r="R481" s="146" t="str">
        <f t="shared" si="32"/>
        <v>NO</v>
      </c>
      <c r="S481" s="201" t="str">
        <f t="shared" si="37"/>
        <v>Inviable Sanitariamente</v>
      </c>
    </row>
    <row r="482" spans="1:19" ht="32.1" customHeight="1">
      <c r="A482" s="82" t="s">
        <v>181</v>
      </c>
      <c r="B482" s="522" t="s">
        <v>2666</v>
      </c>
      <c r="C482" s="519" t="s">
        <v>2667</v>
      </c>
      <c r="D482" s="119"/>
      <c r="E482" s="200"/>
      <c r="F482" s="200"/>
      <c r="G482" s="200"/>
      <c r="H482" s="200"/>
      <c r="I482" s="200"/>
      <c r="J482" s="200"/>
      <c r="K482" s="200"/>
      <c r="L482" s="200"/>
      <c r="M482" s="200"/>
      <c r="N482" s="200"/>
      <c r="O482" s="200"/>
      <c r="P482" s="200"/>
      <c r="Q482" s="226" t="e">
        <f t="shared" si="33"/>
        <v>#DIV/0!</v>
      </c>
      <c r="R482" s="146" t="e">
        <f t="shared" si="32"/>
        <v>#DIV/0!</v>
      </c>
      <c r="S482" s="201" t="e">
        <f t="shared" si="37"/>
        <v>#DIV/0!</v>
      </c>
    </row>
    <row r="483" spans="1:19" ht="32.1" customHeight="1">
      <c r="A483" s="82" t="s">
        <v>181</v>
      </c>
      <c r="B483" s="522" t="s">
        <v>1547</v>
      </c>
      <c r="C483" s="519" t="s">
        <v>2668</v>
      </c>
      <c r="D483" s="119">
        <v>92</v>
      </c>
      <c r="E483" s="200"/>
      <c r="F483" s="200"/>
      <c r="G483" s="200"/>
      <c r="H483" s="200"/>
      <c r="I483" s="200">
        <v>95</v>
      </c>
      <c r="J483" s="200"/>
      <c r="K483" s="200"/>
      <c r="L483" s="200"/>
      <c r="M483" s="200"/>
      <c r="N483" s="200"/>
      <c r="O483" s="200"/>
      <c r="P483" s="200"/>
      <c r="Q483" s="226">
        <f t="shared" si="33"/>
        <v>95</v>
      </c>
      <c r="R483" s="146" t="str">
        <f t="shared" si="32"/>
        <v>NO</v>
      </c>
      <c r="S483" s="201" t="str">
        <f t="shared" si="37"/>
        <v>Inviable Sanitariamente</v>
      </c>
    </row>
    <row r="484" spans="1:19" ht="32.1" customHeight="1">
      <c r="A484" s="82" t="s">
        <v>181</v>
      </c>
      <c r="B484" s="522" t="s">
        <v>2669</v>
      </c>
      <c r="C484" s="519" t="s">
        <v>2670</v>
      </c>
      <c r="D484" s="119"/>
      <c r="E484" s="200"/>
      <c r="F484" s="200"/>
      <c r="G484" s="200"/>
      <c r="H484" s="200"/>
      <c r="I484" s="200"/>
      <c r="J484" s="200"/>
      <c r="K484" s="200"/>
      <c r="L484" s="200"/>
      <c r="M484" s="200"/>
      <c r="N484" s="200"/>
      <c r="O484" s="200"/>
      <c r="P484" s="200"/>
      <c r="Q484" s="226" t="e">
        <f t="shared" si="33"/>
        <v>#DIV/0!</v>
      </c>
      <c r="R484" s="146" t="e">
        <f t="shared" si="32"/>
        <v>#DIV/0!</v>
      </c>
      <c r="S484" s="201" t="e">
        <f t="shared" si="37"/>
        <v>#DIV/0!</v>
      </c>
    </row>
    <row r="485" spans="1:19" ht="32.1" customHeight="1">
      <c r="A485" s="82" t="s">
        <v>181</v>
      </c>
      <c r="B485" s="522" t="s">
        <v>2671</v>
      </c>
      <c r="C485" s="519" t="s">
        <v>2672</v>
      </c>
      <c r="D485" s="119"/>
      <c r="E485" s="200"/>
      <c r="F485" s="200"/>
      <c r="G485" s="200"/>
      <c r="H485" s="200"/>
      <c r="I485" s="200"/>
      <c r="J485" s="200"/>
      <c r="K485" s="200"/>
      <c r="L485" s="200"/>
      <c r="M485" s="200"/>
      <c r="N485" s="200"/>
      <c r="O485" s="200"/>
      <c r="P485" s="200"/>
      <c r="Q485" s="226" t="e">
        <f t="shared" si="33"/>
        <v>#DIV/0!</v>
      </c>
      <c r="R485" s="146" t="e">
        <f t="shared" si="32"/>
        <v>#DIV/0!</v>
      </c>
      <c r="S485" s="201" t="e">
        <f t="shared" si="37"/>
        <v>#DIV/0!</v>
      </c>
    </row>
    <row r="486" spans="1:19" ht="32.1" customHeight="1">
      <c r="A486" s="82" t="s">
        <v>181</v>
      </c>
      <c r="B486" s="522" t="s">
        <v>2673</v>
      </c>
      <c r="C486" s="519" t="s">
        <v>2674</v>
      </c>
      <c r="D486" s="119">
        <v>58</v>
      </c>
      <c r="E486" s="200"/>
      <c r="F486" s="200"/>
      <c r="G486" s="200"/>
      <c r="H486" s="200"/>
      <c r="I486" s="200">
        <v>97</v>
      </c>
      <c r="J486" s="200"/>
      <c r="K486" s="200"/>
      <c r="L486" s="200"/>
      <c r="M486" s="200"/>
      <c r="N486" s="200"/>
      <c r="O486" s="200"/>
      <c r="P486" s="200"/>
      <c r="Q486" s="226">
        <f t="shared" si="33"/>
        <v>97</v>
      </c>
      <c r="R486" s="146" t="str">
        <f t="shared" si="32"/>
        <v>NO</v>
      </c>
      <c r="S486" s="201" t="str">
        <f t="shared" si="37"/>
        <v>Inviable Sanitariamente</v>
      </c>
    </row>
    <row r="487" spans="1:19" ht="32.1" customHeight="1">
      <c r="A487" s="82" t="s">
        <v>181</v>
      </c>
      <c r="B487" s="522" t="s">
        <v>2675</v>
      </c>
      <c r="C487" s="519" t="s">
        <v>2676</v>
      </c>
      <c r="D487" s="119">
        <v>83</v>
      </c>
      <c r="E487" s="200"/>
      <c r="F487" s="200"/>
      <c r="G487" s="200"/>
      <c r="H487" s="200"/>
      <c r="I487" s="200"/>
      <c r="J487" s="200">
        <v>27</v>
      </c>
      <c r="K487" s="200"/>
      <c r="L487" s="200"/>
      <c r="M487" s="200"/>
      <c r="N487" s="200"/>
      <c r="O487" s="200"/>
      <c r="P487" s="200"/>
      <c r="Q487" s="226">
        <f t="shared" si="33"/>
        <v>27</v>
      </c>
      <c r="R487" s="146" t="str">
        <f t="shared" si="32"/>
        <v>NO</v>
      </c>
      <c r="S487" s="201" t="str">
        <f t="shared" si="37"/>
        <v>Medio</v>
      </c>
    </row>
    <row r="488" spans="1:19" ht="32.1" customHeight="1">
      <c r="A488" s="82" t="s">
        <v>181</v>
      </c>
      <c r="B488" s="522" t="s">
        <v>2677</v>
      </c>
      <c r="C488" s="519" t="s">
        <v>2678</v>
      </c>
      <c r="D488" s="119">
        <v>82</v>
      </c>
      <c r="E488" s="200"/>
      <c r="F488" s="200"/>
      <c r="G488" s="200"/>
      <c r="H488" s="200">
        <v>97.5</v>
      </c>
      <c r="I488" s="200"/>
      <c r="J488" s="200"/>
      <c r="K488" s="200"/>
      <c r="L488" s="200"/>
      <c r="M488" s="200"/>
      <c r="N488" s="200"/>
      <c r="O488" s="200"/>
      <c r="P488" s="200"/>
      <c r="Q488" s="226">
        <f t="shared" si="33"/>
        <v>97.5</v>
      </c>
      <c r="R488" s="146" t="str">
        <f t="shared" si="32"/>
        <v>NO</v>
      </c>
      <c r="S488" s="201" t="str">
        <f t="shared" si="37"/>
        <v>Inviable Sanitariamente</v>
      </c>
    </row>
    <row r="489" spans="1:19" ht="32.1" customHeight="1">
      <c r="A489" s="82" t="s">
        <v>181</v>
      </c>
      <c r="B489" s="522" t="s">
        <v>2679</v>
      </c>
      <c r="C489" s="519" t="s">
        <v>2680</v>
      </c>
      <c r="D489" s="119">
        <v>205</v>
      </c>
      <c r="E489" s="200"/>
      <c r="F489" s="200"/>
      <c r="G489" s="200"/>
      <c r="H489" s="200">
        <v>26.5</v>
      </c>
      <c r="I489" s="200"/>
      <c r="J489" s="200"/>
      <c r="K489" s="200"/>
      <c r="L489" s="200">
        <v>26.5</v>
      </c>
      <c r="M489" s="200"/>
      <c r="N489" s="200"/>
      <c r="O489" s="200"/>
      <c r="P489" s="200"/>
      <c r="Q489" s="226">
        <f t="shared" si="33"/>
        <v>26.5</v>
      </c>
      <c r="R489" s="146" t="str">
        <f t="shared" si="32"/>
        <v>NO</v>
      </c>
      <c r="S489" s="201" t="str">
        <f t="shared" si="37"/>
        <v>Medio</v>
      </c>
    </row>
    <row r="490" spans="1:19" ht="32.1" customHeight="1">
      <c r="A490" s="82" t="s">
        <v>181</v>
      </c>
      <c r="B490" s="522" t="s">
        <v>2681</v>
      </c>
      <c r="C490" s="519" t="s">
        <v>2682</v>
      </c>
      <c r="D490" s="119">
        <v>131</v>
      </c>
      <c r="E490" s="200"/>
      <c r="F490" s="200"/>
      <c r="G490" s="200"/>
      <c r="H490" s="200"/>
      <c r="I490" s="200"/>
      <c r="J490" s="200">
        <v>97</v>
      </c>
      <c r="K490" s="200"/>
      <c r="L490" s="200"/>
      <c r="M490" s="200"/>
      <c r="N490" s="200"/>
      <c r="O490" s="200"/>
      <c r="P490" s="200"/>
      <c r="Q490" s="226">
        <f t="shared" si="33"/>
        <v>97</v>
      </c>
      <c r="R490" s="146" t="str">
        <f t="shared" si="32"/>
        <v>NO</v>
      </c>
      <c r="S490" s="201" t="str">
        <f t="shared" si="37"/>
        <v>Inviable Sanitariamente</v>
      </c>
    </row>
    <row r="491" spans="1:19" ht="32.1" customHeight="1">
      <c r="A491" s="419" t="s">
        <v>181</v>
      </c>
      <c r="B491" s="494" t="s">
        <v>2683</v>
      </c>
      <c r="C491" s="517" t="s">
        <v>2684</v>
      </c>
      <c r="D491" s="119">
        <v>59</v>
      </c>
      <c r="E491" s="200"/>
      <c r="F491" s="200"/>
      <c r="G491" s="200"/>
      <c r="H491" s="200"/>
      <c r="I491" s="200"/>
      <c r="J491" s="200">
        <v>95</v>
      </c>
      <c r="K491" s="200"/>
      <c r="L491" s="200"/>
      <c r="M491" s="200"/>
      <c r="N491" s="200"/>
      <c r="O491" s="200"/>
      <c r="P491" s="200"/>
      <c r="Q491" s="226">
        <f t="shared" si="33"/>
        <v>95</v>
      </c>
      <c r="R491" s="218" t="str">
        <f t="shared" si="32"/>
        <v>NO</v>
      </c>
      <c r="S491" s="201" t="str">
        <f t="shared" si="37"/>
        <v>Inviable Sanitariamente</v>
      </c>
    </row>
    <row r="492" spans="1:19" ht="32.1" customHeight="1">
      <c r="A492" s="419" t="s">
        <v>181</v>
      </c>
      <c r="B492" s="494" t="s">
        <v>6</v>
      </c>
      <c r="C492" s="517" t="s">
        <v>2685</v>
      </c>
      <c r="D492" s="119">
        <v>62</v>
      </c>
      <c r="E492" s="200"/>
      <c r="F492" s="200"/>
      <c r="G492" s="200"/>
      <c r="H492" s="200"/>
      <c r="I492" s="200"/>
      <c r="J492" s="200">
        <v>95</v>
      </c>
      <c r="K492" s="200"/>
      <c r="L492" s="200"/>
      <c r="M492" s="200"/>
      <c r="N492" s="200"/>
      <c r="O492" s="200"/>
      <c r="P492" s="200"/>
      <c r="Q492" s="226">
        <f t="shared" si="33"/>
        <v>95</v>
      </c>
      <c r="R492" s="218" t="str">
        <f t="shared" si="32"/>
        <v>NO</v>
      </c>
      <c r="S492" s="201" t="str">
        <f t="shared" si="37"/>
        <v>Inviable Sanitariamente</v>
      </c>
    </row>
    <row r="493" spans="1:19" ht="32.1" customHeight="1">
      <c r="A493" s="419" t="s">
        <v>181</v>
      </c>
      <c r="B493" s="494" t="s">
        <v>2686</v>
      </c>
      <c r="C493" s="517" t="s">
        <v>2687</v>
      </c>
      <c r="D493" s="119">
        <v>63</v>
      </c>
      <c r="E493" s="200"/>
      <c r="F493" s="200"/>
      <c r="G493" s="200"/>
      <c r="H493" s="200"/>
      <c r="I493" s="200"/>
      <c r="J493" s="200"/>
      <c r="K493" s="200"/>
      <c r="L493" s="200">
        <v>97.3</v>
      </c>
      <c r="M493" s="200"/>
      <c r="N493" s="200"/>
      <c r="O493" s="200"/>
      <c r="P493" s="200"/>
      <c r="Q493" s="226">
        <f t="shared" si="33"/>
        <v>97.3</v>
      </c>
      <c r="R493" s="218" t="str">
        <f t="shared" si="32"/>
        <v>NO</v>
      </c>
      <c r="S493" s="201" t="str">
        <f t="shared" si="37"/>
        <v>Inviable Sanitariamente</v>
      </c>
    </row>
    <row r="494" spans="1:19" ht="32.1" customHeight="1">
      <c r="A494" s="419" t="s">
        <v>181</v>
      </c>
      <c r="B494" s="494" t="s">
        <v>2688</v>
      </c>
      <c r="C494" s="517" t="s">
        <v>2689</v>
      </c>
      <c r="D494" s="119">
        <v>44</v>
      </c>
      <c r="E494" s="200"/>
      <c r="F494" s="200"/>
      <c r="G494" s="200"/>
      <c r="H494" s="200"/>
      <c r="I494" s="200">
        <v>95</v>
      </c>
      <c r="J494" s="200"/>
      <c r="K494" s="200"/>
      <c r="L494" s="200"/>
      <c r="M494" s="200"/>
      <c r="N494" s="200"/>
      <c r="O494" s="200"/>
      <c r="P494" s="200"/>
      <c r="Q494" s="226">
        <f t="shared" si="33"/>
        <v>95</v>
      </c>
      <c r="R494" s="218" t="str">
        <f t="shared" si="32"/>
        <v>NO</v>
      </c>
      <c r="S494" s="201" t="str">
        <f t="shared" si="37"/>
        <v>Inviable Sanitariamente</v>
      </c>
    </row>
    <row r="495" spans="1:19" ht="32.1" customHeight="1">
      <c r="A495" s="532" t="s">
        <v>182</v>
      </c>
      <c r="B495" s="494" t="s">
        <v>2690</v>
      </c>
      <c r="C495" s="517" t="s">
        <v>2691</v>
      </c>
      <c r="D495" s="156">
        <v>29</v>
      </c>
      <c r="E495" s="200"/>
      <c r="F495" s="200"/>
      <c r="G495" s="200"/>
      <c r="H495" s="200">
        <v>76.900000000000006</v>
      </c>
      <c r="I495" s="200"/>
      <c r="J495" s="200"/>
      <c r="K495" s="200"/>
      <c r="L495" s="200"/>
      <c r="M495" s="200"/>
      <c r="N495" s="200"/>
      <c r="O495" s="200">
        <v>76.92</v>
      </c>
      <c r="P495" s="200"/>
      <c r="Q495" s="226">
        <f t="shared" si="33"/>
        <v>76.91</v>
      </c>
      <c r="R495" s="218" t="str">
        <f t="shared" ref="R495:R521" si="38">IF(Q495&lt;5,"SI","NO")</f>
        <v>NO</v>
      </c>
      <c r="S495" s="201" t="str">
        <f t="shared" si="37"/>
        <v>Alto</v>
      </c>
    </row>
    <row r="496" spans="1:19" ht="32.1" customHeight="1">
      <c r="A496" s="532" t="s">
        <v>182</v>
      </c>
      <c r="B496" s="494" t="s">
        <v>2692</v>
      </c>
      <c r="C496" s="517" t="s">
        <v>2693</v>
      </c>
      <c r="D496" s="156">
        <v>24</v>
      </c>
      <c r="E496" s="200"/>
      <c r="F496" s="200"/>
      <c r="G496" s="200">
        <v>76.92</v>
      </c>
      <c r="H496" s="200"/>
      <c r="I496" s="200"/>
      <c r="J496" s="200"/>
      <c r="K496" s="200"/>
      <c r="L496" s="200"/>
      <c r="M496" s="200"/>
      <c r="N496" s="200">
        <v>76.92</v>
      </c>
      <c r="O496" s="200"/>
      <c r="P496" s="200"/>
      <c r="Q496" s="226">
        <f t="shared" ref="Q496:Q497" si="39">AVERAGE(E496:P496)</f>
        <v>76.92</v>
      </c>
      <c r="R496" s="218" t="str">
        <f t="shared" ref="R496:R497" si="40">IF(Q496&lt;5,"SI","NO")</f>
        <v>NO</v>
      </c>
      <c r="S496" s="201" t="str">
        <f t="shared" ref="S496:S497" si="41">IF(Q496&lt;5,"Sin Riesgo",IF(Q496 &lt;=14,"Bajo",IF(Q496&lt;=35,"Medio",IF(Q496&lt;=80,"Alto","Inviable Sanitariamente"))))</f>
        <v>Alto</v>
      </c>
    </row>
    <row r="497" spans="1:19" ht="32.1" customHeight="1">
      <c r="A497" s="532" t="s">
        <v>182</v>
      </c>
      <c r="B497" s="494" t="s">
        <v>4484</v>
      </c>
      <c r="C497" s="517" t="s">
        <v>4485</v>
      </c>
      <c r="D497" s="156">
        <v>45</v>
      </c>
      <c r="E497" s="200"/>
      <c r="F497" s="200"/>
      <c r="G497" s="200"/>
      <c r="H497" s="200"/>
      <c r="I497" s="200">
        <v>76.92</v>
      </c>
      <c r="J497" s="200"/>
      <c r="K497" s="200"/>
      <c r="L497" s="200"/>
      <c r="M497" s="200"/>
      <c r="N497" s="200">
        <v>76.92</v>
      </c>
      <c r="O497" s="200"/>
      <c r="P497" s="200"/>
      <c r="Q497" s="226">
        <f t="shared" si="39"/>
        <v>76.92</v>
      </c>
      <c r="R497" s="218" t="str">
        <f t="shared" si="40"/>
        <v>NO</v>
      </c>
      <c r="S497" s="201" t="str">
        <f t="shared" si="41"/>
        <v>Alto</v>
      </c>
    </row>
    <row r="498" spans="1:19" ht="32.1" customHeight="1">
      <c r="A498" s="532" t="s">
        <v>182</v>
      </c>
      <c r="B498" s="494" t="s">
        <v>44</v>
      </c>
      <c r="C498" s="517" t="s">
        <v>4486</v>
      </c>
      <c r="D498" s="156">
        <v>71</v>
      </c>
      <c r="E498" s="200"/>
      <c r="F498" s="200">
        <v>76.92</v>
      </c>
      <c r="G498" s="200"/>
      <c r="H498" s="200"/>
      <c r="I498" s="200"/>
      <c r="J498" s="200"/>
      <c r="K498" s="200"/>
      <c r="L498" s="200"/>
      <c r="M498" s="200"/>
      <c r="N498" s="200">
        <v>76.92</v>
      </c>
      <c r="O498" s="200"/>
      <c r="P498" s="200"/>
      <c r="Q498" s="226">
        <f t="shared" ref="Q498:Q521" si="42">AVERAGE(E498:P498)</f>
        <v>76.92</v>
      </c>
      <c r="R498" s="218" t="str">
        <f t="shared" si="38"/>
        <v>NO</v>
      </c>
      <c r="S498" s="201" t="str">
        <f t="shared" si="37"/>
        <v>Alto</v>
      </c>
    </row>
    <row r="499" spans="1:19" ht="32.1" customHeight="1">
      <c r="A499" s="532" t="s">
        <v>182</v>
      </c>
      <c r="B499" s="494" t="s">
        <v>2694</v>
      </c>
      <c r="C499" s="517" t="s">
        <v>2695</v>
      </c>
      <c r="D499" s="156"/>
      <c r="E499" s="200"/>
      <c r="F499" s="200"/>
      <c r="G499" s="200"/>
      <c r="H499" s="200"/>
      <c r="I499" s="200"/>
      <c r="J499" s="200"/>
      <c r="K499" s="200"/>
      <c r="L499" s="200"/>
      <c r="M499" s="200"/>
      <c r="N499" s="200"/>
      <c r="O499" s="200"/>
      <c r="P499" s="200"/>
      <c r="Q499" s="226" t="e">
        <f t="shared" si="42"/>
        <v>#DIV/0!</v>
      </c>
      <c r="R499" s="218" t="e">
        <f t="shared" si="38"/>
        <v>#DIV/0!</v>
      </c>
      <c r="S499" s="201" t="e">
        <f t="shared" si="37"/>
        <v>#DIV/0!</v>
      </c>
    </row>
    <row r="500" spans="1:19" ht="32.1" customHeight="1">
      <c r="A500" s="532" t="s">
        <v>182</v>
      </c>
      <c r="B500" s="494" t="s">
        <v>44</v>
      </c>
      <c r="C500" s="517" t="s">
        <v>2696</v>
      </c>
      <c r="D500" s="156"/>
      <c r="E500" s="200"/>
      <c r="F500" s="200"/>
      <c r="G500" s="200"/>
      <c r="H500" s="200"/>
      <c r="I500" s="200"/>
      <c r="J500" s="200"/>
      <c r="K500" s="200"/>
      <c r="L500" s="200"/>
      <c r="M500" s="200"/>
      <c r="N500" s="200"/>
      <c r="O500" s="200"/>
      <c r="P500" s="200"/>
      <c r="Q500" s="226" t="e">
        <f t="shared" si="42"/>
        <v>#DIV/0!</v>
      </c>
      <c r="R500" s="218" t="e">
        <f t="shared" si="38"/>
        <v>#DIV/0!</v>
      </c>
      <c r="S500" s="201" t="e">
        <f t="shared" si="37"/>
        <v>#DIV/0!</v>
      </c>
    </row>
    <row r="501" spans="1:19" ht="32.1" customHeight="1">
      <c r="A501" s="532" t="s">
        <v>182</v>
      </c>
      <c r="B501" s="494" t="s">
        <v>2697</v>
      </c>
      <c r="C501" s="517" t="s">
        <v>2698</v>
      </c>
      <c r="D501" s="156">
        <v>154</v>
      </c>
      <c r="E501" s="200"/>
      <c r="F501" s="200"/>
      <c r="G501" s="200"/>
      <c r="H501" s="200"/>
      <c r="I501" s="200"/>
      <c r="J501" s="200">
        <v>76.92</v>
      </c>
      <c r="K501" s="200"/>
      <c r="L501" s="200"/>
      <c r="M501" s="200"/>
      <c r="N501" s="200"/>
      <c r="O501" s="200"/>
      <c r="P501" s="200"/>
      <c r="Q501" s="226">
        <f t="shared" si="42"/>
        <v>76.92</v>
      </c>
      <c r="R501" s="218" t="str">
        <f t="shared" si="38"/>
        <v>NO</v>
      </c>
      <c r="S501" s="201" t="str">
        <f t="shared" si="37"/>
        <v>Alto</v>
      </c>
    </row>
    <row r="502" spans="1:19" ht="32.1" customHeight="1">
      <c r="A502" s="532" t="s">
        <v>182</v>
      </c>
      <c r="B502" s="494" t="s">
        <v>2699</v>
      </c>
      <c r="C502" s="517" t="s">
        <v>2700</v>
      </c>
      <c r="D502" s="156">
        <v>70</v>
      </c>
      <c r="E502" s="200"/>
      <c r="F502" s="200"/>
      <c r="G502" s="200">
        <v>76.92</v>
      </c>
      <c r="H502" s="200"/>
      <c r="I502" s="200"/>
      <c r="J502" s="200"/>
      <c r="K502" s="200"/>
      <c r="L502" s="200"/>
      <c r="M502" s="200"/>
      <c r="N502" s="200"/>
      <c r="O502" s="200"/>
      <c r="P502" s="200"/>
      <c r="Q502" s="226">
        <f t="shared" si="42"/>
        <v>76.92</v>
      </c>
      <c r="R502" s="218" t="str">
        <f t="shared" si="38"/>
        <v>NO</v>
      </c>
      <c r="S502" s="201" t="str">
        <f t="shared" si="37"/>
        <v>Alto</v>
      </c>
    </row>
    <row r="503" spans="1:19" ht="32.1" customHeight="1">
      <c r="A503" s="532" t="s">
        <v>182</v>
      </c>
      <c r="B503" s="494" t="s">
        <v>2701</v>
      </c>
      <c r="C503" s="517" t="s">
        <v>2702</v>
      </c>
      <c r="D503" s="156">
        <v>43</v>
      </c>
      <c r="E503" s="200"/>
      <c r="F503" s="200">
        <v>76.900000000000006</v>
      </c>
      <c r="G503" s="200"/>
      <c r="H503" s="200"/>
      <c r="I503" s="200"/>
      <c r="J503" s="200"/>
      <c r="K503" s="200">
        <v>76.92</v>
      </c>
      <c r="L503" s="200"/>
      <c r="M503" s="200"/>
      <c r="N503" s="200"/>
      <c r="O503" s="200"/>
      <c r="P503" s="200"/>
      <c r="Q503" s="226">
        <f t="shared" si="42"/>
        <v>76.91</v>
      </c>
      <c r="R503" s="218" t="str">
        <f t="shared" si="38"/>
        <v>NO</v>
      </c>
      <c r="S503" s="201" t="str">
        <f t="shared" si="37"/>
        <v>Alto</v>
      </c>
    </row>
    <row r="504" spans="1:19" ht="32.1" customHeight="1">
      <c r="A504" s="532" t="s">
        <v>182</v>
      </c>
      <c r="B504" s="494" t="s">
        <v>2703</v>
      </c>
      <c r="C504" s="517" t="s">
        <v>2704</v>
      </c>
      <c r="D504" s="156">
        <v>57</v>
      </c>
      <c r="E504" s="200"/>
      <c r="F504" s="200"/>
      <c r="G504" s="200"/>
      <c r="H504" s="200"/>
      <c r="I504" s="200">
        <v>76.92</v>
      </c>
      <c r="J504" s="200"/>
      <c r="K504" s="200"/>
      <c r="L504" s="200"/>
      <c r="M504" s="200"/>
      <c r="N504" s="200"/>
      <c r="O504" s="200">
        <v>76.92</v>
      </c>
      <c r="P504" s="200"/>
      <c r="Q504" s="226">
        <f t="shared" si="42"/>
        <v>76.92</v>
      </c>
      <c r="R504" s="218" t="str">
        <f t="shared" si="38"/>
        <v>NO</v>
      </c>
      <c r="S504" s="201" t="str">
        <f t="shared" si="37"/>
        <v>Alto</v>
      </c>
    </row>
    <row r="505" spans="1:19" s="223" customFormat="1" ht="32.1" customHeight="1">
      <c r="A505" s="532" t="s">
        <v>182</v>
      </c>
      <c r="B505" s="494" t="s">
        <v>885</v>
      </c>
      <c r="C505" s="517" t="s">
        <v>2705</v>
      </c>
      <c r="D505" s="156">
        <v>70</v>
      </c>
      <c r="E505" s="200"/>
      <c r="F505" s="200"/>
      <c r="G505" s="200">
        <v>76.92</v>
      </c>
      <c r="H505" s="200"/>
      <c r="I505" s="200"/>
      <c r="J505" s="200"/>
      <c r="K505" s="200"/>
      <c r="L505" s="200">
        <v>76.92</v>
      </c>
      <c r="M505" s="200"/>
      <c r="N505" s="200"/>
      <c r="O505" s="200"/>
      <c r="P505" s="200"/>
      <c r="Q505" s="226">
        <f t="shared" si="42"/>
        <v>76.92</v>
      </c>
      <c r="R505" s="218" t="str">
        <f t="shared" si="38"/>
        <v>NO</v>
      </c>
      <c r="S505" s="201" t="str">
        <f t="shared" si="37"/>
        <v>Alto</v>
      </c>
    </row>
    <row r="506" spans="1:19" ht="32.1" customHeight="1">
      <c r="A506" s="532" t="s">
        <v>182</v>
      </c>
      <c r="B506" s="494" t="s">
        <v>2551</v>
      </c>
      <c r="C506" s="517" t="s">
        <v>2706</v>
      </c>
      <c r="D506" s="156">
        <v>25</v>
      </c>
      <c r="E506" s="200"/>
      <c r="F506" s="200"/>
      <c r="G506" s="200"/>
      <c r="H506" s="200"/>
      <c r="I506" s="200">
        <v>76.92</v>
      </c>
      <c r="J506" s="200"/>
      <c r="K506" s="200"/>
      <c r="L506" s="200"/>
      <c r="M506" s="200"/>
      <c r="N506" s="200"/>
      <c r="O506" s="200">
        <v>76.900000000000006</v>
      </c>
      <c r="P506" s="200"/>
      <c r="Q506" s="226">
        <f t="shared" si="42"/>
        <v>76.91</v>
      </c>
      <c r="R506" s="218" t="str">
        <f t="shared" si="38"/>
        <v>NO</v>
      </c>
      <c r="S506" s="201" t="str">
        <f t="shared" si="37"/>
        <v>Alto</v>
      </c>
    </row>
    <row r="507" spans="1:19" ht="32.1" customHeight="1">
      <c r="A507" s="532" t="s">
        <v>182</v>
      </c>
      <c r="B507" s="494" t="s">
        <v>2227</v>
      </c>
      <c r="C507" s="517" t="s">
        <v>2707</v>
      </c>
      <c r="D507" s="156">
        <v>23</v>
      </c>
      <c r="E507" s="200"/>
      <c r="F507" s="200"/>
      <c r="G507" s="200"/>
      <c r="H507" s="200">
        <v>97.9</v>
      </c>
      <c r="I507" s="200"/>
      <c r="J507" s="200"/>
      <c r="K507" s="200"/>
      <c r="L507" s="200"/>
      <c r="M507" s="200"/>
      <c r="N507" s="200">
        <v>76.92</v>
      </c>
      <c r="O507" s="200"/>
      <c r="P507" s="200"/>
      <c r="Q507" s="226">
        <f t="shared" si="42"/>
        <v>87.41</v>
      </c>
      <c r="R507" s="218" t="str">
        <f t="shared" si="38"/>
        <v>NO</v>
      </c>
      <c r="S507" s="201" t="str">
        <f t="shared" si="37"/>
        <v>Inviable Sanitariamente</v>
      </c>
    </row>
    <row r="508" spans="1:19" ht="32.1" customHeight="1">
      <c r="A508" s="532" t="s">
        <v>182</v>
      </c>
      <c r="B508" s="494" t="s">
        <v>2708</v>
      </c>
      <c r="C508" s="517" t="s">
        <v>2709</v>
      </c>
      <c r="D508" s="156">
        <v>60</v>
      </c>
      <c r="E508" s="200"/>
      <c r="F508" s="200"/>
      <c r="G508" s="200"/>
      <c r="H508" s="200"/>
      <c r="I508" s="200"/>
      <c r="J508" s="200">
        <v>76.92</v>
      </c>
      <c r="K508" s="200"/>
      <c r="L508" s="200"/>
      <c r="M508" s="200">
        <v>76.92</v>
      </c>
      <c r="N508" s="200"/>
      <c r="O508" s="200"/>
      <c r="P508" s="200"/>
      <c r="Q508" s="226">
        <f t="shared" si="42"/>
        <v>76.92</v>
      </c>
      <c r="R508" s="218" t="str">
        <f t="shared" si="38"/>
        <v>NO</v>
      </c>
      <c r="S508" s="201" t="str">
        <f t="shared" si="37"/>
        <v>Alto</v>
      </c>
    </row>
    <row r="509" spans="1:19" ht="32.1" customHeight="1">
      <c r="A509" s="532" t="s">
        <v>182</v>
      </c>
      <c r="B509" s="419" t="s">
        <v>4487</v>
      </c>
      <c r="C509" s="479" t="s">
        <v>4488</v>
      </c>
      <c r="D509" s="156">
        <v>27</v>
      </c>
      <c r="E509" s="200"/>
      <c r="F509" s="200">
        <v>76.900000000000006</v>
      </c>
      <c r="G509" s="200"/>
      <c r="H509" s="200"/>
      <c r="I509" s="200"/>
      <c r="J509" s="200"/>
      <c r="K509" s="200"/>
      <c r="L509" s="200"/>
      <c r="M509" s="200"/>
      <c r="N509" s="200"/>
      <c r="O509" s="200"/>
      <c r="P509" s="200"/>
      <c r="Q509" s="226">
        <f t="shared" ref="Q509" si="43">AVERAGE(E509:P509)</f>
        <v>76.900000000000006</v>
      </c>
      <c r="R509" s="218" t="str">
        <f t="shared" ref="R509" si="44">IF(Q509&lt;5,"SI","NO")</f>
        <v>NO</v>
      </c>
      <c r="S509" s="201" t="str">
        <f t="shared" ref="S509" si="45">IF(Q509&lt;5,"Sin Riesgo",IF(Q509 &lt;=14,"Bajo",IF(Q509&lt;=35,"Medio",IF(Q509&lt;=80,"Alto","Inviable Sanitariamente"))))</f>
        <v>Alto</v>
      </c>
    </row>
    <row r="510" spans="1:19" ht="32.1" customHeight="1">
      <c r="A510" s="532" t="s">
        <v>182</v>
      </c>
      <c r="B510" s="419" t="s">
        <v>2710</v>
      </c>
      <c r="C510" s="479" t="s">
        <v>2711</v>
      </c>
      <c r="D510" s="156">
        <v>94</v>
      </c>
      <c r="E510" s="200"/>
      <c r="F510" s="200"/>
      <c r="G510" s="200">
        <v>76.92</v>
      </c>
      <c r="H510" s="200"/>
      <c r="I510" s="200"/>
      <c r="J510" s="200">
        <v>76.92</v>
      </c>
      <c r="K510" s="200"/>
      <c r="L510" s="200"/>
      <c r="M510" s="200"/>
      <c r="N510" s="200"/>
      <c r="O510" s="200"/>
      <c r="P510" s="200"/>
      <c r="Q510" s="226">
        <f t="shared" si="42"/>
        <v>76.92</v>
      </c>
      <c r="R510" s="218" t="str">
        <f t="shared" si="38"/>
        <v>NO</v>
      </c>
      <c r="S510" s="201" t="str">
        <f t="shared" si="37"/>
        <v>Alto</v>
      </c>
    </row>
    <row r="511" spans="1:19" ht="32.1" customHeight="1">
      <c r="A511" s="532" t="s">
        <v>183</v>
      </c>
      <c r="B511" s="494" t="s">
        <v>2712</v>
      </c>
      <c r="C511" s="517" t="s">
        <v>2713</v>
      </c>
      <c r="D511" s="156">
        <v>1055</v>
      </c>
      <c r="E511" s="200"/>
      <c r="F511" s="200">
        <v>0</v>
      </c>
      <c r="G511" s="200"/>
      <c r="H511" s="200">
        <v>0</v>
      </c>
      <c r="I511" s="200">
        <v>0</v>
      </c>
      <c r="J511" s="200"/>
      <c r="K511" s="200"/>
      <c r="L511" s="200"/>
      <c r="M511" s="200"/>
      <c r="N511" s="200"/>
      <c r="O511" s="200">
        <v>0</v>
      </c>
      <c r="P511" s="200"/>
      <c r="Q511" s="226">
        <f t="shared" si="42"/>
        <v>0</v>
      </c>
      <c r="R511" s="146" t="str">
        <f t="shared" si="38"/>
        <v>SI</v>
      </c>
      <c r="S511" s="201" t="str">
        <f t="shared" si="37"/>
        <v>Sin Riesgo</v>
      </c>
    </row>
    <row r="512" spans="1:19" ht="32.1" customHeight="1">
      <c r="A512" s="532" t="s">
        <v>183</v>
      </c>
      <c r="B512" s="494" t="s">
        <v>2714</v>
      </c>
      <c r="C512" s="517" t="s">
        <v>2715</v>
      </c>
      <c r="D512" s="156">
        <v>165</v>
      </c>
      <c r="E512" s="200"/>
      <c r="F512" s="200">
        <v>92.1</v>
      </c>
      <c r="G512" s="200"/>
      <c r="H512" s="200">
        <v>0</v>
      </c>
      <c r="I512" s="200"/>
      <c r="J512" s="200"/>
      <c r="K512" s="200"/>
      <c r="L512" s="200"/>
      <c r="M512" s="200"/>
      <c r="N512" s="200"/>
      <c r="O512" s="200"/>
      <c r="P512" s="200"/>
      <c r="Q512" s="226">
        <f t="shared" si="42"/>
        <v>46.05</v>
      </c>
      <c r="R512" s="218" t="str">
        <f t="shared" si="38"/>
        <v>NO</v>
      </c>
      <c r="S512" s="201" t="str">
        <f t="shared" si="37"/>
        <v>Alto</v>
      </c>
    </row>
    <row r="513" spans="1:19" ht="32.1" customHeight="1">
      <c r="A513" s="532" t="s">
        <v>183</v>
      </c>
      <c r="B513" s="494" t="s">
        <v>1904</v>
      </c>
      <c r="C513" s="517" t="s">
        <v>2716</v>
      </c>
      <c r="D513" s="156">
        <v>426</v>
      </c>
      <c r="E513" s="200"/>
      <c r="F513" s="200">
        <v>0</v>
      </c>
      <c r="G513" s="200"/>
      <c r="H513" s="200"/>
      <c r="I513" s="200">
        <v>0</v>
      </c>
      <c r="J513" s="200"/>
      <c r="K513" s="200"/>
      <c r="L513" s="200"/>
      <c r="M513" s="200"/>
      <c r="N513" s="200"/>
      <c r="O513" s="200">
        <v>2</v>
      </c>
      <c r="P513" s="200"/>
      <c r="Q513" s="226">
        <f t="shared" si="42"/>
        <v>0.66666666666666663</v>
      </c>
      <c r="R513" s="146" t="str">
        <f t="shared" si="38"/>
        <v>SI</v>
      </c>
      <c r="S513" s="201" t="str">
        <f t="shared" si="37"/>
        <v>Sin Riesgo</v>
      </c>
    </row>
    <row r="514" spans="1:19" ht="32.1" customHeight="1">
      <c r="A514" s="532" t="s">
        <v>183</v>
      </c>
      <c r="B514" s="494" t="s">
        <v>1425</v>
      </c>
      <c r="C514" s="517" t="s">
        <v>2717</v>
      </c>
      <c r="D514" s="156">
        <v>103</v>
      </c>
      <c r="E514" s="200"/>
      <c r="F514" s="200">
        <v>19.739999999999998</v>
      </c>
      <c r="G514" s="200"/>
      <c r="H514" s="200"/>
      <c r="I514" s="200">
        <v>0</v>
      </c>
      <c r="J514" s="200"/>
      <c r="K514" s="200"/>
      <c r="L514" s="200"/>
      <c r="M514" s="200"/>
      <c r="N514" s="200"/>
      <c r="O514" s="200">
        <v>19.739999999999998</v>
      </c>
      <c r="P514" s="200"/>
      <c r="Q514" s="226">
        <f t="shared" si="42"/>
        <v>13.159999999999998</v>
      </c>
      <c r="R514" s="218" t="str">
        <f t="shared" si="38"/>
        <v>NO</v>
      </c>
      <c r="S514" s="201" t="str">
        <f t="shared" si="37"/>
        <v>Bajo</v>
      </c>
    </row>
    <row r="515" spans="1:19" ht="32.1" customHeight="1">
      <c r="A515" s="532" t="s">
        <v>183</v>
      </c>
      <c r="B515" s="494" t="s">
        <v>2718</v>
      </c>
      <c r="C515" s="517" t="s">
        <v>2719</v>
      </c>
      <c r="D515" s="156">
        <v>60</v>
      </c>
      <c r="E515" s="200"/>
      <c r="F515" s="200">
        <v>0</v>
      </c>
      <c r="G515" s="200"/>
      <c r="H515" s="200"/>
      <c r="I515" s="200">
        <v>19.739999999999998</v>
      </c>
      <c r="J515" s="200"/>
      <c r="K515" s="200"/>
      <c r="L515" s="200"/>
      <c r="M515" s="200"/>
      <c r="N515" s="200"/>
      <c r="O515" s="200">
        <v>0</v>
      </c>
      <c r="P515" s="200"/>
      <c r="Q515" s="226">
        <f t="shared" si="42"/>
        <v>6.5799999999999992</v>
      </c>
      <c r="R515" s="218" t="str">
        <f t="shared" si="38"/>
        <v>NO</v>
      </c>
      <c r="S515" s="201" t="str">
        <f t="shared" si="37"/>
        <v>Bajo</v>
      </c>
    </row>
    <row r="516" spans="1:19" ht="32.1" customHeight="1">
      <c r="A516" s="532" t="s">
        <v>183</v>
      </c>
      <c r="B516" s="494" t="s">
        <v>63</v>
      </c>
      <c r="C516" s="517" t="s">
        <v>2720</v>
      </c>
      <c r="D516" s="156">
        <v>52</v>
      </c>
      <c r="E516" s="200"/>
      <c r="F516" s="200"/>
      <c r="G516" s="200">
        <v>0</v>
      </c>
      <c r="H516" s="200"/>
      <c r="I516" s="200"/>
      <c r="J516" s="200"/>
      <c r="K516" s="200"/>
      <c r="L516" s="200"/>
      <c r="M516" s="200">
        <v>74.34</v>
      </c>
      <c r="N516" s="200"/>
      <c r="O516" s="200"/>
      <c r="P516" s="200"/>
      <c r="Q516" s="226">
        <f t="shared" si="42"/>
        <v>37.17</v>
      </c>
      <c r="R516" s="218" t="str">
        <f t="shared" si="38"/>
        <v>NO</v>
      </c>
      <c r="S516" s="201" t="str">
        <f t="shared" si="37"/>
        <v>Alto</v>
      </c>
    </row>
    <row r="517" spans="1:19" ht="32.1" customHeight="1">
      <c r="A517" s="532" t="s">
        <v>183</v>
      </c>
      <c r="B517" s="494" t="s">
        <v>2721</v>
      </c>
      <c r="C517" s="517" t="s">
        <v>2722</v>
      </c>
      <c r="D517" s="156">
        <v>64</v>
      </c>
      <c r="E517" s="200"/>
      <c r="F517" s="200"/>
      <c r="G517" s="200"/>
      <c r="H517" s="200"/>
      <c r="I517" s="200"/>
      <c r="J517" s="200"/>
      <c r="K517" s="200"/>
      <c r="L517" s="200"/>
      <c r="M517" s="200"/>
      <c r="N517" s="200"/>
      <c r="O517" s="200">
        <v>19.739999999999998</v>
      </c>
      <c r="P517" s="200"/>
      <c r="Q517" s="226">
        <f t="shared" si="42"/>
        <v>19.739999999999998</v>
      </c>
      <c r="R517" s="146" t="str">
        <f t="shared" si="38"/>
        <v>NO</v>
      </c>
      <c r="S517" s="201" t="str">
        <f t="shared" si="37"/>
        <v>Medio</v>
      </c>
    </row>
    <row r="518" spans="1:19" ht="32.1" customHeight="1">
      <c r="A518" s="532" t="s">
        <v>183</v>
      </c>
      <c r="B518" s="494" t="s">
        <v>2723</v>
      </c>
      <c r="C518" s="517" t="s">
        <v>2724</v>
      </c>
      <c r="D518" s="156">
        <v>36</v>
      </c>
      <c r="E518" s="200"/>
      <c r="F518" s="200"/>
      <c r="G518" s="200"/>
      <c r="H518" s="200">
        <v>72.34</v>
      </c>
      <c r="I518" s="200"/>
      <c r="J518" s="200"/>
      <c r="K518" s="200"/>
      <c r="L518" s="200"/>
      <c r="M518" s="200"/>
      <c r="N518" s="200"/>
      <c r="O518" s="200"/>
      <c r="P518" s="200"/>
      <c r="Q518" s="226">
        <f t="shared" si="42"/>
        <v>72.34</v>
      </c>
      <c r="R518" s="146" t="str">
        <f t="shared" si="38"/>
        <v>NO</v>
      </c>
      <c r="S518" s="201" t="str">
        <f t="shared" si="37"/>
        <v>Alto</v>
      </c>
    </row>
    <row r="519" spans="1:19" ht="32.1" customHeight="1">
      <c r="A519" s="532" t="s">
        <v>183</v>
      </c>
      <c r="B519" s="494" t="s">
        <v>2725</v>
      </c>
      <c r="C519" s="517" t="s">
        <v>2726</v>
      </c>
      <c r="D519" s="156">
        <v>60</v>
      </c>
      <c r="E519" s="200"/>
      <c r="F519" s="200"/>
      <c r="G519" s="200"/>
      <c r="H519" s="200">
        <v>72.34</v>
      </c>
      <c r="I519" s="200"/>
      <c r="J519" s="200"/>
      <c r="K519" s="200"/>
      <c r="L519" s="200"/>
      <c r="M519" s="200"/>
      <c r="N519" s="200"/>
      <c r="O519" s="200"/>
      <c r="P519" s="200"/>
      <c r="Q519" s="226">
        <f t="shared" si="42"/>
        <v>72.34</v>
      </c>
      <c r="R519" s="146" t="str">
        <f t="shared" si="38"/>
        <v>NO</v>
      </c>
      <c r="S519" s="201" t="str">
        <f t="shared" si="37"/>
        <v>Alto</v>
      </c>
    </row>
    <row r="520" spans="1:19" ht="32.1" customHeight="1">
      <c r="A520" s="532" t="s">
        <v>183</v>
      </c>
      <c r="B520" s="494" t="s">
        <v>64</v>
      </c>
      <c r="C520" s="517" t="s">
        <v>2727</v>
      </c>
      <c r="D520" s="156">
        <v>72</v>
      </c>
      <c r="E520" s="200"/>
      <c r="F520" s="200">
        <v>72.37</v>
      </c>
      <c r="G520" s="200"/>
      <c r="H520" s="200"/>
      <c r="I520" s="200"/>
      <c r="J520" s="200"/>
      <c r="K520" s="200"/>
      <c r="L520" s="200"/>
      <c r="M520" s="200"/>
      <c r="N520" s="200"/>
      <c r="O520" s="200"/>
      <c r="P520" s="200"/>
      <c r="Q520" s="226">
        <f t="shared" si="42"/>
        <v>72.37</v>
      </c>
      <c r="R520" s="218" t="str">
        <f t="shared" si="38"/>
        <v>NO</v>
      </c>
      <c r="S520" s="201" t="str">
        <f t="shared" si="37"/>
        <v>Alto</v>
      </c>
    </row>
    <row r="521" spans="1:19" ht="32.1" customHeight="1">
      <c r="A521" s="532" t="s">
        <v>183</v>
      </c>
      <c r="B521" s="494" t="s">
        <v>2728</v>
      </c>
      <c r="C521" s="517" t="s">
        <v>2729</v>
      </c>
      <c r="D521" s="156">
        <v>17</v>
      </c>
      <c r="E521" s="200"/>
      <c r="F521" s="200"/>
      <c r="G521" s="200"/>
      <c r="H521" s="200"/>
      <c r="I521" s="200"/>
      <c r="J521" s="200">
        <v>49.18</v>
      </c>
      <c r="K521" s="200"/>
      <c r="L521" s="200"/>
      <c r="M521" s="200">
        <v>72.37</v>
      </c>
      <c r="N521" s="200"/>
      <c r="O521" s="200"/>
      <c r="P521" s="200"/>
      <c r="Q521" s="226">
        <f t="shared" si="42"/>
        <v>60.775000000000006</v>
      </c>
      <c r="R521" s="146" t="str">
        <f t="shared" si="38"/>
        <v>NO</v>
      </c>
      <c r="S521" s="201" t="str">
        <f t="shared" si="37"/>
        <v>Alto</v>
      </c>
    </row>
    <row r="522" spans="1:19" ht="32.1" customHeight="1">
      <c r="A522" s="379"/>
      <c r="B522" s="533"/>
      <c r="C522" s="533"/>
      <c r="D522" s="534"/>
      <c r="E522" s="381"/>
      <c r="F522" s="381"/>
      <c r="G522" s="381"/>
      <c r="H522" s="381"/>
      <c r="I522" s="381"/>
      <c r="J522" s="381"/>
      <c r="K522" s="381"/>
      <c r="L522" s="381"/>
      <c r="M522" s="381"/>
      <c r="N522" s="381"/>
      <c r="O522" s="381"/>
      <c r="P522" s="381"/>
      <c r="Q522" s="86"/>
      <c r="R522" s="191"/>
      <c r="S522" s="384"/>
    </row>
    <row r="523" spans="1:19">
      <c r="P523" s="18"/>
      <c r="Q523" s="18"/>
      <c r="R523" s="18"/>
    </row>
    <row r="524" spans="1:19" ht="45.75" customHeight="1">
      <c r="A524" s="438" t="s">
        <v>4385</v>
      </c>
      <c r="B524" s="438" t="s">
        <v>4432</v>
      </c>
      <c r="C524" s="547" t="s">
        <v>4575</v>
      </c>
      <c r="D524" s="548"/>
      <c r="E524" s="548"/>
      <c r="F524" s="548"/>
      <c r="G524" s="548"/>
      <c r="H524" s="548"/>
      <c r="I524" s="548"/>
      <c r="J524" s="548"/>
      <c r="K524" s="548"/>
      <c r="L524" s="548"/>
      <c r="M524" s="548"/>
      <c r="N524" s="548"/>
      <c r="O524" s="548"/>
      <c r="P524" s="548"/>
      <c r="Q524" s="548"/>
      <c r="R524" s="548"/>
      <c r="S524" s="548"/>
    </row>
    <row r="525" spans="1:19" ht="34.5" customHeight="1">
      <c r="A525" s="442" t="s">
        <v>4313</v>
      </c>
      <c r="B525" s="444">
        <f>COUNTIF(E10:P521,"&lt;=5")</f>
        <v>299</v>
      </c>
      <c r="C525" s="549" t="s">
        <v>4537</v>
      </c>
      <c r="D525" s="550"/>
      <c r="E525" s="550"/>
      <c r="F525" s="550"/>
      <c r="G525" s="550"/>
      <c r="H525" s="550"/>
      <c r="I525" s="550"/>
      <c r="J525" s="550"/>
      <c r="K525" s="550"/>
      <c r="L525" s="550"/>
      <c r="M525" s="550"/>
      <c r="N525" s="550"/>
      <c r="O525" s="550"/>
      <c r="P525" s="550"/>
      <c r="Q525" s="550"/>
      <c r="R525" s="550"/>
      <c r="S525" s="550"/>
    </row>
    <row r="526" spans="1:19" ht="32.25" customHeight="1">
      <c r="A526" s="428" t="s">
        <v>4314</v>
      </c>
      <c r="B526" s="441">
        <f>COUNTIFS(E10:P521,"&gt;5",E10:P521,"&lt;=14")</f>
        <v>1</v>
      </c>
    </row>
    <row r="527" spans="1:19" ht="32.25" customHeight="1">
      <c r="A527" s="429" t="s">
        <v>4315</v>
      </c>
      <c r="B527" s="435">
        <f>COUNTIFS(E10:P521,"&gt;14",E10:P521,"&lt;=35")</f>
        <v>67</v>
      </c>
    </row>
    <row r="528" spans="1:19" ht="32.25" customHeight="1">
      <c r="A528" s="430" t="s">
        <v>4316</v>
      </c>
      <c r="B528" s="435">
        <f>COUNTIFS(E10:P521,"&gt;35",E10:P521,"&lt;=80")</f>
        <v>182</v>
      </c>
    </row>
    <row r="529" spans="1:2" ht="32.25" customHeight="1">
      <c r="A529" s="431" t="s">
        <v>4317</v>
      </c>
      <c r="B529" s="435">
        <f>COUNTIFS(E10:P521,"&gt;80",E10:P521,"&lt;=100")</f>
        <v>297</v>
      </c>
    </row>
    <row r="530" spans="1:2" ht="32.25" customHeight="1">
      <c r="A530" s="451" t="s">
        <v>4318</v>
      </c>
      <c r="B530" s="452">
        <f>COUNT(E10:P521)</f>
        <v>846</v>
      </c>
    </row>
    <row r="531" spans="1:2" ht="37.5" customHeight="1">
      <c r="A531" s="434" t="s">
        <v>4321</v>
      </c>
      <c r="B531" s="436">
        <f>B530-B525</f>
        <v>547</v>
      </c>
    </row>
    <row r="532" spans="1:2"/>
    <row r="533" spans="1:2"/>
    <row r="534" spans="1:2"/>
    <row r="535" spans="1:2"/>
    <row r="536" spans="1:2"/>
    <row r="537" spans="1:2"/>
    <row r="538" spans="1:2"/>
    <row r="539" spans="1:2"/>
    <row r="540" spans="1:2"/>
    <row r="541" spans="1:2"/>
    <row r="542" spans="1:2"/>
    <row r="543" spans="1:2"/>
    <row r="544" spans="1:2"/>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hidden="1"/>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hidden="1"/>
    <row r="757" hidden="1"/>
    <row r="758" hidden="1"/>
    <row r="759" hidden="1"/>
    <row r="760" hidden="1"/>
    <row r="761" hidden="1"/>
    <row r="762" hidden="1"/>
    <row r="763" hidden="1"/>
  </sheetData>
  <autoFilter ref="A10:IV521">
    <sortState ref="A12:IV509">
      <sortCondition ref="A10:A514"/>
    </sortState>
  </autoFilter>
  <customSheetViews>
    <customSheetView guid="{45C8AF51-29EC-46A5-AB7F-1F0634E55D82}" scale="60" hiddenRows="1" hiddenColumns="1">
      <pane xSplit="2.1587982832618025" ySplit="10" topLeftCell="D509" activePane="bottomRight" state="frozenSplit"/>
      <selection pane="bottomRight" activeCell="C523" sqref="C523"/>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0" topLeftCell="D11" activePane="bottomRight" state="frozenSplit"/>
      <selection pane="bottomRight" activeCell="C340" sqref="C340"/>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hiddenColumns="1">
      <pane xSplit="3" ySplit="10" topLeftCell="D503" activePane="bottomRight" state="frozenSplit"/>
      <selection pane="bottomRight" activeCell="S518" sqref="S518"/>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0" topLeftCell="D23" activePane="bottomRight" state="frozenSplit"/>
      <selection pane="bottomRight" activeCell="D518" sqref="D51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IV509">
        <sortState ref="A12:IV509">
          <sortCondition ref="A10:A514"/>
        </sortState>
      </autoFilter>
    </customSheetView>
  </customSheetViews>
  <mergeCells count="23">
    <mergeCell ref="C524:S524"/>
    <mergeCell ref="C525:S525"/>
    <mergeCell ref="A7:B7"/>
    <mergeCell ref="S9:S10"/>
    <mergeCell ref="R9:R10"/>
    <mergeCell ref="Q9:Q10"/>
    <mergeCell ref="E9:P9"/>
    <mergeCell ref="C9:C10"/>
    <mergeCell ref="D9:D10"/>
    <mergeCell ref="B9:B10"/>
    <mergeCell ref="A9:A10"/>
    <mergeCell ref="S5:S6"/>
    <mergeCell ref="B1:D1"/>
    <mergeCell ref="B2:D2"/>
    <mergeCell ref="B4:D4"/>
    <mergeCell ref="B5:B6"/>
    <mergeCell ref="C5:C6"/>
    <mergeCell ref="D5:D6"/>
    <mergeCell ref="E5:G6"/>
    <mergeCell ref="H5:J6"/>
    <mergeCell ref="K5:M6"/>
    <mergeCell ref="N5:P6"/>
    <mergeCell ref="Q5:R6"/>
  </mergeCells>
  <phoneticPr fontId="2" type="noConversion"/>
  <conditionalFormatting sqref="T105 T79:T81 E11:Q93 E498:Q508 E95:Q95 E98:Q235 E237:Q434 E440:Q495 E510:Q521">
    <cfRule type="containsBlanks" dxfId="4452" priority="4355" stopIfTrue="1">
      <formula>LEN(TRIM(E11))=0</formula>
    </cfRule>
    <cfRule type="cellIs" dxfId="4451" priority="4356" stopIfTrue="1" operator="between">
      <formula>80.1</formula>
      <formula>100</formula>
    </cfRule>
    <cfRule type="cellIs" dxfId="4450" priority="4357" stopIfTrue="1" operator="between">
      <formula>35.1</formula>
      <formula>80</formula>
    </cfRule>
    <cfRule type="cellIs" dxfId="4449" priority="4358" stopIfTrue="1" operator="between">
      <formula>14.1</formula>
      <formula>35</formula>
    </cfRule>
    <cfRule type="cellIs" dxfId="4448" priority="4359" stopIfTrue="1" operator="between">
      <formula>5.1</formula>
      <formula>14</formula>
    </cfRule>
    <cfRule type="cellIs" dxfId="4447" priority="4360" stopIfTrue="1" operator="between">
      <formula>0</formula>
      <formula>5</formula>
    </cfRule>
    <cfRule type="containsBlanks" dxfId="4446" priority="4361" stopIfTrue="1">
      <formula>LEN(TRIM(E11))=0</formula>
    </cfRule>
  </conditionalFormatting>
  <conditionalFormatting sqref="T102 T82">
    <cfRule type="containsBlanks" dxfId="4445" priority="3009" stopIfTrue="1">
      <formula>LEN(TRIM(T82))=0</formula>
    </cfRule>
    <cfRule type="cellIs" dxfId="4444" priority="3010" stopIfTrue="1" operator="between">
      <formula>80.1</formula>
      <formula>100</formula>
    </cfRule>
    <cfRule type="cellIs" dxfId="4443" priority="3011" stopIfTrue="1" operator="between">
      <formula>35.1</formula>
      <formula>80</formula>
    </cfRule>
    <cfRule type="cellIs" dxfId="4442" priority="3012" stopIfTrue="1" operator="between">
      <formula>14.1</formula>
      <formula>35</formula>
    </cfRule>
    <cfRule type="cellIs" dxfId="4441" priority="3013" stopIfTrue="1" operator="between">
      <formula>5.1</formula>
      <formula>14</formula>
    </cfRule>
    <cfRule type="cellIs" dxfId="4440" priority="3014" stopIfTrue="1" operator="between">
      <formula>0</formula>
      <formula>5</formula>
    </cfRule>
    <cfRule type="containsBlanks" dxfId="4439" priority="3015" stopIfTrue="1">
      <formula>LEN(TRIM(T82))=0</formula>
    </cfRule>
  </conditionalFormatting>
  <conditionalFormatting sqref="R316 R300:R313 R127:R147 R177:R185 R319:R434 R149:R175 R188:R235 R237:R298 R440:R488">
    <cfRule type="cellIs" dxfId="4438" priority="2458" stopIfTrue="1" operator="equal">
      <formula>"NO"</formula>
    </cfRule>
  </conditionalFormatting>
  <conditionalFormatting sqref="Q176">
    <cfRule type="containsBlanks" dxfId="4437" priority="1472" stopIfTrue="1">
      <formula>LEN(TRIM(Q176))=0</formula>
    </cfRule>
    <cfRule type="cellIs" dxfId="4436" priority="1473" stopIfTrue="1" operator="between">
      <formula>80.1</formula>
      <formula>100</formula>
    </cfRule>
    <cfRule type="cellIs" dxfId="4435" priority="1474" stopIfTrue="1" operator="between">
      <formula>35.1</formula>
      <formula>80</formula>
    </cfRule>
    <cfRule type="cellIs" dxfId="4434" priority="1475" stopIfTrue="1" operator="between">
      <formula>14.1</formula>
      <formula>35</formula>
    </cfRule>
    <cfRule type="cellIs" dxfId="4433" priority="1476" stopIfTrue="1" operator="between">
      <formula>5.1</formula>
      <formula>14</formula>
    </cfRule>
    <cfRule type="cellIs" dxfId="4432" priority="1477" stopIfTrue="1" operator="between">
      <formula>0</formula>
      <formula>5</formula>
    </cfRule>
    <cfRule type="containsBlanks" dxfId="4431" priority="1478" stopIfTrue="1">
      <formula>LEN(TRIM(Q176))=0</formula>
    </cfRule>
  </conditionalFormatting>
  <conditionalFormatting sqref="R176">
    <cfRule type="cellIs" dxfId="4430" priority="1470" stopIfTrue="1" operator="equal">
      <formula>"NO"</formula>
    </cfRule>
  </conditionalFormatting>
  <conditionalFormatting sqref="Q186:Q187">
    <cfRule type="containsBlanks" dxfId="4429" priority="1457" stopIfTrue="1">
      <formula>LEN(TRIM(Q186))=0</formula>
    </cfRule>
    <cfRule type="cellIs" dxfId="4428" priority="1458" stopIfTrue="1" operator="between">
      <formula>80.1</formula>
      <formula>100</formula>
    </cfRule>
    <cfRule type="cellIs" dxfId="4427" priority="1459" stopIfTrue="1" operator="between">
      <formula>35.1</formula>
      <formula>80</formula>
    </cfRule>
    <cfRule type="cellIs" dxfId="4426" priority="1460" stopIfTrue="1" operator="between">
      <formula>14.1</formula>
      <formula>35</formula>
    </cfRule>
    <cfRule type="cellIs" dxfId="4425" priority="1461" stopIfTrue="1" operator="between">
      <formula>5.1</formula>
      <formula>14</formula>
    </cfRule>
    <cfRule type="cellIs" dxfId="4424" priority="1462" stopIfTrue="1" operator="between">
      <formula>0</formula>
      <formula>5</formula>
    </cfRule>
    <cfRule type="containsBlanks" dxfId="4423" priority="1463" stopIfTrue="1">
      <formula>LEN(TRIM(Q186))=0</formula>
    </cfRule>
  </conditionalFormatting>
  <conditionalFormatting sqref="R186:R187">
    <cfRule type="cellIs" dxfId="4422" priority="1455" stopIfTrue="1" operator="equal">
      <formula>"NO"</formula>
    </cfRule>
  </conditionalFormatting>
  <conditionalFormatting sqref="Q148">
    <cfRule type="containsBlanks" dxfId="4421" priority="1343" stopIfTrue="1">
      <formula>LEN(TRIM(Q148))=0</formula>
    </cfRule>
    <cfRule type="cellIs" dxfId="4420" priority="1344" stopIfTrue="1" operator="between">
      <formula>80.1</formula>
      <formula>100</formula>
    </cfRule>
    <cfRule type="cellIs" dxfId="4419" priority="1345" stopIfTrue="1" operator="between">
      <formula>35.1</formula>
      <formula>80</formula>
    </cfRule>
    <cfRule type="cellIs" dxfId="4418" priority="1346" stopIfTrue="1" operator="between">
      <formula>14.1</formula>
      <formula>35</formula>
    </cfRule>
    <cfRule type="cellIs" dxfId="4417" priority="1347" stopIfTrue="1" operator="between">
      <formula>5.1</formula>
      <formula>14</formula>
    </cfRule>
    <cfRule type="cellIs" dxfId="4416" priority="1348" stopIfTrue="1" operator="between">
      <formula>0</formula>
      <formula>5</formula>
    </cfRule>
    <cfRule type="containsBlanks" dxfId="4415" priority="1349" stopIfTrue="1">
      <formula>LEN(TRIM(Q148))=0</formula>
    </cfRule>
  </conditionalFormatting>
  <conditionalFormatting sqref="R148">
    <cfRule type="cellIs" dxfId="4414" priority="1341" stopIfTrue="1" operator="equal">
      <formula>"NO"</formula>
    </cfRule>
  </conditionalFormatting>
  <conditionalFormatting sqref="Q299">
    <cfRule type="containsBlanks" dxfId="4413" priority="1300" stopIfTrue="1">
      <formula>LEN(TRIM(Q299))=0</formula>
    </cfRule>
    <cfRule type="cellIs" dxfId="4412" priority="1301" stopIfTrue="1" operator="between">
      <formula>80.1</formula>
      <formula>100</formula>
    </cfRule>
    <cfRule type="cellIs" dxfId="4411" priority="1302" stopIfTrue="1" operator="between">
      <formula>35.1</formula>
      <formula>80</formula>
    </cfRule>
    <cfRule type="cellIs" dxfId="4410" priority="1303" stopIfTrue="1" operator="between">
      <formula>14.1</formula>
      <formula>35</formula>
    </cfRule>
    <cfRule type="cellIs" dxfId="4409" priority="1304" stopIfTrue="1" operator="between">
      <formula>5.1</formula>
      <formula>14</formula>
    </cfRule>
    <cfRule type="cellIs" dxfId="4408" priority="1305" stopIfTrue="1" operator="between">
      <formula>0</formula>
      <formula>5</formula>
    </cfRule>
    <cfRule type="containsBlanks" dxfId="4407" priority="1306" stopIfTrue="1">
      <formula>LEN(TRIM(Q299))=0</formula>
    </cfRule>
  </conditionalFormatting>
  <conditionalFormatting sqref="R299">
    <cfRule type="cellIs" dxfId="4406" priority="1298" stopIfTrue="1" operator="equal">
      <formula>"NO"</formula>
    </cfRule>
  </conditionalFormatting>
  <conditionalFormatting sqref="Q314:Q315">
    <cfRule type="containsBlanks" dxfId="4405" priority="1271" stopIfTrue="1">
      <formula>LEN(TRIM(Q314))=0</formula>
    </cfRule>
    <cfRule type="cellIs" dxfId="4404" priority="1272" stopIfTrue="1" operator="between">
      <formula>80.1</formula>
      <formula>100</formula>
    </cfRule>
    <cfRule type="cellIs" dxfId="4403" priority="1273" stopIfTrue="1" operator="between">
      <formula>35.1</formula>
      <formula>80</formula>
    </cfRule>
    <cfRule type="cellIs" dxfId="4402" priority="1274" stopIfTrue="1" operator="between">
      <formula>14.1</formula>
      <formula>35</formula>
    </cfRule>
    <cfRule type="cellIs" dxfId="4401" priority="1275" stopIfTrue="1" operator="between">
      <formula>5.1</formula>
      <formula>14</formula>
    </cfRule>
    <cfRule type="cellIs" dxfId="4400" priority="1276" stopIfTrue="1" operator="between">
      <formula>0</formula>
      <formula>5</formula>
    </cfRule>
    <cfRule type="containsBlanks" dxfId="4399" priority="1277" stopIfTrue="1">
      <formula>LEN(TRIM(Q314))=0</formula>
    </cfRule>
  </conditionalFormatting>
  <conditionalFormatting sqref="R314:R315">
    <cfRule type="cellIs" dxfId="4398" priority="1269" stopIfTrue="1" operator="equal">
      <formula>"NO"</formula>
    </cfRule>
  </conditionalFormatting>
  <conditionalFormatting sqref="Q317">
    <cfRule type="containsBlanks" dxfId="4397" priority="1256" stopIfTrue="1">
      <formula>LEN(TRIM(Q317))=0</formula>
    </cfRule>
    <cfRule type="cellIs" dxfId="4396" priority="1257" stopIfTrue="1" operator="between">
      <formula>80.1</formula>
      <formula>100</formula>
    </cfRule>
    <cfRule type="cellIs" dxfId="4395" priority="1258" stopIfTrue="1" operator="between">
      <formula>35.1</formula>
      <formula>80</formula>
    </cfRule>
    <cfRule type="cellIs" dxfId="4394" priority="1259" stopIfTrue="1" operator="between">
      <formula>14.1</formula>
      <formula>35</formula>
    </cfRule>
    <cfRule type="cellIs" dxfId="4393" priority="1260" stopIfTrue="1" operator="between">
      <formula>5.1</formula>
      <formula>14</formula>
    </cfRule>
    <cfRule type="cellIs" dxfId="4392" priority="1261" stopIfTrue="1" operator="between">
      <formula>0</formula>
      <formula>5</formula>
    </cfRule>
    <cfRule type="containsBlanks" dxfId="4391" priority="1262" stopIfTrue="1">
      <formula>LEN(TRIM(Q317))=0</formula>
    </cfRule>
  </conditionalFormatting>
  <conditionalFormatting sqref="R317">
    <cfRule type="cellIs" dxfId="4390" priority="1254" stopIfTrue="1" operator="equal">
      <formula>"NO"</formula>
    </cfRule>
  </conditionalFormatting>
  <conditionalFormatting sqref="Q318">
    <cfRule type="containsBlanks" dxfId="4389" priority="1241" stopIfTrue="1">
      <formula>LEN(TRIM(Q318))=0</formula>
    </cfRule>
    <cfRule type="cellIs" dxfId="4388" priority="1242" stopIfTrue="1" operator="between">
      <formula>80.1</formula>
      <formula>100</formula>
    </cfRule>
    <cfRule type="cellIs" dxfId="4387" priority="1243" stopIfTrue="1" operator="between">
      <formula>35.1</formula>
      <formula>80</formula>
    </cfRule>
    <cfRule type="cellIs" dxfId="4386" priority="1244" stopIfTrue="1" operator="between">
      <formula>14.1</formula>
      <formula>35</formula>
    </cfRule>
    <cfRule type="cellIs" dxfId="4385" priority="1245" stopIfTrue="1" operator="between">
      <formula>5.1</formula>
      <formula>14</formula>
    </cfRule>
    <cfRule type="cellIs" dxfId="4384" priority="1246" stopIfTrue="1" operator="between">
      <formula>0</formula>
      <formula>5</formula>
    </cfRule>
    <cfRule type="containsBlanks" dxfId="4383" priority="1247" stopIfTrue="1">
      <formula>LEN(TRIM(Q318))=0</formula>
    </cfRule>
  </conditionalFormatting>
  <conditionalFormatting sqref="R318">
    <cfRule type="cellIs" dxfId="4382" priority="1239" stopIfTrue="1" operator="equal">
      <formula>"NO"</formula>
    </cfRule>
  </conditionalFormatting>
  <conditionalFormatting sqref="Q489:Q490">
    <cfRule type="containsBlanks" dxfId="4381" priority="208" stopIfTrue="1">
      <formula>LEN(TRIM(Q489))=0</formula>
    </cfRule>
    <cfRule type="cellIs" dxfId="4380" priority="209" stopIfTrue="1" operator="between">
      <formula>80.1</formula>
      <formula>100</formula>
    </cfRule>
    <cfRule type="cellIs" dxfId="4379" priority="210" stopIfTrue="1" operator="between">
      <formula>35.1</formula>
      <formula>80</formula>
    </cfRule>
    <cfRule type="cellIs" dxfId="4378" priority="211" stopIfTrue="1" operator="between">
      <formula>14.1</formula>
      <formula>35</formula>
    </cfRule>
    <cfRule type="cellIs" dxfId="4377" priority="212" stopIfTrue="1" operator="between">
      <formula>5.1</formula>
      <formula>14</formula>
    </cfRule>
    <cfRule type="cellIs" dxfId="4376" priority="213" stopIfTrue="1" operator="between">
      <formula>0</formula>
      <formula>5</formula>
    </cfRule>
    <cfRule type="containsBlanks" dxfId="4375" priority="214" stopIfTrue="1">
      <formula>LEN(TRIM(Q489))=0</formula>
    </cfRule>
  </conditionalFormatting>
  <conditionalFormatting sqref="R489:R490">
    <cfRule type="cellIs" dxfId="4374" priority="206" stopIfTrue="1" operator="equal">
      <formula>"NO"</formula>
    </cfRule>
  </conditionalFormatting>
  <conditionalFormatting sqref="R11:R93 R95 R98:R126">
    <cfRule type="cellIs" dxfId="4373" priority="199" stopIfTrue="1" operator="equal">
      <formula>"NO"</formula>
    </cfRule>
  </conditionalFormatting>
  <conditionalFormatting sqref="S11:S93 S237:S434 S440:S495 S498:S508 S510:S522 S95 S98:S235">
    <cfRule type="cellIs" dxfId="4372" priority="198" stopIfTrue="1" operator="equal">
      <formula>"INVIABLE SANITARIAMENTE"</formula>
    </cfRule>
  </conditionalFormatting>
  <conditionalFormatting sqref="S11:S93 S237:S434 S440:S495 S498:S508 S510:S522 S95 S98:S235">
    <cfRule type="containsText" dxfId="4371" priority="186" stopIfTrue="1" operator="containsText" text="INVIABLE SANITARIAMENTE">
      <formula>NOT(ISERROR(SEARCH("INVIABLE SANITARIAMENTE",S11)))</formula>
    </cfRule>
    <cfRule type="containsText" dxfId="4370" priority="187" stopIfTrue="1" operator="containsText" text="ALTO">
      <formula>NOT(ISERROR(SEARCH("ALTO",S11)))</formula>
    </cfRule>
    <cfRule type="containsText" dxfId="4369" priority="188" stopIfTrue="1" operator="containsText" text="MEDIO">
      <formula>NOT(ISERROR(SEARCH("MEDIO",S11)))</formula>
    </cfRule>
    <cfRule type="containsText" dxfId="4368" priority="189" stopIfTrue="1" operator="containsText" text="BAJO">
      <formula>NOT(ISERROR(SEARCH("BAJO",S11)))</formula>
    </cfRule>
    <cfRule type="containsText" dxfId="4367" priority="190" stopIfTrue="1" operator="containsText" text="SIN RIESGO">
      <formula>NOT(ISERROR(SEARCH("SIN RIESGO",S11)))</formula>
    </cfRule>
  </conditionalFormatting>
  <conditionalFormatting sqref="S11:S93 S237:S434 S440:S495 S498:S508 S510:S522 S95 S98:S235">
    <cfRule type="containsText" dxfId="4366" priority="185" stopIfTrue="1" operator="containsText" text="SIN RIESGO">
      <formula>NOT(ISERROR(SEARCH("SIN RIESGO",S11)))</formula>
    </cfRule>
  </conditionalFormatting>
  <conditionalFormatting sqref="E236:Q236">
    <cfRule type="containsBlanks" dxfId="4365" priority="171" stopIfTrue="1">
      <formula>LEN(TRIM(E236))=0</formula>
    </cfRule>
    <cfRule type="cellIs" dxfId="4364" priority="172" stopIfTrue="1" operator="between">
      <formula>80.1</formula>
      <formula>100</formula>
    </cfRule>
    <cfRule type="cellIs" dxfId="4363" priority="173" stopIfTrue="1" operator="between">
      <formula>35.1</formula>
      <formula>80</formula>
    </cfRule>
    <cfRule type="cellIs" dxfId="4362" priority="174" stopIfTrue="1" operator="between">
      <formula>14.1</formula>
      <formula>35</formula>
    </cfRule>
    <cfRule type="cellIs" dxfId="4361" priority="175" stopIfTrue="1" operator="between">
      <formula>5.1</formula>
      <formula>14</formula>
    </cfRule>
    <cfRule type="cellIs" dxfId="4360" priority="176" stopIfTrue="1" operator="between">
      <formula>0</formula>
      <formula>5</formula>
    </cfRule>
    <cfRule type="containsBlanks" dxfId="4359" priority="177" stopIfTrue="1">
      <formula>LEN(TRIM(E236))=0</formula>
    </cfRule>
  </conditionalFormatting>
  <conditionalFormatting sqref="R236">
    <cfRule type="cellIs" dxfId="4358" priority="170" stopIfTrue="1" operator="equal">
      <formula>"NO"</formula>
    </cfRule>
  </conditionalFormatting>
  <conditionalFormatting sqref="S236">
    <cfRule type="cellIs" dxfId="4357" priority="169" stopIfTrue="1" operator="equal">
      <formula>"INVIABLE SANITARIAMENTE"</formula>
    </cfRule>
  </conditionalFormatting>
  <conditionalFormatting sqref="S236">
    <cfRule type="containsText" dxfId="4356" priority="164" stopIfTrue="1" operator="containsText" text="INVIABLE SANITARIAMENTE">
      <formula>NOT(ISERROR(SEARCH("INVIABLE SANITARIAMENTE",S236)))</formula>
    </cfRule>
    <cfRule type="containsText" dxfId="4355" priority="165" stopIfTrue="1" operator="containsText" text="ALTO">
      <formula>NOT(ISERROR(SEARCH("ALTO",S236)))</formula>
    </cfRule>
    <cfRule type="containsText" dxfId="4354" priority="166" stopIfTrue="1" operator="containsText" text="MEDIO">
      <formula>NOT(ISERROR(SEARCH("MEDIO",S236)))</formula>
    </cfRule>
    <cfRule type="containsText" dxfId="4353" priority="167" stopIfTrue="1" operator="containsText" text="BAJO">
      <formula>NOT(ISERROR(SEARCH("BAJO",S236)))</formula>
    </cfRule>
    <cfRule type="containsText" dxfId="4352" priority="168" stopIfTrue="1" operator="containsText" text="SIN RIESGO">
      <formula>NOT(ISERROR(SEARCH("SIN RIESGO",S236)))</formula>
    </cfRule>
  </conditionalFormatting>
  <conditionalFormatting sqref="S236">
    <cfRule type="containsText" dxfId="4351" priority="163" stopIfTrue="1" operator="containsText" text="SIN RIESGO">
      <formula>NOT(ISERROR(SEARCH("SIN RIESGO",S236)))</formula>
    </cfRule>
  </conditionalFormatting>
  <conditionalFormatting sqref="E435:Q435">
    <cfRule type="containsBlanks" dxfId="4350" priority="156" stopIfTrue="1">
      <formula>LEN(TRIM(E435))=0</formula>
    </cfRule>
    <cfRule type="cellIs" dxfId="4349" priority="157" stopIfTrue="1" operator="between">
      <formula>80.1</formula>
      <formula>100</formula>
    </cfRule>
    <cfRule type="cellIs" dxfId="4348" priority="158" stopIfTrue="1" operator="between">
      <formula>35.1</formula>
      <formula>80</formula>
    </cfRule>
    <cfRule type="cellIs" dxfId="4347" priority="159" stopIfTrue="1" operator="between">
      <formula>14.1</formula>
      <formula>35</formula>
    </cfRule>
    <cfRule type="cellIs" dxfId="4346" priority="160" stopIfTrue="1" operator="between">
      <formula>5.1</formula>
      <formula>14</formula>
    </cfRule>
    <cfRule type="cellIs" dxfId="4345" priority="161" stopIfTrue="1" operator="between">
      <formula>0</formula>
      <formula>5</formula>
    </cfRule>
    <cfRule type="containsBlanks" dxfId="4344" priority="162" stopIfTrue="1">
      <formula>LEN(TRIM(E435))=0</formula>
    </cfRule>
  </conditionalFormatting>
  <conditionalFormatting sqref="R435">
    <cfRule type="cellIs" dxfId="4343" priority="155" stopIfTrue="1" operator="equal">
      <formula>"NO"</formula>
    </cfRule>
  </conditionalFormatting>
  <conditionalFormatting sqref="S435">
    <cfRule type="cellIs" dxfId="4342" priority="154" stopIfTrue="1" operator="equal">
      <formula>"INVIABLE SANITARIAMENTE"</formula>
    </cfRule>
  </conditionalFormatting>
  <conditionalFormatting sqref="S435">
    <cfRule type="containsText" dxfId="4341" priority="149" stopIfTrue="1" operator="containsText" text="INVIABLE SANITARIAMENTE">
      <formula>NOT(ISERROR(SEARCH("INVIABLE SANITARIAMENTE",S435)))</formula>
    </cfRule>
    <cfRule type="containsText" dxfId="4340" priority="150" stopIfTrue="1" operator="containsText" text="ALTO">
      <formula>NOT(ISERROR(SEARCH("ALTO",S435)))</formula>
    </cfRule>
    <cfRule type="containsText" dxfId="4339" priority="151" stopIfTrue="1" operator="containsText" text="MEDIO">
      <formula>NOT(ISERROR(SEARCH("MEDIO",S435)))</formula>
    </cfRule>
    <cfRule type="containsText" dxfId="4338" priority="152" stopIfTrue="1" operator="containsText" text="BAJO">
      <formula>NOT(ISERROR(SEARCH("BAJO",S435)))</formula>
    </cfRule>
    <cfRule type="containsText" dxfId="4337" priority="153" stopIfTrue="1" operator="containsText" text="SIN RIESGO">
      <formula>NOT(ISERROR(SEARCH("SIN RIESGO",S435)))</formula>
    </cfRule>
  </conditionalFormatting>
  <conditionalFormatting sqref="S435">
    <cfRule type="containsText" dxfId="4336" priority="148" stopIfTrue="1" operator="containsText" text="SIN RIESGO">
      <formula>NOT(ISERROR(SEARCH("SIN RIESGO",S435)))</formula>
    </cfRule>
  </conditionalFormatting>
  <conditionalFormatting sqref="E436:Q436">
    <cfRule type="containsBlanks" dxfId="4335" priority="141" stopIfTrue="1">
      <formula>LEN(TRIM(E436))=0</formula>
    </cfRule>
    <cfRule type="cellIs" dxfId="4334" priority="142" stopIfTrue="1" operator="between">
      <formula>80.1</formula>
      <formula>100</formula>
    </cfRule>
    <cfRule type="cellIs" dxfId="4333" priority="143" stopIfTrue="1" operator="between">
      <formula>35.1</formula>
      <formula>80</formula>
    </cfRule>
    <cfRule type="cellIs" dxfId="4332" priority="144" stopIfTrue="1" operator="between">
      <formula>14.1</formula>
      <formula>35</formula>
    </cfRule>
    <cfRule type="cellIs" dxfId="4331" priority="145" stopIfTrue="1" operator="between">
      <formula>5.1</formula>
      <formula>14</formula>
    </cfRule>
    <cfRule type="cellIs" dxfId="4330" priority="146" stopIfTrue="1" operator="between">
      <formula>0</formula>
      <formula>5</formula>
    </cfRule>
    <cfRule type="containsBlanks" dxfId="4329" priority="147" stopIfTrue="1">
      <formula>LEN(TRIM(E436))=0</formula>
    </cfRule>
  </conditionalFormatting>
  <conditionalFormatting sqref="R436">
    <cfRule type="cellIs" dxfId="4328" priority="140" stopIfTrue="1" operator="equal">
      <formula>"NO"</formula>
    </cfRule>
  </conditionalFormatting>
  <conditionalFormatting sqref="S436">
    <cfRule type="cellIs" dxfId="4327" priority="139" stopIfTrue="1" operator="equal">
      <formula>"INVIABLE SANITARIAMENTE"</formula>
    </cfRule>
  </conditionalFormatting>
  <conditionalFormatting sqref="S436">
    <cfRule type="containsText" dxfId="4326" priority="134" stopIfTrue="1" operator="containsText" text="INVIABLE SANITARIAMENTE">
      <formula>NOT(ISERROR(SEARCH("INVIABLE SANITARIAMENTE",S436)))</formula>
    </cfRule>
    <cfRule type="containsText" dxfId="4325" priority="135" stopIfTrue="1" operator="containsText" text="ALTO">
      <formula>NOT(ISERROR(SEARCH("ALTO",S436)))</formula>
    </cfRule>
    <cfRule type="containsText" dxfId="4324" priority="136" stopIfTrue="1" operator="containsText" text="MEDIO">
      <formula>NOT(ISERROR(SEARCH("MEDIO",S436)))</formula>
    </cfRule>
    <cfRule type="containsText" dxfId="4323" priority="137" stopIfTrue="1" operator="containsText" text="BAJO">
      <formula>NOT(ISERROR(SEARCH("BAJO",S436)))</formula>
    </cfRule>
    <cfRule type="containsText" dxfId="4322" priority="138" stopIfTrue="1" operator="containsText" text="SIN RIESGO">
      <formula>NOT(ISERROR(SEARCH("SIN RIESGO",S436)))</formula>
    </cfRule>
  </conditionalFormatting>
  <conditionalFormatting sqref="S436">
    <cfRule type="containsText" dxfId="4321" priority="133" stopIfTrue="1" operator="containsText" text="SIN RIESGO">
      <formula>NOT(ISERROR(SEARCH("SIN RIESGO",S436)))</formula>
    </cfRule>
  </conditionalFormatting>
  <conditionalFormatting sqref="E437:Q437">
    <cfRule type="containsBlanks" dxfId="4320" priority="126" stopIfTrue="1">
      <formula>LEN(TRIM(E437))=0</formula>
    </cfRule>
    <cfRule type="cellIs" dxfId="4319" priority="127" stopIfTrue="1" operator="between">
      <formula>80.1</formula>
      <formula>100</formula>
    </cfRule>
    <cfRule type="cellIs" dxfId="4318" priority="128" stopIfTrue="1" operator="between">
      <formula>35.1</formula>
      <formula>80</formula>
    </cfRule>
    <cfRule type="cellIs" dxfId="4317" priority="129" stopIfTrue="1" operator="between">
      <formula>14.1</formula>
      <formula>35</formula>
    </cfRule>
    <cfRule type="cellIs" dxfId="4316" priority="130" stopIfTrue="1" operator="between">
      <formula>5.1</formula>
      <formula>14</formula>
    </cfRule>
    <cfRule type="cellIs" dxfId="4315" priority="131" stopIfTrue="1" operator="between">
      <formula>0</formula>
      <formula>5</formula>
    </cfRule>
    <cfRule type="containsBlanks" dxfId="4314" priority="132" stopIfTrue="1">
      <formula>LEN(TRIM(E437))=0</formula>
    </cfRule>
  </conditionalFormatting>
  <conditionalFormatting sqref="R437">
    <cfRule type="cellIs" dxfId="4313" priority="125" stopIfTrue="1" operator="equal">
      <formula>"NO"</formula>
    </cfRule>
  </conditionalFormatting>
  <conditionalFormatting sqref="S437">
    <cfRule type="cellIs" dxfId="4312" priority="124" stopIfTrue="1" operator="equal">
      <formula>"INVIABLE SANITARIAMENTE"</formula>
    </cfRule>
  </conditionalFormatting>
  <conditionalFormatting sqref="S437">
    <cfRule type="containsText" dxfId="4311" priority="119" stopIfTrue="1" operator="containsText" text="INVIABLE SANITARIAMENTE">
      <formula>NOT(ISERROR(SEARCH("INVIABLE SANITARIAMENTE",S437)))</formula>
    </cfRule>
    <cfRule type="containsText" dxfId="4310" priority="120" stopIfTrue="1" operator="containsText" text="ALTO">
      <formula>NOT(ISERROR(SEARCH("ALTO",S437)))</formula>
    </cfRule>
    <cfRule type="containsText" dxfId="4309" priority="121" stopIfTrue="1" operator="containsText" text="MEDIO">
      <formula>NOT(ISERROR(SEARCH("MEDIO",S437)))</formula>
    </cfRule>
    <cfRule type="containsText" dxfId="4308" priority="122" stopIfTrue="1" operator="containsText" text="BAJO">
      <formula>NOT(ISERROR(SEARCH("BAJO",S437)))</formula>
    </cfRule>
    <cfRule type="containsText" dxfId="4307" priority="123" stopIfTrue="1" operator="containsText" text="SIN RIESGO">
      <formula>NOT(ISERROR(SEARCH("SIN RIESGO",S437)))</formula>
    </cfRule>
  </conditionalFormatting>
  <conditionalFormatting sqref="S437">
    <cfRule type="containsText" dxfId="4306" priority="118" stopIfTrue="1" operator="containsText" text="SIN RIESGO">
      <formula>NOT(ISERROR(SEARCH("SIN RIESGO",S437)))</formula>
    </cfRule>
  </conditionalFormatting>
  <conditionalFormatting sqref="E438:Q438">
    <cfRule type="containsBlanks" dxfId="4305" priority="111" stopIfTrue="1">
      <formula>LEN(TRIM(E438))=0</formula>
    </cfRule>
    <cfRule type="cellIs" dxfId="4304" priority="112" stopIfTrue="1" operator="between">
      <formula>80.1</formula>
      <formula>100</formula>
    </cfRule>
    <cfRule type="cellIs" dxfId="4303" priority="113" stopIfTrue="1" operator="between">
      <formula>35.1</formula>
      <formula>80</formula>
    </cfRule>
    <cfRule type="cellIs" dxfId="4302" priority="114" stopIfTrue="1" operator="between">
      <formula>14.1</formula>
      <formula>35</formula>
    </cfRule>
    <cfRule type="cellIs" dxfId="4301" priority="115" stopIfTrue="1" operator="between">
      <formula>5.1</formula>
      <formula>14</formula>
    </cfRule>
    <cfRule type="cellIs" dxfId="4300" priority="116" stopIfTrue="1" operator="between">
      <formula>0</formula>
      <formula>5</formula>
    </cfRule>
    <cfRule type="containsBlanks" dxfId="4299" priority="117" stopIfTrue="1">
      <formula>LEN(TRIM(E438))=0</formula>
    </cfRule>
  </conditionalFormatting>
  <conditionalFormatting sqref="R438">
    <cfRule type="cellIs" dxfId="4298" priority="110" stopIfTrue="1" operator="equal">
      <formula>"NO"</formula>
    </cfRule>
  </conditionalFormatting>
  <conditionalFormatting sqref="S438">
    <cfRule type="cellIs" dxfId="4297" priority="109" stopIfTrue="1" operator="equal">
      <formula>"INVIABLE SANITARIAMENTE"</formula>
    </cfRule>
  </conditionalFormatting>
  <conditionalFormatting sqref="S438">
    <cfRule type="containsText" dxfId="4296" priority="104" stopIfTrue="1" operator="containsText" text="INVIABLE SANITARIAMENTE">
      <formula>NOT(ISERROR(SEARCH("INVIABLE SANITARIAMENTE",S438)))</formula>
    </cfRule>
    <cfRule type="containsText" dxfId="4295" priority="105" stopIfTrue="1" operator="containsText" text="ALTO">
      <formula>NOT(ISERROR(SEARCH("ALTO",S438)))</formula>
    </cfRule>
    <cfRule type="containsText" dxfId="4294" priority="106" stopIfTrue="1" operator="containsText" text="MEDIO">
      <formula>NOT(ISERROR(SEARCH("MEDIO",S438)))</formula>
    </cfRule>
    <cfRule type="containsText" dxfId="4293" priority="107" stopIfTrue="1" operator="containsText" text="BAJO">
      <formula>NOT(ISERROR(SEARCH("BAJO",S438)))</formula>
    </cfRule>
    <cfRule type="containsText" dxfId="4292" priority="108" stopIfTrue="1" operator="containsText" text="SIN RIESGO">
      <formula>NOT(ISERROR(SEARCH("SIN RIESGO",S438)))</formula>
    </cfRule>
  </conditionalFormatting>
  <conditionalFormatting sqref="S438">
    <cfRule type="containsText" dxfId="4291" priority="103" stopIfTrue="1" operator="containsText" text="SIN RIESGO">
      <formula>NOT(ISERROR(SEARCH("SIN RIESGO",S438)))</formula>
    </cfRule>
  </conditionalFormatting>
  <conditionalFormatting sqref="E439:Q439">
    <cfRule type="containsBlanks" dxfId="4290" priority="96" stopIfTrue="1">
      <formula>LEN(TRIM(E439))=0</formula>
    </cfRule>
    <cfRule type="cellIs" dxfId="4289" priority="97" stopIfTrue="1" operator="between">
      <formula>80.1</formula>
      <formula>100</formula>
    </cfRule>
    <cfRule type="cellIs" dxfId="4288" priority="98" stopIfTrue="1" operator="between">
      <formula>35.1</formula>
      <formula>80</formula>
    </cfRule>
    <cfRule type="cellIs" dxfId="4287" priority="99" stopIfTrue="1" operator="between">
      <formula>14.1</formula>
      <formula>35</formula>
    </cfRule>
    <cfRule type="cellIs" dxfId="4286" priority="100" stopIfTrue="1" operator="between">
      <formula>5.1</formula>
      <formula>14</formula>
    </cfRule>
    <cfRule type="cellIs" dxfId="4285" priority="101" stopIfTrue="1" operator="between">
      <formula>0</formula>
      <formula>5</formula>
    </cfRule>
    <cfRule type="containsBlanks" dxfId="4284" priority="102" stopIfTrue="1">
      <formula>LEN(TRIM(E439))=0</formula>
    </cfRule>
  </conditionalFormatting>
  <conditionalFormatting sqref="R439">
    <cfRule type="cellIs" dxfId="4283" priority="95" stopIfTrue="1" operator="equal">
      <formula>"NO"</formula>
    </cfRule>
  </conditionalFormatting>
  <conditionalFormatting sqref="S439">
    <cfRule type="cellIs" dxfId="4282" priority="94" stopIfTrue="1" operator="equal">
      <formula>"INVIABLE SANITARIAMENTE"</formula>
    </cfRule>
  </conditionalFormatting>
  <conditionalFormatting sqref="S439">
    <cfRule type="containsText" dxfId="4281" priority="89" stopIfTrue="1" operator="containsText" text="INVIABLE SANITARIAMENTE">
      <formula>NOT(ISERROR(SEARCH("INVIABLE SANITARIAMENTE",S439)))</formula>
    </cfRule>
    <cfRule type="containsText" dxfId="4280" priority="90" stopIfTrue="1" operator="containsText" text="ALTO">
      <formula>NOT(ISERROR(SEARCH("ALTO",S439)))</formula>
    </cfRule>
    <cfRule type="containsText" dxfId="4279" priority="91" stopIfTrue="1" operator="containsText" text="MEDIO">
      <formula>NOT(ISERROR(SEARCH("MEDIO",S439)))</formula>
    </cfRule>
    <cfRule type="containsText" dxfId="4278" priority="92" stopIfTrue="1" operator="containsText" text="BAJO">
      <formula>NOT(ISERROR(SEARCH("BAJO",S439)))</formula>
    </cfRule>
    <cfRule type="containsText" dxfId="4277" priority="93" stopIfTrue="1" operator="containsText" text="SIN RIESGO">
      <formula>NOT(ISERROR(SEARCH("SIN RIESGO",S439)))</formula>
    </cfRule>
  </conditionalFormatting>
  <conditionalFormatting sqref="S439">
    <cfRule type="containsText" dxfId="4276" priority="88" stopIfTrue="1" operator="containsText" text="SIN RIESGO">
      <formula>NOT(ISERROR(SEARCH("SIN RIESGO",S439)))</formula>
    </cfRule>
  </conditionalFormatting>
  <conditionalFormatting sqref="E496:Q496">
    <cfRule type="containsBlanks" dxfId="4275" priority="81" stopIfTrue="1">
      <formula>LEN(TRIM(E496))=0</formula>
    </cfRule>
    <cfRule type="cellIs" dxfId="4274" priority="82" stopIfTrue="1" operator="between">
      <formula>80.1</formula>
      <formula>100</formula>
    </cfRule>
    <cfRule type="cellIs" dxfId="4273" priority="83" stopIfTrue="1" operator="between">
      <formula>35.1</formula>
      <formula>80</formula>
    </cfRule>
    <cfRule type="cellIs" dxfId="4272" priority="84" stopIfTrue="1" operator="between">
      <formula>14.1</formula>
      <formula>35</formula>
    </cfRule>
    <cfRule type="cellIs" dxfId="4271" priority="85" stopIfTrue="1" operator="between">
      <formula>5.1</formula>
      <formula>14</formula>
    </cfRule>
    <cfRule type="cellIs" dxfId="4270" priority="86" stopIfTrue="1" operator="between">
      <formula>0</formula>
      <formula>5</formula>
    </cfRule>
    <cfRule type="containsBlanks" dxfId="4269" priority="87" stopIfTrue="1">
      <formula>LEN(TRIM(E496))=0</formula>
    </cfRule>
  </conditionalFormatting>
  <conditionalFormatting sqref="S496">
    <cfRule type="cellIs" dxfId="4268" priority="80" stopIfTrue="1" operator="equal">
      <formula>"INVIABLE SANITARIAMENTE"</formula>
    </cfRule>
  </conditionalFormatting>
  <conditionalFormatting sqref="S496">
    <cfRule type="containsText" dxfId="4267" priority="75" stopIfTrue="1" operator="containsText" text="INVIABLE SANITARIAMENTE">
      <formula>NOT(ISERROR(SEARCH("INVIABLE SANITARIAMENTE",S496)))</formula>
    </cfRule>
    <cfRule type="containsText" dxfId="4266" priority="76" stopIfTrue="1" operator="containsText" text="ALTO">
      <formula>NOT(ISERROR(SEARCH("ALTO",S496)))</formula>
    </cfRule>
    <cfRule type="containsText" dxfId="4265" priority="77" stopIfTrue="1" operator="containsText" text="MEDIO">
      <formula>NOT(ISERROR(SEARCH("MEDIO",S496)))</formula>
    </cfRule>
    <cfRule type="containsText" dxfId="4264" priority="78" stopIfTrue="1" operator="containsText" text="BAJO">
      <formula>NOT(ISERROR(SEARCH("BAJO",S496)))</formula>
    </cfRule>
    <cfRule type="containsText" dxfId="4263" priority="79" stopIfTrue="1" operator="containsText" text="SIN RIESGO">
      <formula>NOT(ISERROR(SEARCH("SIN RIESGO",S496)))</formula>
    </cfRule>
  </conditionalFormatting>
  <conditionalFormatting sqref="S496">
    <cfRule type="containsText" dxfId="4262" priority="74" stopIfTrue="1" operator="containsText" text="SIN RIESGO">
      <formula>NOT(ISERROR(SEARCH("SIN RIESGO",S496)))</formula>
    </cfRule>
  </conditionalFormatting>
  <conditionalFormatting sqref="E497:Q497">
    <cfRule type="containsBlanks" dxfId="4261" priority="67" stopIfTrue="1">
      <formula>LEN(TRIM(E497))=0</formula>
    </cfRule>
    <cfRule type="cellIs" dxfId="4260" priority="68" stopIfTrue="1" operator="between">
      <formula>80.1</formula>
      <formula>100</formula>
    </cfRule>
    <cfRule type="cellIs" dxfId="4259" priority="69" stopIfTrue="1" operator="between">
      <formula>35.1</formula>
      <formula>80</formula>
    </cfRule>
    <cfRule type="cellIs" dxfId="4258" priority="70" stopIfTrue="1" operator="between">
      <formula>14.1</formula>
      <formula>35</formula>
    </cfRule>
    <cfRule type="cellIs" dxfId="4257" priority="71" stopIfTrue="1" operator="between">
      <formula>5.1</formula>
      <formula>14</formula>
    </cfRule>
    <cfRule type="cellIs" dxfId="4256" priority="72" stopIfTrue="1" operator="between">
      <formula>0</formula>
      <formula>5</formula>
    </cfRule>
    <cfRule type="containsBlanks" dxfId="4255" priority="73" stopIfTrue="1">
      <formula>LEN(TRIM(E497))=0</formula>
    </cfRule>
  </conditionalFormatting>
  <conditionalFormatting sqref="S497">
    <cfRule type="cellIs" dxfId="4254" priority="66" stopIfTrue="1" operator="equal">
      <formula>"INVIABLE SANITARIAMENTE"</formula>
    </cfRule>
  </conditionalFormatting>
  <conditionalFormatting sqref="S497">
    <cfRule type="containsText" dxfId="4253" priority="61" stopIfTrue="1" operator="containsText" text="INVIABLE SANITARIAMENTE">
      <formula>NOT(ISERROR(SEARCH("INVIABLE SANITARIAMENTE",S497)))</formula>
    </cfRule>
    <cfRule type="containsText" dxfId="4252" priority="62" stopIfTrue="1" operator="containsText" text="ALTO">
      <formula>NOT(ISERROR(SEARCH("ALTO",S497)))</formula>
    </cfRule>
    <cfRule type="containsText" dxfId="4251" priority="63" stopIfTrue="1" operator="containsText" text="MEDIO">
      <formula>NOT(ISERROR(SEARCH("MEDIO",S497)))</formula>
    </cfRule>
    <cfRule type="containsText" dxfId="4250" priority="64" stopIfTrue="1" operator="containsText" text="BAJO">
      <formula>NOT(ISERROR(SEARCH("BAJO",S497)))</formula>
    </cfRule>
    <cfRule type="containsText" dxfId="4249" priority="65" stopIfTrue="1" operator="containsText" text="SIN RIESGO">
      <formula>NOT(ISERROR(SEARCH("SIN RIESGO",S497)))</formula>
    </cfRule>
  </conditionalFormatting>
  <conditionalFormatting sqref="S497">
    <cfRule type="containsText" dxfId="4248" priority="60" stopIfTrue="1" operator="containsText" text="SIN RIESGO">
      <formula>NOT(ISERROR(SEARCH("SIN RIESGO",S497)))</formula>
    </cfRule>
  </conditionalFormatting>
  <conditionalFormatting sqref="E509:Q509">
    <cfRule type="containsBlanks" dxfId="4247" priority="53" stopIfTrue="1">
      <formula>LEN(TRIM(E509))=0</formula>
    </cfRule>
    <cfRule type="cellIs" dxfId="4246" priority="54" stopIfTrue="1" operator="between">
      <formula>80.1</formula>
      <formula>100</formula>
    </cfRule>
    <cfRule type="cellIs" dxfId="4245" priority="55" stopIfTrue="1" operator="between">
      <formula>35.1</formula>
      <formula>80</formula>
    </cfRule>
    <cfRule type="cellIs" dxfId="4244" priority="56" stopIfTrue="1" operator="between">
      <formula>14.1</formula>
      <formula>35</formula>
    </cfRule>
    <cfRule type="cellIs" dxfId="4243" priority="57" stopIfTrue="1" operator="between">
      <formula>5.1</formula>
      <formula>14</formula>
    </cfRule>
    <cfRule type="cellIs" dxfId="4242" priority="58" stopIfTrue="1" operator="between">
      <formula>0</formula>
      <formula>5</formula>
    </cfRule>
    <cfRule type="containsBlanks" dxfId="4241" priority="59" stopIfTrue="1">
      <formula>LEN(TRIM(E509))=0</formula>
    </cfRule>
  </conditionalFormatting>
  <conditionalFormatting sqref="S509">
    <cfRule type="cellIs" dxfId="4240" priority="52" stopIfTrue="1" operator="equal">
      <formula>"INVIABLE SANITARIAMENTE"</formula>
    </cfRule>
  </conditionalFormatting>
  <conditionalFormatting sqref="S509">
    <cfRule type="containsText" dxfId="4239" priority="47" stopIfTrue="1" operator="containsText" text="INVIABLE SANITARIAMENTE">
      <formula>NOT(ISERROR(SEARCH("INVIABLE SANITARIAMENTE",S509)))</formula>
    </cfRule>
    <cfRule type="containsText" dxfId="4238" priority="48" stopIfTrue="1" operator="containsText" text="ALTO">
      <formula>NOT(ISERROR(SEARCH("ALTO",S509)))</formula>
    </cfRule>
    <cfRule type="containsText" dxfId="4237" priority="49" stopIfTrue="1" operator="containsText" text="MEDIO">
      <formula>NOT(ISERROR(SEARCH("MEDIO",S509)))</formula>
    </cfRule>
    <cfRule type="containsText" dxfId="4236" priority="50" stopIfTrue="1" operator="containsText" text="BAJO">
      <formula>NOT(ISERROR(SEARCH("BAJO",S509)))</formula>
    </cfRule>
    <cfRule type="containsText" dxfId="4235" priority="51" stopIfTrue="1" operator="containsText" text="SIN RIESGO">
      <formula>NOT(ISERROR(SEARCH("SIN RIESGO",S509)))</formula>
    </cfRule>
  </conditionalFormatting>
  <conditionalFormatting sqref="S509">
    <cfRule type="containsText" dxfId="4234" priority="46" stopIfTrue="1" operator="containsText" text="SIN RIESGO">
      <formula>NOT(ISERROR(SEARCH("SIN RIESGO",S509)))</formula>
    </cfRule>
  </conditionalFormatting>
  <conditionalFormatting sqref="E94:Q94">
    <cfRule type="containsBlanks" dxfId="4233" priority="39" stopIfTrue="1">
      <formula>LEN(TRIM(E94))=0</formula>
    </cfRule>
    <cfRule type="cellIs" dxfId="4232" priority="40" stopIfTrue="1" operator="between">
      <formula>80.1</formula>
      <formula>100</formula>
    </cfRule>
    <cfRule type="cellIs" dxfId="4231" priority="41" stopIfTrue="1" operator="between">
      <formula>35.1</formula>
      <formula>80</formula>
    </cfRule>
    <cfRule type="cellIs" dxfId="4230" priority="42" stopIfTrue="1" operator="between">
      <formula>14.1</formula>
      <formula>35</formula>
    </cfRule>
    <cfRule type="cellIs" dxfId="4229" priority="43" stopIfTrue="1" operator="between">
      <formula>5.1</formula>
      <formula>14</formula>
    </cfRule>
    <cfRule type="cellIs" dxfId="4228" priority="44" stopIfTrue="1" operator="between">
      <formula>0</formula>
      <formula>5</formula>
    </cfRule>
    <cfRule type="containsBlanks" dxfId="4227" priority="45" stopIfTrue="1">
      <formula>LEN(TRIM(E94))=0</formula>
    </cfRule>
  </conditionalFormatting>
  <conditionalFormatting sqref="R94">
    <cfRule type="cellIs" dxfId="4226" priority="38" stopIfTrue="1" operator="equal">
      <formula>"NO"</formula>
    </cfRule>
  </conditionalFormatting>
  <conditionalFormatting sqref="S94">
    <cfRule type="cellIs" dxfId="4225" priority="37" stopIfTrue="1" operator="equal">
      <formula>"INVIABLE SANITARIAMENTE"</formula>
    </cfRule>
  </conditionalFormatting>
  <conditionalFormatting sqref="S94">
    <cfRule type="containsText" dxfId="4224" priority="32" stopIfTrue="1" operator="containsText" text="INVIABLE SANITARIAMENTE">
      <formula>NOT(ISERROR(SEARCH("INVIABLE SANITARIAMENTE",S94)))</formula>
    </cfRule>
    <cfRule type="containsText" dxfId="4223" priority="33" stopIfTrue="1" operator="containsText" text="ALTO">
      <formula>NOT(ISERROR(SEARCH("ALTO",S94)))</formula>
    </cfRule>
    <cfRule type="containsText" dxfId="4222" priority="34" stopIfTrue="1" operator="containsText" text="MEDIO">
      <formula>NOT(ISERROR(SEARCH("MEDIO",S94)))</formula>
    </cfRule>
    <cfRule type="containsText" dxfId="4221" priority="35" stopIfTrue="1" operator="containsText" text="BAJO">
      <formula>NOT(ISERROR(SEARCH("BAJO",S94)))</formula>
    </cfRule>
    <cfRule type="containsText" dxfId="4220" priority="36" stopIfTrue="1" operator="containsText" text="SIN RIESGO">
      <formula>NOT(ISERROR(SEARCH("SIN RIESGO",S94)))</formula>
    </cfRule>
  </conditionalFormatting>
  <conditionalFormatting sqref="S94">
    <cfRule type="containsText" dxfId="4219" priority="31" stopIfTrue="1" operator="containsText" text="SIN RIESGO">
      <formula>NOT(ISERROR(SEARCH("SIN RIESGO",S94)))</formula>
    </cfRule>
  </conditionalFormatting>
  <conditionalFormatting sqref="E96:Q96">
    <cfRule type="containsBlanks" dxfId="4218" priority="24" stopIfTrue="1">
      <formula>LEN(TRIM(E96))=0</formula>
    </cfRule>
    <cfRule type="cellIs" dxfId="4217" priority="25" stopIfTrue="1" operator="between">
      <formula>80.1</formula>
      <formula>100</formula>
    </cfRule>
    <cfRule type="cellIs" dxfId="4216" priority="26" stopIfTrue="1" operator="between">
      <formula>35.1</formula>
      <formula>80</formula>
    </cfRule>
    <cfRule type="cellIs" dxfId="4215" priority="27" stopIfTrue="1" operator="between">
      <formula>14.1</formula>
      <formula>35</formula>
    </cfRule>
    <cfRule type="cellIs" dxfId="4214" priority="28" stopIfTrue="1" operator="between">
      <formula>5.1</formula>
      <formula>14</formula>
    </cfRule>
    <cfRule type="cellIs" dxfId="4213" priority="29" stopIfTrue="1" operator="between">
      <formula>0</formula>
      <formula>5</formula>
    </cfRule>
    <cfRule type="containsBlanks" dxfId="4212" priority="30" stopIfTrue="1">
      <formula>LEN(TRIM(E96))=0</formula>
    </cfRule>
  </conditionalFormatting>
  <conditionalFormatting sqref="R96">
    <cfRule type="cellIs" dxfId="4211" priority="23" stopIfTrue="1" operator="equal">
      <formula>"NO"</formula>
    </cfRule>
  </conditionalFormatting>
  <conditionalFormatting sqref="S96">
    <cfRule type="cellIs" dxfId="4210" priority="22" stopIfTrue="1" operator="equal">
      <formula>"INVIABLE SANITARIAMENTE"</formula>
    </cfRule>
  </conditionalFormatting>
  <conditionalFormatting sqref="S96">
    <cfRule type="containsText" dxfId="4209" priority="17" stopIfTrue="1" operator="containsText" text="INVIABLE SANITARIAMENTE">
      <formula>NOT(ISERROR(SEARCH("INVIABLE SANITARIAMENTE",S96)))</formula>
    </cfRule>
    <cfRule type="containsText" dxfId="4208" priority="18" stopIfTrue="1" operator="containsText" text="ALTO">
      <formula>NOT(ISERROR(SEARCH("ALTO",S96)))</formula>
    </cfRule>
    <cfRule type="containsText" dxfId="4207" priority="19" stopIfTrue="1" operator="containsText" text="MEDIO">
      <formula>NOT(ISERROR(SEARCH("MEDIO",S96)))</formula>
    </cfRule>
    <cfRule type="containsText" dxfId="4206" priority="20" stopIfTrue="1" operator="containsText" text="BAJO">
      <formula>NOT(ISERROR(SEARCH("BAJO",S96)))</formula>
    </cfRule>
    <cfRule type="containsText" dxfId="4205" priority="21" stopIfTrue="1" operator="containsText" text="SIN RIESGO">
      <formula>NOT(ISERROR(SEARCH("SIN RIESGO",S96)))</formula>
    </cfRule>
  </conditionalFormatting>
  <conditionalFormatting sqref="S96">
    <cfRule type="containsText" dxfId="4204" priority="16" stopIfTrue="1" operator="containsText" text="SIN RIESGO">
      <formula>NOT(ISERROR(SEARCH("SIN RIESGO",S96)))</formula>
    </cfRule>
  </conditionalFormatting>
  <conditionalFormatting sqref="E97:Q97">
    <cfRule type="containsBlanks" dxfId="4203" priority="9" stopIfTrue="1">
      <formula>LEN(TRIM(E97))=0</formula>
    </cfRule>
    <cfRule type="cellIs" dxfId="4202" priority="10" stopIfTrue="1" operator="between">
      <formula>80.1</formula>
      <formula>100</formula>
    </cfRule>
    <cfRule type="cellIs" dxfId="4201" priority="11" stopIfTrue="1" operator="between">
      <formula>35.1</formula>
      <formula>80</formula>
    </cfRule>
    <cfRule type="cellIs" dxfId="4200" priority="12" stopIfTrue="1" operator="between">
      <formula>14.1</formula>
      <formula>35</formula>
    </cfRule>
    <cfRule type="cellIs" dxfId="4199" priority="13" stopIfTrue="1" operator="between">
      <formula>5.1</formula>
      <formula>14</formula>
    </cfRule>
    <cfRule type="cellIs" dxfId="4198" priority="14" stopIfTrue="1" operator="between">
      <formula>0</formula>
      <formula>5</formula>
    </cfRule>
    <cfRule type="containsBlanks" dxfId="4197" priority="15" stopIfTrue="1">
      <formula>LEN(TRIM(E97))=0</formula>
    </cfRule>
  </conditionalFormatting>
  <conditionalFormatting sqref="R97">
    <cfRule type="cellIs" dxfId="4196" priority="8" stopIfTrue="1" operator="equal">
      <formula>"NO"</formula>
    </cfRule>
  </conditionalFormatting>
  <conditionalFormatting sqref="S97">
    <cfRule type="cellIs" dxfId="4195" priority="7" stopIfTrue="1" operator="equal">
      <formula>"INVIABLE SANITARIAMENTE"</formula>
    </cfRule>
  </conditionalFormatting>
  <conditionalFormatting sqref="S97">
    <cfRule type="containsText" dxfId="4194" priority="2" stopIfTrue="1" operator="containsText" text="INVIABLE SANITARIAMENTE">
      <formula>NOT(ISERROR(SEARCH("INVIABLE SANITARIAMENTE",S97)))</formula>
    </cfRule>
    <cfRule type="containsText" dxfId="4193" priority="3" stopIfTrue="1" operator="containsText" text="ALTO">
      <formula>NOT(ISERROR(SEARCH("ALTO",S97)))</formula>
    </cfRule>
    <cfRule type="containsText" dxfId="4192" priority="4" stopIfTrue="1" operator="containsText" text="MEDIO">
      <formula>NOT(ISERROR(SEARCH("MEDIO",S97)))</formula>
    </cfRule>
    <cfRule type="containsText" dxfId="4191" priority="5" stopIfTrue="1" operator="containsText" text="BAJO">
      <formula>NOT(ISERROR(SEARCH("BAJO",S97)))</formula>
    </cfRule>
    <cfRule type="containsText" dxfId="4190" priority="6" stopIfTrue="1" operator="containsText" text="SIN RIESGO">
      <formula>NOT(ISERROR(SEARCH("SIN RIESGO",S97)))</formula>
    </cfRule>
  </conditionalFormatting>
  <conditionalFormatting sqref="S97">
    <cfRule type="containsText" dxfId="4189" priority="1" stopIfTrue="1" operator="containsText" text="SIN RIESGO">
      <formula>NOT(ISERROR(SEARCH("SIN RIESGO",S97)))</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ignoredErrors>
    <ignoredError sqref="Q86:Q87 Q80:Q81" formulaRange="1"/>
  </ignoredErrors>
  <drawing r:id="rId6"/>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720"/>
  <sheetViews>
    <sheetView zoomScale="60" zoomScaleNormal="60" workbookViewId="0">
      <selection activeCell="B11" sqref="B11"/>
    </sheetView>
  </sheetViews>
  <sheetFormatPr baseColWidth="10" defaultColWidth="0" defaultRowHeight="12.75" customHeight="1" zeroHeight="1"/>
  <cols>
    <col min="1" max="1" width="40" style="34" customWidth="1"/>
    <col min="2" max="2" width="46.42578125" style="14" customWidth="1"/>
    <col min="3" max="3" width="63.42578125" style="19" customWidth="1"/>
    <col min="4" max="4" width="23.5703125" style="373" customWidth="1"/>
    <col min="5" max="18" width="10.7109375" style="13" customWidth="1"/>
    <col min="19" max="19" width="42.28515625" style="13" bestFit="1" customWidth="1"/>
    <col min="20" max="20" width="9.85546875" style="13" hidden="1" customWidth="1"/>
    <col min="21" max="16384" width="11.42578125" style="13" hidden="1"/>
  </cols>
  <sheetData>
    <row r="1" spans="1:23" s="7" customFormat="1" ht="18" customHeight="1">
      <c r="A1" s="54"/>
      <c r="B1" s="551" t="s">
        <v>258</v>
      </c>
      <c r="C1" s="551"/>
      <c r="D1" s="551"/>
      <c r="E1" s="100"/>
      <c r="F1" s="100"/>
      <c r="G1" s="100"/>
      <c r="H1" s="100"/>
      <c r="I1" s="100"/>
      <c r="J1" s="100"/>
      <c r="K1" s="100"/>
      <c r="L1" s="100"/>
      <c r="M1" s="100"/>
      <c r="N1" s="100"/>
      <c r="O1" s="100"/>
      <c r="P1" s="100"/>
      <c r="Q1" s="100"/>
      <c r="R1" s="101"/>
      <c r="S1" s="39" t="s">
        <v>546</v>
      </c>
      <c r="T1" s="3"/>
      <c r="U1" s="5"/>
      <c r="V1" s="6"/>
      <c r="W1" s="6"/>
    </row>
    <row r="2" spans="1:23" s="9" customFormat="1" ht="18" customHeight="1">
      <c r="A2" s="54"/>
      <c r="B2" s="552" t="s">
        <v>259</v>
      </c>
      <c r="C2" s="552"/>
      <c r="D2" s="552"/>
      <c r="E2" s="99"/>
      <c r="F2" s="99"/>
      <c r="G2" s="99"/>
      <c r="H2" s="99"/>
      <c r="I2" s="99"/>
      <c r="J2" s="99"/>
      <c r="K2" s="99"/>
      <c r="L2" s="99"/>
      <c r="M2" s="99"/>
      <c r="N2" s="99"/>
      <c r="O2" s="99"/>
      <c r="P2" s="99"/>
      <c r="Q2" s="99"/>
      <c r="R2" s="102"/>
      <c r="S2" s="40" t="s">
        <v>260</v>
      </c>
      <c r="T2" s="3"/>
      <c r="U2" s="8"/>
      <c r="V2" s="6"/>
      <c r="W2" s="6"/>
    </row>
    <row r="3" spans="1:23" s="7" customFormat="1" ht="18" customHeight="1">
      <c r="A3" s="54"/>
      <c r="B3" s="63" t="s">
        <v>4368</v>
      </c>
      <c r="C3" s="63"/>
      <c r="D3" s="425"/>
      <c r="E3" s="69"/>
      <c r="F3" s="69"/>
      <c r="G3" s="69"/>
      <c r="H3" s="69"/>
      <c r="I3" s="69"/>
      <c r="J3" s="69"/>
      <c r="K3" s="69"/>
      <c r="L3" s="69"/>
      <c r="M3" s="69"/>
      <c r="N3" s="69"/>
      <c r="O3" s="69"/>
      <c r="P3" s="69"/>
      <c r="Q3" s="69"/>
      <c r="R3" s="103"/>
      <c r="S3" s="40" t="s">
        <v>547</v>
      </c>
      <c r="T3" s="3"/>
      <c r="U3" s="5"/>
      <c r="V3" s="6"/>
      <c r="W3" s="6"/>
    </row>
    <row r="4" spans="1:23" s="7" customFormat="1" ht="18" customHeight="1">
      <c r="A4" s="54"/>
      <c r="B4" s="551" t="s">
        <v>4569</v>
      </c>
      <c r="C4" s="551"/>
      <c r="D4" s="551"/>
      <c r="E4" s="37"/>
      <c r="F4" s="37"/>
      <c r="G4" s="37"/>
      <c r="H4" s="37"/>
      <c r="I4" s="37"/>
      <c r="J4" s="37"/>
      <c r="K4" s="37"/>
      <c r="L4" s="37"/>
      <c r="M4" s="37"/>
      <c r="N4" s="37"/>
      <c r="O4" s="37"/>
      <c r="P4" s="37"/>
      <c r="Q4" s="37"/>
      <c r="R4" s="38"/>
      <c r="S4" s="40" t="s">
        <v>261</v>
      </c>
      <c r="T4" s="3"/>
      <c r="U4" s="5"/>
      <c r="V4" s="6"/>
      <c r="W4" s="6"/>
    </row>
    <row r="5" spans="1:23" s="32" customFormat="1" ht="15" customHeight="1">
      <c r="A5" s="42"/>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3" s="32" customFormat="1" ht="16.5" customHeight="1">
      <c r="A6" s="42"/>
      <c r="B6" s="558"/>
      <c r="C6" s="553"/>
      <c r="D6" s="557"/>
      <c r="E6" s="544"/>
      <c r="F6" s="544"/>
      <c r="G6" s="544"/>
      <c r="H6" s="539"/>
      <c r="I6" s="539"/>
      <c r="J6" s="539"/>
      <c r="K6" s="546"/>
      <c r="L6" s="546"/>
      <c r="M6" s="546"/>
      <c r="N6" s="543"/>
      <c r="O6" s="543"/>
      <c r="P6" s="543"/>
      <c r="Q6" s="562"/>
      <c r="R6" s="562"/>
      <c r="S6" s="538"/>
    </row>
    <row r="7" spans="1:23" s="32" customFormat="1" ht="6" customHeight="1">
      <c r="A7" s="555"/>
      <c r="B7" s="555"/>
      <c r="C7" s="43"/>
      <c r="D7" s="106"/>
      <c r="E7" s="44"/>
      <c r="F7" s="44"/>
      <c r="G7" s="44"/>
      <c r="H7" s="44"/>
      <c r="I7" s="44"/>
      <c r="J7" s="44"/>
      <c r="K7" s="44"/>
      <c r="L7" s="44"/>
      <c r="M7" s="44"/>
      <c r="N7" s="44"/>
      <c r="O7" s="44"/>
      <c r="P7" s="44"/>
      <c r="Q7" s="44"/>
      <c r="R7" s="44"/>
      <c r="S7" s="41"/>
    </row>
    <row r="8" spans="1:23" s="374" customFormat="1" ht="27" customHeight="1">
      <c r="A8" s="260" t="s">
        <v>4319</v>
      </c>
      <c r="B8" s="122"/>
      <c r="C8" s="118"/>
      <c r="D8" s="127"/>
      <c r="E8" s="118"/>
      <c r="F8" s="118"/>
      <c r="G8" s="118"/>
      <c r="H8" s="118"/>
      <c r="I8" s="118"/>
      <c r="J8" s="118"/>
      <c r="K8" s="118"/>
      <c r="L8" s="118"/>
      <c r="M8" s="118"/>
      <c r="N8" s="118"/>
      <c r="O8" s="118"/>
      <c r="P8" s="118"/>
      <c r="Q8" s="118"/>
      <c r="R8" s="118"/>
      <c r="S8" s="123"/>
    </row>
    <row r="9" spans="1:23" s="117" customFormat="1" ht="18" customHeight="1">
      <c r="A9" s="556" t="s">
        <v>37</v>
      </c>
      <c r="B9" s="554" t="s">
        <v>38</v>
      </c>
      <c r="C9" s="554" t="s">
        <v>262</v>
      </c>
      <c r="D9" s="569" t="s">
        <v>454</v>
      </c>
      <c r="E9" s="554" t="s">
        <v>33</v>
      </c>
      <c r="F9" s="554"/>
      <c r="G9" s="554"/>
      <c r="H9" s="554"/>
      <c r="I9" s="554"/>
      <c r="J9" s="554"/>
      <c r="K9" s="554"/>
      <c r="L9" s="554"/>
      <c r="M9" s="554"/>
      <c r="N9" s="554"/>
      <c r="O9" s="554"/>
      <c r="P9" s="554"/>
      <c r="Q9" s="567" t="s">
        <v>34</v>
      </c>
      <c r="R9" s="567" t="s">
        <v>36</v>
      </c>
      <c r="S9" s="554" t="s">
        <v>35</v>
      </c>
      <c r="T9" s="137"/>
    </row>
    <row r="10" spans="1:23" s="117" customFormat="1" ht="33" customHeight="1">
      <c r="A10" s="556"/>
      <c r="B10" s="554"/>
      <c r="C10" s="554"/>
      <c r="D10" s="570"/>
      <c r="E10" s="370" t="s">
        <v>21</v>
      </c>
      <c r="F10" s="370" t="s">
        <v>22</v>
      </c>
      <c r="G10" s="370" t="s">
        <v>23</v>
      </c>
      <c r="H10" s="370" t="s">
        <v>24</v>
      </c>
      <c r="I10" s="370" t="s">
        <v>25</v>
      </c>
      <c r="J10" s="370" t="s">
        <v>26</v>
      </c>
      <c r="K10" s="370" t="s">
        <v>27</v>
      </c>
      <c r="L10" s="370" t="s">
        <v>28</v>
      </c>
      <c r="M10" s="370" t="s">
        <v>29</v>
      </c>
      <c r="N10" s="370" t="s">
        <v>30</v>
      </c>
      <c r="O10" s="370" t="s">
        <v>31</v>
      </c>
      <c r="P10" s="370" t="s">
        <v>32</v>
      </c>
      <c r="Q10" s="567"/>
      <c r="R10" s="567"/>
      <c r="S10" s="554"/>
      <c r="T10" s="137"/>
    </row>
    <row r="11" spans="1:23" s="117" customFormat="1" ht="36.950000000000003" customHeight="1">
      <c r="A11" s="82" t="s">
        <v>235</v>
      </c>
      <c r="B11" s="82" t="s">
        <v>14</v>
      </c>
      <c r="C11" s="82" t="s">
        <v>415</v>
      </c>
      <c r="D11" s="119">
        <v>201</v>
      </c>
      <c r="E11" s="79"/>
      <c r="F11" s="79"/>
      <c r="G11" s="79"/>
      <c r="H11" s="79"/>
      <c r="I11" s="79">
        <v>53.1</v>
      </c>
      <c r="J11" s="79"/>
      <c r="K11" s="79">
        <v>53.1</v>
      </c>
      <c r="L11" s="79"/>
      <c r="M11" s="79"/>
      <c r="N11" s="79"/>
      <c r="O11" s="79"/>
      <c r="P11" s="79"/>
      <c r="Q11" s="81">
        <f t="shared" ref="Q11:Q43" si="0">AVERAGE(E11:P11)</f>
        <v>53.1</v>
      </c>
      <c r="R11" s="375" t="str">
        <f t="shared" ref="R11:R43" si="1">IF(Q11&lt;5,"SI","NO")</f>
        <v>NO</v>
      </c>
      <c r="S11" s="454" t="str">
        <f t="shared" ref="S11:S43" si="2">IF(Q11&lt;=5,"Sin Riesgo",IF(Q11 &lt;=14,"Bajo",IF(Q11&lt;=35,"Medio",IF(Q11&lt;=80,"Alto","Inviable Sanitariamente"))))</f>
        <v>Alto</v>
      </c>
      <c r="T11" s="150"/>
    </row>
    <row r="12" spans="1:23" s="117" customFormat="1" ht="36.950000000000003" customHeight="1">
      <c r="A12" s="82" t="s">
        <v>235</v>
      </c>
      <c r="B12" s="376" t="s">
        <v>50</v>
      </c>
      <c r="C12" s="536" t="s">
        <v>416</v>
      </c>
      <c r="D12" s="88"/>
      <c r="E12" s="79"/>
      <c r="F12" s="79"/>
      <c r="G12" s="79"/>
      <c r="H12" s="79"/>
      <c r="I12" s="79"/>
      <c r="J12" s="79"/>
      <c r="K12" s="79"/>
      <c r="L12" s="79"/>
      <c r="M12" s="79"/>
      <c r="N12" s="79"/>
      <c r="O12" s="79"/>
      <c r="P12" s="79"/>
      <c r="Q12" s="81" t="e">
        <f t="shared" si="0"/>
        <v>#DIV/0!</v>
      </c>
      <c r="R12" s="375" t="e">
        <f t="shared" si="1"/>
        <v>#DIV/0!</v>
      </c>
      <c r="S12" s="454" t="e">
        <f t="shared" si="2"/>
        <v>#DIV/0!</v>
      </c>
      <c r="T12" s="150"/>
    </row>
    <row r="13" spans="1:23" s="117" customFormat="1" ht="36.950000000000003" customHeight="1">
      <c r="A13" s="82" t="s">
        <v>235</v>
      </c>
      <c r="B13" s="110" t="s">
        <v>414</v>
      </c>
      <c r="C13" s="110" t="s">
        <v>1867</v>
      </c>
      <c r="D13" s="119">
        <v>600</v>
      </c>
      <c r="E13" s="79"/>
      <c r="F13" s="79"/>
      <c r="G13" s="79"/>
      <c r="H13" s="79"/>
      <c r="I13" s="79"/>
      <c r="J13" s="79"/>
      <c r="K13" s="79">
        <v>26.55</v>
      </c>
      <c r="L13" s="79"/>
      <c r="M13" s="79"/>
      <c r="N13" s="79"/>
      <c r="O13" s="79"/>
      <c r="P13" s="79"/>
      <c r="Q13" s="81">
        <f t="shared" si="0"/>
        <v>26.55</v>
      </c>
      <c r="R13" s="154" t="str">
        <f t="shared" si="1"/>
        <v>NO</v>
      </c>
      <c r="S13" s="454" t="str">
        <f t="shared" si="2"/>
        <v>Medio</v>
      </c>
    </row>
    <row r="14" spans="1:23" s="117" customFormat="1" ht="32.1" customHeight="1">
      <c r="A14" s="82" t="s">
        <v>235</v>
      </c>
      <c r="B14" s="110" t="s">
        <v>13</v>
      </c>
      <c r="C14" s="110" t="s">
        <v>1868</v>
      </c>
      <c r="D14" s="119">
        <v>195</v>
      </c>
      <c r="E14" s="79"/>
      <c r="F14" s="79"/>
      <c r="G14" s="79"/>
      <c r="H14" s="79"/>
      <c r="I14" s="79"/>
      <c r="J14" s="79"/>
      <c r="K14" s="79">
        <v>97.35</v>
      </c>
      <c r="L14" s="79"/>
      <c r="M14" s="79"/>
      <c r="N14" s="79"/>
      <c r="O14" s="79"/>
      <c r="P14" s="79"/>
      <c r="Q14" s="81">
        <f t="shared" si="0"/>
        <v>97.35</v>
      </c>
      <c r="R14" s="154" t="str">
        <f t="shared" si="1"/>
        <v>NO</v>
      </c>
      <c r="S14" s="454" t="str">
        <f t="shared" si="2"/>
        <v>Inviable Sanitariamente</v>
      </c>
    </row>
    <row r="15" spans="1:23" s="117" customFormat="1" ht="32.1" customHeight="1">
      <c r="A15" s="82" t="s">
        <v>235</v>
      </c>
      <c r="B15" s="110" t="s">
        <v>1869</v>
      </c>
      <c r="C15" s="110" t="s">
        <v>1870</v>
      </c>
      <c r="D15" s="119">
        <v>70</v>
      </c>
      <c r="E15" s="79"/>
      <c r="F15" s="79"/>
      <c r="G15" s="79"/>
      <c r="H15" s="79"/>
      <c r="I15" s="79"/>
      <c r="J15" s="79"/>
      <c r="K15" s="79">
        <v>93.7</v>
      </c>
      <c r="L15" s="79"/>
      <c r="M15" s="79"/>
      <c r="N15" s="79"/>
      <c r="O15" s="79"/>
      <c r="P15" s="79"/>
      <c r="Q15" s="81">
        <f t="shared" si="0"/>
        <v>93.7</v>
      </c>
      <c r="R15" s="154" t="str">
        <f t="shared" si="1"/>
        <v>NO</v>
      </c>
      <c r="S15" s="454" t="str">
        <f t="shared" si="2"/>
        <v>Inviable Sanitariamente</v>
      </c>
    </row>
    <row r="16" spans="1:23" s="117" customFormat="1" ht="32.1" customHeight="1">
      <c r="A16" s="82" t="s">
        <v>235</v>
      </c>
      <c r="B16" s="110" t="s">
        <v>1871</v>
      </c>
      <c r="C16" s="110" t="s">
        <v>1872</v>
      </c>
      <c r="D16" s="119">
        <v>150</v>
      </c>
      <c r="E16" s="79"/>
      <c r="F16" s="79"/>
      <c r="G16" s="79"/>
      <c r="H16" s="79"/>
      <c r="I16" s="79"/>
      <c r="J16" s="79"/>
      <c r="K16" s="79">
        <v>93.7</v>
      </c>
      <c r="L16" s="79"/>
      <c r="M16" s="79">
        <v>97.35</v>
      </c>
      <c r="N16" s="79"/>
      <c r="O16" s="79"/>
      <c r="P16" s="79"/>
      <c r="Q16" s="81">
        <f t="shared" si="0"/>
        <v>95.525000000000006</v>
      </c>
      <c r="R16" s="154" t="str">
        <f t="shared" si="1"/>
        <v>NO</v>
      </c>
      <c r="S16" s="454" t="str">
        <f t="shared" si="2"/>
        <v>Inviable Sanitariamente</v>
      </c>
    </row>
    <row r="17" spans="1:19" s="117" customFormat="1" ht="32.1" customHeight="1">
      <c r="A17" s="82" t="s">
        <v>235</v>
      </c>
      <c r="B17" s="110" t="s">
        <v>1873</v>
      </c>
      <c r="C17" s="110" t="s">
        <v>1874</v>
      </c>
      <c r="D17" s="119">
        <v>43</v>
      </c>
      <c r="E17" s="79"/>
      <c r="F17" s="79"/>
      <c r="G17" s="79"/>
      <c r="H17" s="79"/>
      <c r="I17" s="79"/>
      <c r="J17" s="79"/>
      <c r="K17" s="79">
        <v>93.7</v>
      </c>
      <c r="L17" s="79"/>
      <c r="M17" s="79"/>
      <c r="N17" s="79"/>
      <c r="O17" s="79"/>
      <c r="P17" s="79"/>
      <c r="Q17" s="81">
        <f t="shared" si="0"/>
        <v>93.7</v>
      </c>
      <c r="R17" s="154" t="str">
        <f t="shared" si="1"/>
        <v>NO</v>
      </c>
      <c r="S17" s="454" t="str">
        <f t="shared" si="2"/>
        <v>Inviable Sanitariamente</v>
      </c>
    </row>
    <row r="18" spans="1:19" s="117" customFormat="1" ht="32.1" customHeight="1">
      <c r="A18" s="82" t="s">
        <v>235</v>
      </c>
      <c r="B18" s="110" t="s">
        <v>417</v>
      </c>
      <c r="C18" s="110" t="s">
        <v>418</v>
      </c>
      <c r="D18" s="119">
        <v>36</v>
      </c>
      <c r="E18" s="401">
        <v>6.45</v>
      </c>
      <c r="F18" s="401">
        <v>26.55</v>
      </c>
      <c r="G18" s="401">
        <v>26.55</v>
      </c>
      <c r="H18" s="401">
        <v>0</v>
      </c>
      <c r="I18" s="401"/>
      <c r="J18" s="401">
        <v>48.8</v>
      </c>
      <c r="K18" s="401">
        <v>0</v>
      </c>
      <c r="L18" s="401">
        <v>0</v>
      </c>
      <c r="M18" s="401"/>
      <c r="N18" s="401">
        <v>0</v>
      </c>
      <c r="O18" s="401"/>
      <c r="P18" s="79">
        <v>0</v>
      </c>
      <c r="Q18" s="81">
        <f t="shared" si="0"/>
        <v>12.038888888888888</v>
      </c>
      <c r="R18" s="154" t="str">
        <f t="shared" si="1"/>
        <v>NO</v>
      </c>
      <c r="S18" s="454" t="str">
        <f t="shared" si="2"/>
        <v>Bajo</v>
      </c>
    </row>
    <row r="19" spans="1:19" s="117" customFormat="1" ht="32.1" customHeight="1">
      <c r="A19" s="82" t="s">
        <v>185</v>
      </c>
      <c r="B19" s="490" t="s">
        <v>1706</v>
      </c>
      <c r="C19" s="490" t="s">
        <v>1707</v>
      </c>
      <c r="D19" s="119">
        <v>25</v>
      </c>
      <c r="E19" s="79"/>
      <c r="F19" s="79"/>
      <c r="G19" s="79"/>
      <c r="H19" s="79"/>
      <c r="I19" s="79"/>
      <c r="J19" s="79">
        <v>97.3</v>
      </c>
      <c r="K19" s="79"/>
      <c r="L19" s="79"/>
      <c r="M19" s="79"/>
      <c r="N19" s="79"/>
      <c r="O19" s="79">
        <v>97.3</v>
      </c>
      <c r="P19" s="79"/>
      <c r="Q19" s="81">
        <f t="shared" si="0"/>
        <v>97.3</v>
      </c>
      <c r="R19" s="144" t="str">
        <f t="shared" si="1"/>
        <v>NO</v>
      </c>
      <c r="S19" s="454" t="str">
        <f t="shared" si="2"/>
        <v>Inviable Sanitariamente</v>
      </c>
    </row>
    <row r="20" spans="1:19" s="117" customFormat="1" ht="32.1" customHeight="1">
      <c r="A20" s="82" t="s">
        <v>185</v>
      </c>
      <c r="B20" s="490" t="s">
        <v>1708</v>
      </c>
      <c r="C20" s="490" t="s">
        <v>1709</v>
      </c>
      <c r="D20" s="119">
        <v>82</v>
      </c>
      <c r="E20" s="79"/>
      <c r="F20" s="79"/>
      <c r="G20" s="79"/>
      <c r="H20" s="79"/>
      <c r="I20" s="79"/>
      <c r="J20" s="79">
        <v>97.3</v>
      </c>
      <c r="K20" s="79"/>
      <c r="L20" s="79"/>
      <c r="M20" s="79"/>
      <c r="N20" s="79"/>
      <c r="O20" s="79"/>
      <c r="P20" s="79">
        <v>97.3</v>
      </c>
      <c r="Q20" s="81">
        <f t="shared" si="0"/>
        <v>97.3</v>
      </c>
      <c r="R20" s="144" t="str">
        <f t="shared" si="1"/>
        <v>NO</v>
      </c>
      <c r="S20" s="454" t="str">
        <f t="shared" si="2"/>
        <v>Inviable Sanitariamente</v>
      </c>
    </row>
    <row r="21" spans="1:19" s="117" customFormat="1" ht="32.1" customHeight="1">
      <c r="A21" s="82" t="s">
        <v>185</v>
      </c>
      <c r="B21" s="490" t="s">
        <v>686</v>
      </c>
      <c r="C21" s="490" t="s">
        <v>1710</v>
      </c>
      <c r="D21" s="119">
        <v>8</v>
      </c>
      <c r="E21" s="79"/>
      <c r="F21" s="79"/>
      <c r="G21" s="79"/>
      <c r="H21" s="79"/>
      <c r="I21" s="79"/>
      <c r="J21" s="79">
        <v>97.3</v>
      </c>
      <c r="K21" s="79"/>
      <c r="L21" s="79"/>
      <c r="M21" s="79"/>
      <c r="N21" s="79"/>
      <c r="O21" s="79"/>
      <c r="P21" s="79"/>
      <c r="Q21" s="81">
        <f t="shared" si="0"/>
        <v>97.3</v>
      </c>
      <c r="R21" s="154" t="str">
        <f t="shared" si="1"/>
        <v>NO</v>
      </c>
      <c r="S21" s="454" t="str">
        <f t="shared" si="2"/>
        <v>Inviable Sanitariamente</v>
      </c>
    </row>
    <row r="22" spans="1:19" s="117" customFormat="1" ht="31.5" customHeight="1">
      <c r="A22" s="82" t="s">
        <v>185</v>
      </c>
      <c r="B22" s="490" t="s">
        <v>1711</v>
      </c>
      <c r="C22" s="490" t="s">
        <v>1712</v>
      </c>
      <c r="D22" s="119">
        <v>45</v>
      </c>
      <c r="E22" s="79"/>
      <c r="F22" s="79"/>
      <c r="G22" s="79"/>
      <c r="H22" s="79"/>
      <c r="I22" s="79"/>
      <c r="J22" s="79">
        <v>100</v>
      </c>
      <c r="K22" s="79"/>
      <c r="L22" s="79"/>
      <c r="M22" s="79"/>
      <c r="N22" s="79"/>
      <c r="O22" s="79"/>
      <c r="P22" s="79">
        <v>97.3</v>
      </c>
      <c r="Q22" s="81">
        <f t="shared" si="0"/>
        <v>98.65</v>
      </c>
      <c r="R22" s="154" t="str">
        <f t="shared" si="1"/>
        <v>NO</v>
      </c>
      <c r="S22" s="454" t="str">
        <f t="shared" si="2"/>
        <v>Inviable Sanitariamente</v>
      </c>
    </row>
    <row r="23" spans="1:19" s="117" customFormat="1" ht="32.1" customHeight="1">
      <c r="A23" s="82" t="s">
        <v>185</v>
      </c>
      <c r="B23" s="490" t="s">
        <v>1713</v>
      </c>
      <c r="C23" s="490" t="s">
        <v>413</v>
      </c>
      <c r="D23" s="119">
        <v>8</v>
      </c>
      <c r="E23" s="79"/>
      <c r="F23" s="79"/>
      <c r="G23" s="79"/>
      <c r="H23" s="79"/>
      <c r="I23" s="79"/>
      <c r="J23" s="79">
        <v>97.3</v>
      </c>
      <c r="K23" s="79"/>
      <c r="L23" s="79"/>
      <c r="M23" s="79"/>
      <c r="N23" s="79"/>
      <c r="O23" s="79"/>
      <c r="P23" s="79"/>
      <c r="Q23" s="81">
        <f t="shared" si="0"/>
        <v>97.3</v>
      </c>
      <c r="R23" s="154" t="str">
        <f t="shared" si="1"/>
        <v>NO</v>
      </c>
      <c r="S23" s="454" t="str">
        <f t="shared" si="2"/>
        <v>Inviable Sanitariamente</v>
      </c>
    </row>
    <row r="24" spans="1:19" s="117" customFormat="1" ht="32.1" customHeight="1">
      <c r="A24" s="82" t="s">
        <v>185</v>
      </c>
      <c r="B24" s="490" t="s">
        <v>1714</v>
      </c>
      <c r="C24" s="490" t="s">
        <v>1715</v>
      </c>
      <c r="D24" s="119">
        <v>30</v>
      </c>
      <c r="E24" s="79"/>
      <c r="F24" s="79"/>
      <c r="G24" s="79"/>
      <c r="H24" s="79"/>
      <c r="I24" s="79"/>
      <c r="J24" s="79">
        <v>97.3</v>
      </c>
      <c r="K24" s="79"/>
      <c r="L24" s="79"/>
      <c r="M24" s="79"/>
      <c r="N24" s="79"/>
      <c r="O24" s="79"/>
      <c r="P24" s="79"/>
      <c r="Q24" s="81">
        <f t="shared" si="0"/>
        <v>97.3</v>
      </c>
      <c r="R24" s="154" t="str">
        <f t="shared" si="1"/>
        <v>NO</v>
      </c>
      <c r="S24" s="454" t="str">
        <f t="shared" si="2"/>
        <v>Inviable Sanitariamente</v>
      </c>
    </row>
    <row r="25" spans="1:19" s="117" customFormat="1" ht="32.1" customHeight="1">
      <c r="A25" s="82" t="s">
        <v>185</v>
      </c>
      <c r="B25" s="490" t="s">
        <v>1716</v>
      </c>
      <c r="C25" s="490" t="s">
        <v>1717</v>
      </c>
      <c r="D25" s="119">
        <v>25</v>
      </c>
      <c r="E25" s="79"/>
      <c r="F25" s="79"/>
      <c r="G25" s="79"/>
      <c r="H25" s="79"/>
      <c r="I25" s="79"/>
      <c r="J25" s="79">
        <v>97.3</v>
      </c>
      <c r="K25" s="79"/>
      <c r="L25" s="79"/>
      <c r="M25" s="79"/>
      <c r="N25" s="79"/>
      <c r="O25" s="79"/>
      <c r="P25" s="79"/>
      <c r="Q25" s="81">
        <f t="shared" si="0"/>
        <v>97.3</v>
      </c>
      <c r="R25" s="154" t="str">
        <f t="shared" si="1"/>
        <v>NO</v>
      </c>
      <c r="S25" s="454" t="str">
        <f t="shared" si="2"/>
        <v>Inviable Sanitariamente</v>
      </c>
    </row>
    <row r="26" spans="1:19" s="117" customFormat="1" ht="32.1" customHeight="1">
      <c r="A26" s="82" t="s">
        <v>185</v>
      </c>
      <c r="B26" s="490" t="s">
        <v>1718</v>
      </c>
      <c r="C26" s="490" t="s">
        <v>1719</v>
      </c>
      <c r="D26" s="114">
        <v>60</v>
      </c>
      <c r="E26" s="79"/>
      <c r="F26" s="79"/>
      <c r="G26" s="79"/>
      <c r="H26" s="79"/>
      <c r="I26" s="79"/>
      <c r="J26" s="79">
        <v>97.3</v>
      </c>
      <c r="K26" s="79"/>
      <c r="L26" s="79"/>
      <c r="M26" s="79"/>
      <c r="N26" s="79"/>
      <c r="O26" s="79">
        <v>97.3</v>
      </c>
      <c r="P26" s="79"/>
      <c r="Q26" s="81">
        <f t="shared" si="0"/>
        <v>97.3</v>
      </c>
      <c r="R26" s="154" t="str">
        <f t="shared" si="1"/>
        <v>NO</v>
      </c>
      <c r="S26" s="454" t="str">
        <f t="shared" si="2"/>
        <v>Inviable Sanitariamente</v>
      </c>
    </row>
    <row r="27" spans="1:19" s="117" customFormat="1" ht="32.1" customHeight="1">
      <c r="A27" s="82" t="s">
        <v>185</v>
      </c>
      <c r="B27" s="490" t="s">
        <v>631</v>
      </c>
      <c r="C27" s="490" t="s">
        <v>1721</v>
      </c>
      <c r="D27" s="119">
        <v>180</v>
      </c>
      <c r="E27" s="79"/>
      <c r="F27" s="79"/>
      <c r="G27" s="79"/>
      <c r="H27" s="79"/>
      <c r="I27" s="79"/>
      <c r="J27" s="79">
        <v>97.3</v>
      </c>
      <c r="K27" s="79"/>
      <c r="L27" s="79"/>
      <c r="M27" s="79"/>
      <c r="N27" s="79"/>
      <c r="O27" s="79"/>
      <c r="P27" s="79">
        <v>97.3</v>
      </c>
      <c r="Q27" s="81">
        <f t="shared" si="0"/>
        <v>97.3</v>
      </c>
      <c r="R27" s="154" t="str">
        <f t="shared" si="1"/>
        <v>NO</v>
      </c>
      <c r="S27" s="454" t="str">
        <f t="shared" si="2"/>
        <v>Inviable Sanitariamente</v>
      </c>
    </row>
    <row r="28" spans="1:19" s="117" customFormat="1" ht="32.1" customHeight="1">
      <c r="A28" s="82" t="s">
        <v>185</v>
      </c>
      <c r="B28" s="490" t="s">
        <v>1722</v>
      </c>
      <c r="C28" s="490" t="s">
        <v>1723</v>
      </c>
      <c r="D28" s="114"/>
      <c r="E28" s="79"/>
      <c r="F28" s="79"/>
      <c r="G28" s="79"/>
      <c r="H28" s="79"/>
      <c r="I28" s="79"/>
      <c r="J28" s="79"/>
      <c r="K28" s="79"/>
      <c r="L28" s="79"/>
      <c r="M28" s="79"/>
      <c r="N28" s="79"/>
      <c r="O28" s="79"/>
      <c r="P28" s="79"/>
      <c r="Q28" s="81" t="e">
        <f t="shared" si="0"/>
        <v>#DIV/0!</v>
      </c>
      <c r="R28" s="154" t="e">
        <f t="shared" si="1"/>
        <v>#DIV/0!</v>
      </c>
      <c r="S28" s="454" t="e">
        <f t="shared" si="2"/>
        <v>#DIV/0!</v>
      </c>
    </row>
    <row r="29" spans="1:19" s="117" customFormat="1" ht="32.1" customHeight="1">
      <c r="A29" s="82" t="s">
        <v>185</v>
      </c>
      <c r="B29" s="490" t="s">
        <v>1724</v>
      </c>
      <c r="C29" s="490" t="s">
        <v>1725</v>
      </c>
      <c r="D29" s="119"/>
      <c r="E29" s="79"/>
      <c r="F29" s="79"/>
      <c r="G29" s="79"/>
      <c r="H29" s="79"/>
      <c r="I29" s="79"/>
      <c r="J29" s="79"/>
      <c r="K29" s="79"/>
      <c r="L29" s="79"/>
      <c r="M29" s="79"/>
      <c r="N29" s="79"/>
      <c r="O29" s="79"/>
      <c r="P29" s="79"/>
      <c r="Q29" s="81" t="e">
        <f t="shared" si="0"/>
        <v>#DIV/0!</v>
      </c>
      <c r="R29" s="144" t="e">
        <f t="shared" si="1"/>
        <v>#DIV/0!</v>
      </c>
      <c r="S29" s="454" t="e">
        <f t="shared" si="2"/>
        <v>#DIV/0!</v>
      </c>
    </row>
    <row r="30" spans="1:19" s="117" customFormat="1" ht="32.1" customHeight="1">
      <c r="A30" s="82" t="s">
        <v>185</v>
      </c>
      <c r="B30" s="490" t="s">
        <v>46</v>
      </c>
      <c r="C30" s="490" t="s">
        <v>1726</v>
      </c>
      <c r="D30" s="119">
        <v>45</v>
      </c>
      <c r="E30" s="79"/>
      <c r="F30" s="79"/>
      <c r="G30" s="79"/>
      <c r="H30" s="79"/>
      <c r="I30" s="79"/>
      <c r="J30" s="79">
        <v>97.3</v>
      </c>
      <c r="K30" s="79"/>
      <c r="L30" s="79"/>
      <c r="M30" s="79"/>
      <c r="N30" s="79"/>
      <c r="O30" s="79"/>
      <c r="P30" s="79">
        <v>97.3</v>
      </c>
      <c r="Q30" s="81">
        <f t="shared" si="0"/>
        <v>97.3</v>
      </c>
      <c r="R30" s="154" t="str">
        <f t="shared" si="1"/>
        <v>NO</v>
      </c>
      <c r="S30" s="454" t="str">
        <f t="shared" si="2"/>
        <v>Inviable Sanitariamente</v>
      </c>
    </row>
    <row r="31" spans="1:19" s="117" customFormat="1" ht="32.1" customHeight="1">
      <c r="A31" s="82" t="s">
        <v>185</v>
      </c>
      <c r="B31" s="490" t="s">
        <v>1727</v>
      </c>
      <c r="C31" s="490" t="s">
        <v>1728</v>
      </c>
      <c r="D31" s="114">
        <v>50</v>
      </c>
      <c r="E31" s="79"/>
      <c r="F31" s="79"/>
      <c r="G31" s="79"/>
      <c r="H31" s="79"/>
      <c r="I31" s="79"/>
      <c r="J31" s="79">
        <v>100</v>
      </c>
      <c r="K31" s="79"/>
      <c r="L31" s="79"/>
      <c r="M31" s="79"/>
      <c r="N31" s="79"/>
      <c r="O31" s="79">
        <v>97.3</v>
      </c>
      <c r="P31" s="79"/>
      <c r="Q31" s="81">
        <f t="shared" si="0"/>
        <v>98.65</v>
      </c>
      <c r="R31" s="154" t="str">
        <f t="shared" si="1"/>
        <v>NO</v>
      </c>
      <c r="S31" s="454" t="str">
        <f t="shared" si="2"/>
        <v>Inviable Sanitariamente</v>
      </c>
    </row>
    <row r="32" spans="1:19" s="117" customFormat="1" ht="32.1" customHeight="1">
      <c r="A32" s="82" t="s">
        <v>185</v>
      </c>
      <c r="B32" s="490" t="s">
        <v>1729</v>
      </c>
      <c r="C32" s="490" t="s">
        <v>1730</v>
      </c>
      <c r="D32" s="119">
        <v>79</v>
      </c>
      <c r="E32" s="79"/>
      <c r="F32" s="79"/>
      <c r="G32" s="79"/>
      <c r="H32" s="79"/>
      <c r="I32" s="79"/>
      <c r="J32" s="79">
        <v>97.3</v>
      </c>
      <c r="K32" s="79"/>
      <c r="L32" s="79"/>
      <c r="M32" s="79"/>
      <c r="N32" s="79"/>
      <c r="O32" s="79"/>
      <c r="P32" s="79"/>
      <c r="Q32" s="81">
        <f t="shared" si="0"/>
        <v>97.3</v>
      </c>
      <c r="R32" s="154" t="str">
        <f t="shared" si="1"/>
        <v>NO</v>
      </c>
      <c r="S32" s="454" t="str">
        <f t="shared" si="2"/>
        <v>Inviable Sanitariamente</v>
      </c>
    </row>
    <row r="33" spans="1:19" s="117" customFormat="1" ht="32.1" customHeight="1">
      <c r="A33" s="82" t="s">
        <v>185</v>
      </c>
      <c r="B33" s="490" t="s">
        <v>709</v>
      </c>
      <c r="C33" s="490" t="s">
        <v>1731</v>
      </c>
      <c r="D33" s="119">
        <v>15</v>
      </c>
      <c r="E33" s="79"/>
      <c r="F33" s="79"/>
      <c r="G33" s="79"/>
      <c r="H33" s="79"/>
      <c r="I33" s="79"/>
      <c r="J33" s="79">
        <v>97.3</v>
      </c>
      <c r="K33" s="79"/>
      <c r="L33" s="79"/>
      <c r="M33" s="79"/>
      <c r="N33" s="79"/>
      <c r="O33" s="79"/>
      <c r="P33" s="79"/>
      <c r="Q33" s="81">
        <f t="shared" si="0"/>
        <v>97.3</v>
      </c>
      <c r="R33" s="154" t="str">
        <f t="shared" si="1"/>
        <v>NO</v>
      </c>
      <c r="S33" s="454" t="str">
        <f t="shared" si="2"/>
        <v>Inviable Sanitariamente</v>
      </c>
    </row>
    <row r="34" spans="1:19" s="117" customFormat="1" ht="32.1" customHeight="1">
      <c r="A34" s="82" t="s">
        <v>185</v>
      </c>
      <c r="B34" s="490" t="s">
        <v>1732</v>
      </c>
      <c r="C34" s="490" t="s">
        <v>1733</v>
      </c>
      <c r="D34" s="119">
        <v>120</v>
      </c>
      <c r="E34" s="79"/>
      <c r="F34" s="79"/>
      <c r="G34" s="79"/>
      <c r="H34" s="79"/>
      <c r="I34" s="79"/>
      <c r="J34" s="79"/>
      <c r="K34" s="79"/>
      <c r="L34" s="79"/>
      <c r="M34" s="79"/>
      <c r="N34" s="79"/>
      <c r="O34" s="79"/>
      <c r="P34" s="79">
        <v>97.3</v>
      </c>
      <c r="Q34" s="81">
        <f t="shared" si="0"/>
        <v>97.3</v>
      </c>
      <c r="R34" s="154" t="str">
        <f t="shared" si="1"/>
        <v>NO</v>
      </c>
      <c r="S34" s="454" t="str">
        <f t="shared" si="2"/>
        <v>Inviable Sanitariamente</v>
      </c>
    </row>
    <row r="35" spans="1:19" s="117" customFormat="1" ht="32.1" customHeight="1">
      <c r="A35" s="82" t="s">
        <v>185</v>
      </c>
      <c r="B35" s="490" t="s">
        <v>1734</v>
      </c>
      <c r="C35" s="490" t="s">
        <v>1735</v>
      </c>
      <c r="D35" s="119"/>
      <c r="E35" s="79"/>
      <c r="F35" s="79"/>
      <c r="G35" s="79"/>
      <c r="H35" s="79"/>
      <c r="I35" s="79"/>
      <c r="J35" s="79"/>
      <c r="K35" s="79"/>
      <c r="L35" s="79"/>
      <c r="M35" s="79"/>
      <c r="N35" s="79"/>
      <c r="O35" s="79"/>
      <c r="P35" s="79"/>
      <c r="Q35" s="81" t="e">
        <f t="shared" si="0"/>
        <v>#DIV/0!</v>
      </c>
      <c r="R35" s="154" t="e">
        <f t="shared" si="1"/>
        <v>#DIV/0!</v>
      </c>
      <c r="S35" s="454" t="e">
        <f t="shared" si="2"/>
        <v>#DIV/0!</v>
      </c>
    </row>
    <row r="36" spans="1:19" s="117" customFormat="1" ht="32.1" customHeight="1">
      <c r="A36" s="82" t="s">
        <v>185</v>
      </c>
      <c r="B36" s="490" t="s">
        <v>1734</v>
      </c>
      <c r="C36" s="490" t="s">
        <v>1736</v>
      </c>
      <c r="D36" s="119"/>
      <c r="E36" s="79"/>
      <c r="F36" s="79"/>
      <c r="G36" s="79"/>
      <c r="H36" s="79"/>
      <c r="I36" s="79"/>
      <c r="J36" s="79"/>
      <c r="K36" s="79"/>
      <c r="L36" s="79"/>
      <c r="M36" s="79"/>
      <c r="N36" s="79"/>
      <c r="O36" s="79"/>
      <c r="P36" s="79"/>
      <c r="Q36" s="81" t="e">
        <f t="shared" si="0"/>
        <v>#DIV/0!</v>
      </c>
      <c r="R36" s="154" t="e">
        <f t="shared" si="1"/>
        <v>#DIV/0!</v>
      </c>
      <c r="S36" s="454" t="e">
        <f t="shared" si="2"/>
        <v>#DIV/0!</v>
      </c>
    </row>
    <row r="37" spans="1:19" s="117" customFormat="1" ht="32.1" customHeight="1">
      <c r="A37" s="82" t="s">
        <v>185</v>
      </c>
      <c r="B37" s="490" t="s">
        <v>1737</v>
      </c>
      <c r="C37" s="490" t="s">
        <v>1738</v>
      </c>
      <c r="D37" s="119">
        <v>45</v>
      </c>
      <c r="E37" s="79"/>
      <c r="F37" s="79"/>
      <c r="G37" s="79"/>
      <c r="H37" s="79"/>
      <c r="I37" s="79"/>
      <c r="J37" s="79">
        <v>100</v>
      </c>
      <c r="K37" s="79"/>
      <c r="L37" s="79"/>
      <c r="M37" s="79"/>
      <c r="N37" s="79"/>
      <c r="O37" s="79"/>
      <c r="P37" s="79">
        <v>97.3</v>
      </c>
      <c r="Q37" s="81">
        <f t="shared" si="0"/>
        <v>98.65</v>
      </c>
      <c r="R37" s="154" t="str">
        <f t="shared" si="1"/>
        <v>NO</v>
      </c>
      <c r="S37" s="454" t="str">
        <f t="shared" si="2"/>
        <v>Inviable Sanitariamente</v>
      </c>
    </row>
    <row r="38" spans="1:19" s="117" customFormat="1" ht="32.1" customHeight="1">
      <c r="A38" s="82" t="s">
        <v>185</v>
      </c>
      <c r="B38" s="490" t="s">
        <v>1739</v>
      </c>
      <c r="C38" s="490" t="s">
        <v>1740</v>
      </c>
      <c r="D38" s="119">
        <v>48</v>
      </c>
      <c r="E38" s="79"/>
      <c r="F38" s="79"/>
      <c r="G38" s="79"/>
      <c r="H38" s="79"/>
      <c r="I38" s="79"/>
      <c r="J38" s="79">
        <v>97.3</v>
      </c>
      <c r="K38" s="79"/>
      <c r="L38" s="79"/>
      <c r="M38" s="79"/>
      <c r="N38" s="79"/>
      <c r="O38" s="79">
        <v>97.3</v>
      </c>
      <c r="P38" s="79"/>
      <c r="Q38" s="81">
        <f t="shared" si="0"/>
        <v>97.3</v>
      </c>
      <c r="R38" s="154" t="str">
        <f t="shared" si="1"/>
        <v>NO</v>
      </c>
      <c r="S38" s="454" t="str">
        <f t="shared" si="2"/>
        <v>Inviable Sanitariamente</v>
      </c>
    </row>
    <row r="39" spans="1:19" s="117" customFormat="1" ht="32.1" customHeight="1">
      <c r="A39" s="419" t="s">
        <v>187</v>
      </c>
      <c r="B39" s="490" t="s">
        <v>1962</v>
      </c>
      <c r="C39" s="490" t="s">
        <v>1963</v>
      </c>
      <c r="D39" s="119">
        <v>770</v>
      </c>
      <c r="E39" s="79"/>
      <c r="F39" s="79"/>
      <c r="G39" s="79"/>
      <c r="H39" s="79"/>
      <c r="I39" s="79"/>
      <c r="J39" s="79">
        <v>97.3</v>
      </c>
      <c r="K39" s="79"/>
      <c r="L39" s="79"/>
      <c r="M39" s="79"/>
      <c r="N39" s="79"/>
      <c r="O39" s="79">
        <v>97.3</v>
      </c>
      <c r="P39" s="79"/>
      <c r="Q39" s="81">
        <f t="shared" si="0"/>
        <v>97.3</v>
      </c>
      <c r="R39" s="154" t="str">
        <f t="shared" si="1"/>
        <v>NO</v>
      </c>
      <c r="S39" s="454" t="str">
        <f t="shared" si="2"/>
        <v>Inviable Sanitariamente</v>
      </c>
    </row>
    <row r="40" spans="1:19" s="117" customFormat="1" ht="32.1" customHeight="1">
      <c r="A40" s="419" t="s">
        <v>187</v>
      </c>
      <c r="B40" s="490" t="s">
        <v>1964</v>
      </c>
      <c r="C40" s="490" t="s">
        <v>1965</v>
      </c>
      <c r="D40" s="119"/>
      <c r="E40" s="79"/>
      <c r="F40" s="79"/>
      <c r="G40" s="79"/>
      <c r="H40" s="79"/>
      <c r="I40" s="79"/>
      <c r="J40" s="79"/>
      <c r="K40" s="79"/>
      <c r="L40" s="79"/>
      <c r="M40" s="79"/>
      <c r="N40" s="79"/>
      <c r="O40" s="79"/>
      <c r="P40" s="79"/>
      <c r="Q40" s="81" t="e">
        <f t="shared" ref="Q40" si="3">AVERAGE(E40:P40)</f>
        <v>#DIV/0!</v>
      </c>
      <c r="R40" s="154" t="e">
        <f t="shared" ref="R40" si="4">IF(Q40&lt;5,"SI","NO")</f>
        <v>#DIV/0!</v>
      </c>
      <c r="S40" s="454" t="e">
        <f t="shared" ref="S40" si="5">IF(Q40&lt;=5,"Sin Riesgo",IF(Q40 &lt;=14,"Bajo",IF(Q40&lt;=35,"Medio",IF(Q40&lt;=80,"Alto","Inviable Sanitariamente"))))</f>
        <v>#DIV/0!</v>
      </c>
    </row>
    <row r="41" spans="1:19" s="117" customFormat="1" ht="32.1" customHeight="1">
      <c r="A41" s="419" t="s">
        <v>187</v>
      </c>
      <c r="B41" s="490" t="s">
        <v>1964</v>
      </c>
      <c r="C41" s="490" t="s">
        <v>4494</v>
      </c>
      <c r="D41" s="119">
        <v>100</v>
      </c>
      <c r="E41" s="79"/>
      <c r="F41" s="79"/>
      <c r="G41" s="79"/>
      <c r="H41" s="79"/>
      <c r="I41" s="79"/>
      <c r="J41" s="79"/>
      <c r="K41" s="79"/>
      <c r="L41" s="79"/>
      <c r="M41" s="79"/>
      <c r="N41" s="79"/>
      <c r="O41" s="79">
        <v>26.55</v>
      </c>
      <c r="P41" s="79"/>
      <c r="Q41" s="81">
        <f t="shared" si="0"/>
        <v>26.55</v>
      </c>
      <c r="R41" s="154" t="str">
        <f t="shared" si="1"/>
        <v>NO</v>
      </c>
      <c r="S41" s="454" t="str">
        <f t="shared" si="2"/>
        <v>Medio</v>
      </c>
    </row>
    <row r="42" spans="1:19" s="117" customFormat="1" ht="32.1" customHeight="1">
      <c r="A42" s="125" t="s">
        <v>4096</v>
      </c>
      <c r="B42" s="98" t="s">
        <v>52</v>
      </c>
      <c r="C42" s="98" t="s">
        <v>1966</v>
      </c>
      <c r="D42" s="119">
        <v>98</v>
      </c>
      <c r="E42" s="79"/>
      <c r="F42" s="79"/>
      <c r="G42" s="79"/>
      <c r="H42" s="79"/>
      <c r="I42" s="79"/>
      <c r="J42" s="79"/>
      <c r="K42" s="79"/>
      <c r="L42" s="79">
        <v>97.3</v>
      </c>
      <c r="M42" s="79"/>
      <c r="N42" s="79"/>
      <c r="O42" s="79"/>
      <c r="P42" s="79"/>
      <c r="Q42" s="81">
        <f t="shared" si="0"/>
        <v>97.3</v>
      </c>
      <c r="R42" s="154" t="str">
        <f t="shared" si="1"/>
        <v>NO</v>
      </c>
      <c r="S42" s="454" t="str">
        <f t="shared" si="2"/>
        <v>Inviable Sanitariamente</v>
      </c>
    </row>
    <row r="43" spans="1:19" s="117" customFormat="1" ht="32.1" customHeight="1">
      <c r="A43" s="125" t="s">
        <v>4096</v>
      </c>
      <c r="B43" s="98" t="s">
        <v>1967</v>
      </c>
      <c r="C43" s="98" t="s">
        <v>1968</v>
      </c>
      <c r="D43" s="119">
        <v>250</v>
      </c>
      <c r="E43" s="79"/>
      <c r="F43" s="79"/>
      <c r="G43" s="79"/>
      <c r="H43" s="79"/>
      <c r="I43" s="79"/>
      <c r="J43" s="79"/>
      <c r="K43" s="79"/>
      <c r="L43" s="79">
        <v>97.3</v>
      </c>
      <c r="M43" s="79"/>
      <c r="N43" s="79"/>
      <c r="O43" s="79"/>
      <c r="P43" s="79"/>
      <c r="Q43" s="81">
        <f t="shared" si="0"/>
        <v>97.3</v>
      </c>
      <c r="R43" s="154" t="str">
        <f t="shared" si="1"/>
        <v>NO</v>
      </c>
      <c r="S43" s="454" t="str">
        <f t="shared" si="2"/>
        <v>Inviable Sanitariamente</v>
      </c>
    </row>
    <row r="44" spans="1:19" s="117" customFormat="1" ht="32.1" customHeight="1">
      <c r="A44" s="125" t="s">
        <v>4096</v>
      </c>
      <c r="B44" s="98" t="s">
        <v>1969</v>
      </c>
      <c r="C44" s="98" t="s">
        <v>1970</v>
      </c>
      <c r="D44" s="119"/>
      <c r="E44" s="79"/>
      <c r="F44" s="79"/>
      <c r="G44" s="79"/>
      <c r="H44" s="79"/>
      <c r="I44" s="79"/>
      <c r="J44" s="79"/>
      <c r="K44" s="79"/>
      <c r="L44" s="79"/>
      <c r="M44" s="79"/>
      <c r="N44" s="79"/>
      <c r="O44" s="79"/>
      <c r="P44" s="79"/>
      <c r="Q44" s="81" t="e">
        <f t="shared" ref="Q44:Q71" si="6">AVERAGE(E44:P44)</f>
        <v>#DIV/0!</v>
      </c>
      <c r="R44" s="144" t="e">
        <f t="shared" ref="R44:R71" si="7">IF(Q44&lt;5,"SI","NO")</f>
        <v>#DIV/0!</v>
      </c>
      <c r="S44" s="454" t="e">
        <f t="shared" ref="S44:S71" si="8">IF(Q44&lt;=5,"Sin Riesgo",IF(Q44 &lt;=14,"Bajo",IF(Q44&lt;=35,"Medio",IF(Q44&lt;=80,"Alto","Inviable Sanitariamente"))))</f>
        <v>#DIV/0!</v>
      </c>
    </row>
    <row r="45" spans="1:19" s="117" customFormat="1" ht="32.1" customHeight="1">
      <c r="A45" s="125" t="s">
        <v>4096</v>
      </c>
      <c r="B45" s="98" t="s">
        <v>1971</v>
      </c>
      <c r="C45" s="97" t="s">
        <v>1972</v>
      </c>
      <c r="D45" s="119"/>
      <c r="E45" s="79"/>
      <c r="F45" s="79"/>
      <c r="G45" s="79"/>
      <c r="H45" s="79"/>
      <c r="I45" s="79"/>
      <c r="J45" s="79"/>
      <c r="K45" s="79"/>
      <c r="L45" s="79"/>
      <c r="M45" s="79"/>
      <c r="N45" s="79"/>
      <c r="O45" s="79"/>
      <c r="P45" s="79"/>
      <c r="Q45" s="81" t="e">
        <f t="shared" si="6"/>
        <v>#DIV/0!</v>
      </c>
      <c r="R45" s="185" t="e">
        <f t="shared" si="7"/>
        <v>#DIV/0!</v>
      </c>
      <c r="S45" s="454" t="e">
        <f t="shared" si="8"/>
        <v>#DIV/0!</v>
      </c>
    </row>
    <row r="46" spans="1:19" s="117" customFormat="1" ht="32.1" customHeight="1">
      <c r="A46" s="125" t="s">
        <v>4096</v>
      </c>
      <c r="B46" s="98" t="s">
        <v>1973</v>
      </c>
      <c r="C46" s="97" t="s">
        <v>1974</v>
      </c>
      <c r="D46" s="119"/>
      <c r="E46" s="79"/>
      <c r="F46" s="79"/>
      <c r="G46" s="79"/>
      <c r="H46" s="79"/>
      <c r="I46" s="79"/>
      <c r="J46" s="79"/>
      <c r="K46" s="79"/>
      <c r="L46" s="79"/>
      <c r="M46" s="79"/>
      <c r="N46" s="79"/>
      <c r="O46" s="79"/>
      <c r="P46" s="79"/>
      <c r="Q46" s="81" t="e">
        <f t="shared" si="6"/>
        <v>#DIV/0!</v>
      </c>
      <c r="R46" s="185" t="e">
        <f t="shared" si="7"/>
        <v>#DIV/0!</v>
      </c>
      <c r="S46" s="454" t="e">
        <f t="shared" si="8"/>
        <v>#DIV/0!</v>
      </c>
    </row>
    <row r="47" spans="1:19" s="117" customFormat="1" ht="32.1" customHeight="1">
      <c r="A47" s="125" t="s">
        <v>188</v>
      </c>
      <c r="B47" s="402" t="s">
        <v>1975</v>
      </c>
      <c r="C47" s="98" t="s">
        <v>1976</v>
      </c>
      <c r="D47" s="119">
        <v>1014</v>
      </c>
      <c r="E47" s="79">
        <v>50.2</v>
      </c>
      <c r="F47" s="79">
        <v>71.349999999999994</v>
      </c>
      <c r="G47" s="79">
        <v>6.45</v>
      </c>
      <c r="H47" s="79">
        <v>19.350000000000001</v>
      </c>
      <c r="I47" s="79">
        <v>41.3</v>
      </c>
      <c r="J47" s="79">
        <v>35.4</v>
      </c>
      <c r="K47" s="79">
        <v>100</v>
      </c>
      <c r="L47" s="79">
        <v>100</v>
      </c>
      <c r="M47" s="79">
        <v>100</v>
      </c>
      <c r="N47" s="79">
        <v>100</v>
      </c>
      <c r="O47" s="79">
        <v>90.3</v>
      </c>
      <c r="P47" s="79">
        <v>77</v>
      </c>
      <c r="Q47" s="81">
        <f t="shared" si="6"/>
        <v>65.945833333333326</v>
      </c>
      <c r="R47" s="154" t="str">
        <f t="shared" si="7"/>
        <v>NO</v>
      </c>
      <c r="S47" s="454" t="str">
        <f t="shared" si="8"/>
        <v>Alto</v>
      </c>
    </row>
    <row r="48" spans="1:19" s="117" customFormat="1" ht="32.1" customHeight="1">
      <c r="A48" s="125" t="s">
        <v>188</v>
      </c>
      <c r="B48" s="402" t="s">
        <v>72</v>
      </c>
      <c r="C48" s="98" t="s">
        <v>1977</v>
      </c>
      <c r="D48" s="119">
        <v>165</v>
      </c>
      <c r="E48" s="79"/>
      <c r="F48" s="79">
        <v>97.3</v>
      </c>
      <c r="G48" s="79"/>
      <c r="H48" s="79"/>
      <c r="I48" s="79"/>
      <c r="J48" s="79"/>
      <c r="K48" s="79"/>
      <c r="L48" s="79">
        <v>97.3</v>
      </c>
      <c r="M48" s="79"/>
      <c r="N48" s="79"/>
      <c r="O48" s="79">
        <v>97.3</v>
      </c>
      <c r="P48" s="79"/>
      <c r="Q48" s="81">
        <f t="shared" si="6"/>
        <v>97.3</v>
      </c>
      <c r="R48" s="154" t="str">
        <f t="shared" si="7"/>
        <v>NO</v>
      </c>
      <c r="S48" s="454" t="str">
        <f t="shared" si="8"/>
        <v>Inviable Sanitariamente</v>
      </c>
    </row>
    <row r="49" spans="1:19" s="117" customFormat="1" ht="32.1" customHeight="1">
      <c r="A49" s="125" t="s">
        <v>188</v>
      </c>
      <c r="B49" s="402" t="s">
        <v>1978</v>
      </c>
      <c r="C49" s="98" t="s">
        <v>1979</v>
      </c>
      <c r="D49" s="119">
        <v>34</v>
      </c>
      <c r="E49" s="79"/>
      <c r="F49" s="79"/>
      <c r="G49" s="79">
        <v>97.3</v>
      </c>
      <c r="H49" s="79"/>
      <c r="I49" s="79"/>
      <c r="J49" s="79"/>
      <c r="K49" s="79"/>
      <c r="L49" s="79"/>
      <c r="M49" s="79"/>
      <c r="N49" s="79"/>
      <c r="O49" s="79"/>
      <c r="P49" s="79"/>
      <c r="Q49" s="81">
        <f t="shared" si="6"/>
        <v>97.3</v>
      </c>
      <c r="R49" s="154" t="str">
        <f t="shared" si="7"/>
        <v>NO</v>
      </c>
      <c r="S49" s="454" t="str">
        <f t="shared" si="8"/>
        <v>Inviable Sanitariamente</v>
      </c>
    </row>
    <row r="50" spans="1:19" s="117" customFormat="1" ht="32.1" customHeight="1">
      <c r="A50" s="125" t="s">
        <v>188</v>
      </c>
      <c r="B50" s="402" t="s">
        <v>1980</v>
      </c>
      <c r="C50" s="98" t="s">
        <v>1981</v>
      </c>
      <c r="D50" s="119">
        <v>392</v>
      </c>
      <c r="E50" s="79"/>
      <c r="F50" s="79">
        <v>97.2</v>
      </c>
      <c r="G50" s="79"/>
      <c r="H50" s="79"/>
      <c r="I50" s="79"/>
      <c r="J50" s="79"/>
      <c r="K50" s="79">
        <v>97.3</v>
      </c>
      <c r="L50" s="79">
        <v>97.3</v>
      </c>
      <c r="M50" s="79"/>
      <c r="N50" s="79"/>
      <c r="O50" s="79"/>
      <c r="P50" s="79"/>
      <c r="Q50" s="81">
        <f t="shared" si="6"/>
        <v>97.266666666666666</v>
      </c>
      <c r="R50" s="154" t="str">
        <f t="shared" si="7"/>
        <v>NO</v>
      </c>
      <c r="S50" s="454" t="str">
        <f t="shared" si="8"/>
        <v>Inviable Sanitariamente</v>
      </c>
    </row>
    <row r="51" spans="1:19" s="117" customFormat="1" ht="32.1" customHeight="1">
      <c r="A51" s="125" t="s">
        <v>188</v>
      </c>
      <c r="B51" s="402" t="s">
        <v>1982</v>
      </c>
      <c r="C51" s="98" t="s">
        <v>1983</v>
      </c>
      <c r="D51" s="119">
        <v>231</v>
      </c>
      <c r="E51" s="79"/>
      <c r="F51" s="79"/>
      <c r="G51" s="79"/>
      <c r="H51" s="79"/>
      <c r="I51" s="79"/>
      <c r="J51" s="79"/>
      <c r="K51" s="79"/>
      <c r="L51" s="79"/>
      <c r="M51" s="79"/>
      <c r="N51" s="79"/>
      <c r="O51" s="79">
        <v>97.3</v>
      </c>
      <c r="P51" s="79"/>
      <c r="Q51" s="81">
        <f t="shared" si="6"/>
        <v>97.3</v>
      </c>
      <c r="R51" s="154" t="str">
        <f t="shared" si="7"/>
        <v>NO</v>
      </c>
      <c r="S51" s="454" t="str">
        <f t="shared" si="8"/>
        <v>Inviable Sanitariamente</v>
      </c>
    </row>
    <row r="52" spans="1:19" s="117" customFormat="1" ht="32.1" customHeight="1">
      <c r="A52" s="125" t="s">
        <v>188</v>
      </c>
      <c r="B52" s="402" t="s">
        <v>1984</v>
      </c>
      <c r="C52" s="98" t="s">
        <v>1985</v>
      </c>
      <c r="D52" s="119">
        <v>315</v>
      </c>
      <c r="E52" s="79"/>
      <c r="F52" s="79">
        <v>97.3</v>
      </c>
      <c r="G52" s="79"/>
      <c r="H52" s="79">
        <v>97.3</v>
      </c>
      <c r="I52" s="79"/>
      <c r="J52" s="79"/>
      <c r="K52" s="79"/>
      <c r="L52" s="79">
        <v>97.3</v>
      </c>
      <c r="M52" s="79"/>
      <c r="N52" s="79"/>
      <c r="O52" s="79">
        <v>97.3</v>
      </c>
      <c r="P52" s="79"/>
      <c r="Q52" s="81">
        <f t="shared" si="6"/>
        <v>97.3</v>
      </c>
      <c r="R52" s="154" t="str">
        <f t="shared" si="7"/>
        <v>NO</v>
      </c>
      <c r="S52" s="454" t="str">
        <f t="shared" si="8"/>
        <v>Inviable Sanitariamente</v>
      </c>
    </row>
    <row r="53" spans="1:19" s="117" customFormat="1" ht="32.1" customHeight="1">
      <c r="A53" s="125" t="s">
        <v>188</v>
      </c>
      <c r="B53" s="402" t="s">
        <v>1986</v>
      </c>
      <c r="C53" s="98" t="s">
        <v>1987</v>
      </c>
      <c r="D53" s="119">
        <v>110</v>
      </c>
      <c r="E53" s="79"/>
      <c r="F53" s="79"/>
      <c r="G53" s="79">
        <v>97.3</v>
      </c>
      <c r="H53" s="79"/>
      <c r="I53" s="79"/>
      <c r="J53" s="79"/>
      <c r="K53" s="79"/>
      <c r="L53" s="79"/>
      <c r="M53" s="79">
        <v>97.3</v>
      </c>
      <c r="N53" s="79"/>
      <c r="O53" s="79"/>
      <c r="P53" s="79"/>
      <c r="Q53" s="81">
        <f t="shared" si="6"/>
        <v>97.3</v>
      </c>
      <c r="R53" s="154" t="str">
        <f t="shared" si="7"/>
        <v>NO</v>
      </c>
      <c r="S53" s="454" t="str">
        <f t="shared" si="8"/>
        <v>Inviable Sanitariamente</v>
      </c>
    </row>
    <row r="54" spans="1:19" s="117" customFormat="1" ht="32.1" customHeight="1">
      <c r="A54" s="125" t="s">
        <v>188</v>
      </c>
      <c r="B54" s="402" t="s">
        <v>1988</v>
      </c>
      <c r="C54" s="98" t="s">
        <v>1989</v>
      </c>
      <c r="D54" s="114">
        <v>55</v>
      </c>
      <c r="E54" s="79"/>
      <c r="F54" s="79"/>
      <c r="G54" s="79">
        <v>97.3</v>
      </c>
      <c r="H54" s="79"/>
      <c r="I54" s="79"/>
      <c r="J54" s="79"/>
      <c r="K54" s="79"/>
      <c r="L54" s="79"/>
      <c r="M54" s="79">
        <v>97.3</v>
      </c>
      <c r="N54" s="79"/>
      <c r="O54" s="79"/>
      <c r="P54" s="79"/>
      <c r="Q54" s="81">
        <f t="shared" si="6"/>
        <v>97.3</v>
      </c>
      <c r="R54" s="154" t="str">
        <f t="shared" si="7"/>
        <v>NO</v>
      </c>
      <c r="S54" s="454" t="str">
        <f t="shared" si="8"/>
        <v>Inviable Sanitariamente</v>
      </c>
    </row>
    <row r="55" spans="1:19" s="117" customFormat="1" ht="32.1" customHeight="1">
      <c r="A55" s="125" t="s">
        <v>188</v>
      </c>
      <c r="B55" s="402" t="s">
        <v>419</v>
      </c>
      <c r="C55" s="98" t="s">
        <v>420</v>
      </c>
      <c r="D55" s="119">
        <v>189</v>
      </c>
      <c r="E55" s="79"/>
      <c r="F55" s="79"/>
      <c r="G55" s="79"/>
      <c r="H55" s="79">
        <v>97.3</v>
      </c>
      <c r="I55" s="79"/>
      <c r="J55" s="79"/>
      <c r="K55" s="79"/>
      <c r="L55" s="79"/>
      <c r="M55" s="79">
        <v>97.3</v>
      </c>
      <c r="N55" s="79"/>
      <c r="O55" s="79"/>
      <c r="P55" s="79"/>
      <c r="Q55" s="81">
        <f t="shared" si="6"/>
        <v>97.3</v>
      </c>
      <c r="R55" s="154" t="str">
        <f t="shared" si="7"/>
        <v>NO</v>
      </c>
      <c r="S55" s="454" t="str">
        <f t="shared" si="8"/>
        <v>Inviable Sanitariamente</v>
      </c>
    </row>
    <row r="56" spans="1:19" s="117" customFormat="1" ht="32.1" customHeight="1">
      <c r="A56" s="82" t="s">
        <v>189</v>
      </c>
      <c r="B56" s="188" t="s">
        <v>1990</v>
      </c>
      <c r="C56" s="82" t="s">
        <v>1991</v>
      </c>
      <c r="D56" s="114"/>
      <c r="E56" s="79"/>
      <c r="F56" s="79"/>
      <c r="G56" s="79"/>
      <c r="H56" s="79"/>
      <c r="I56" s="79"/>
      <c r="J56" s="79"/>
      <c r="K56" s="79"/>
      <c r="L56" s="79"/>
      <c r="M56" s="79"/>
      <c r="N56" s="79"/>
      <c r="O56" s="79"/>
      <c r="P56" s="79"/>
      <c r="Q56" s="81" t="e">
        <f t="shared" si="6"/>
        <v>#DIV/0!</v>
      </c>
      <c r="R56" s="146" t="e">
        <f t="shared" si="7"/>
        <v>#DIV/0!</v>
      </c>
      <c r="S56" s="454" t="e">
        <f t="shared" si="8"/>
        <v>#DIV/0!</v>
      </c>
    </row>
    <row r="57" spans="1:19" s="117" customFormat="1" ht="32.1" customHeight="1">
      <c r="A57" s="82" t="s">
        <v>189</v>
      </c>
      <c r="B57" s="188" t="s">
        <v>1992</v>
      </c>
      <c r="C57" s="82" t="s">
        <v>1993</v>
      </c>
      <c r="D57" s="119"/>
      <c r="E57" s="79"/>
      <c r="F57" s="79"/>
      <c r="G57" s="79"/>
      <c r="H57" s="79"/>
      <c r="I57" s="79"/>
      <c r="J57" s="79"/>
      <c r="K57" s="79"/>
      <c r="L57" s="79"/>
      <c r="M57" s="79"/>
      <c r="N57" s="79"/>
      <c r="O57" s="79"/>
      <c r="P57" s="79"/>
      <c r="Q57" s="81" t="e">
        <f t="shared" si="6"/>
        <v>#DIV/0!</v>
      </c>
      <c r="R57" s="146" t="e">
        <f t="shared" si="7"/>
        <v>#DIV/0!</v>
      </c>
      <c r="S57" s="454" t="e">
        <f t="shared" si="8"/>
        <v>#DIV/0!</v>
      </c>
    </row>
    <row r="58" spans="1:19" s="117" customFormat="1" ht="32.1" customHeight="1">
      <c r="A58" s="82" t="s">
        <v>189</v>
      </c>
      <c r="B58" s="188" t="s">
        <v>1994</v>
      </c>
      <c r="C58" s="82" t="s">
        <v>1995</v>
      </c>
      <c r="D58" s="119"/>
      <c r="E58" s="79"/>
      <c r="F58" s="79"/>
      <c r="G58" s="79"/>
      <c r="H58" s="79"/>
      <c r="I58" s="79"/>
      <c r="J58" s="79"/>
      <c r="K58" s="79"/>
      <c r="L58" s="79"/>
      <c r="M58" s="79"/>
      <c r="N58" s="79"/>
      <c r="O58" s="79"/>
      <c r="P58" s="79"/>
      <c r="Q58" s="81" t="e">
        <f t="shared" si="6"/>
        <v>#DIV/0!</v>
      </c>
      <c r="R58" s="146" t="e">
        <f t="shared" si="7"/>
        <v>#DIV/0!</v>
      </c>
      <c r="S58" s="454" t="e">
        <f t="shared" si="8"/>
        <v>#DIV/0!</v>
      </c>
    </row>
    <row r="59" spans="1:19" s="117" customFormat="1" ht="32.1" customHeight="1">
      <c r="A59" s="82" t="s">
        <v>189</v>
      </c>
      <c r="B59" s="188" t="s">
        <v>422</v>
      </c>
      <c r="C59" s="82" t="s">
        <v>1996</v>
      </c>
      <c r="D59" s="119"/>
      <c r="E59" s="79"/>
      <c r="F59" s="79"/>
      <c r="G59" s="79"/>
      <c r="H59" s="79"/>
      <c r="I59" s="79"/>
      <c r="J59" s="79"/>
      <c r="K59" s="79"/>
      <c r="L59" s="79"/>
      <c r="M59" s="79"/>
      <c r="N59" s="79"/>
      <c r="O59" s="79"/>
      <c r="P59" s="79"/>
      <c r="Q59" s="81" t="e">
        <f t="shared" si="6"/>
        <v>#DIV/0!</v>
      </c>
      <c r="R59" s="146" t="e">
        <f t="shared" si="7"/>
        <v>#DIV/0!</v>
      </c>
      <c r="S59" s="454" t="e">
        <f t="shared" si="8"/>
        <v>#DIV/0!</v>
      </c>
    </row>
    <row r="60" spans="1:19" s="117" customFormat="1" ht="32.1" customHeight="1">
      <c r="A60" s="82" t="s">
        <v>189</v>
      </c>
      <c r="B60" s="188" t="s">
        <v>1997</v>
      </c>
      <c r="C60" s="82" t="s">
        <v>1998</v>
      </c>
      <c r="D60" s="119"/>
      <c r="E60" s="79"/>
      <c r="F60" s="79"/>
      <c r="G60" s="79"/>
      <c r="H60" s="79"/>
      <c r="I60" s="79"/>
      <c r="J60" s="79"/>
      <c r="K60" s="79"/>
      <c r="L60" s="79"/>
      <c r="M60" s="79"/>
      <c r="N60" s="79"/>
      <c r="O60" s="79"/>
      <c r="P60" s="79"/>
      <c r="Q60" s="81" t="e">
        <f t="shared" si="6"/>
        <v>#DIV/0!</v>
      </c>
      <c r="R60" s="146" t="e">
        <f t="shared" si="7"/>
        <v>#DIV/0!</v>
      </c>
      <c r="S60" s="454" t="e">
        <f t="shared" si="8"/>
        <v>#DIV/0!</v>
      </c>
    </row>
    <row r="61" spans="1:19" s="117" customFormat="1" ht="32.1" customHeight="1">
      <c r="A61" s="82" t="s">
        <v>189</v>
      </c>
      <c r="B61" s="188" t="s">
        <v>1999</v>
      </c>
      <c r="C61" s="82" t="s">
        <v>2000</v>
      </c>
      <c r="D61" s="119">
        <v>280</v>
      </c>
      <c r="E61" s="79"/>
      <c r="F61" s="79"/>
      <c r="G61" s="79"/>
      <c r="H61" s="79"/>
      <c r="I61" s="79"/>
      <c r="J61" s="79"/>
      <c r="K61" s="79"/>
      <c r="L61" s="79"/>
      <c r="M61" s="79">
        <v>80</v>
      </c>
      <c r="N61" s="79"/>
      <c r="O61" s="79"/>
      <c r="P61" s="79"/>
      <c r="Q61" s="81">
        <f t="shared" si="6"/>
        <v>80</v>
      </c>
      <c r="R61" s="218" t="str">
        <f t="shared" si="7"/>
        <v>NO</v>
      </c>
      <c r="S61" s="454" t="str">
        <f t="shared" si="8"/>
        <v>Alto</v>
      </c>
    </row>
    <row r="62" spans="1:19" s="117" customFormat="1" ht="32.1" customHeight="1">
      <c r="A62" s="82" t="s">
        <v>189</v>
      </c>
      <c r="B62" s="188" t="s">
        <v>2001</v>
      </c>
      <c r="C62" s="82" t="s">
        <v>2002</v>
      </c>
      <c r="D62" s="119"/>
      <c r="E62" s="79"/>
      <c r="F62" s="79"/>
      <c r="G62" s="79"/>
      <c r="H62" s="79"/>
      <c r="I62" s="79"/>
      <c r="J62" s="79"/>
      <c r="K62" s="79"/>
      <c r="L62" s="79"/>
      <c r="M62" s="79"/>
      <c r="N62" s="79"/>
      <c r="O62" s="79"/>
      <c r="P62" s="79"/>
      <c r="Q62" s="81" t="e">
        <f t="shared" si="6"/>
        <v>#DIV/0!</v>
      </c>
      <c r="R62" s="146" t="e">
        <f t="shared" si="7"/>
        <v>#DIV/0!</v>
      </c>
      <c r="S62" s="454" t="e">
        <f t="shared" si="8"/>
        <v>#DIV/0!</v>
      </c>
    </row>
    <row r="63" spans="1:19" s="117" customFormat="1" ht="32.1" customHeight="1">
      <c r="A63" s="82" t="s">
        <v>189</v>
      </c>
      <c r="B63" s="188" t="s">
        <v>2003</v>
      </c>
      <c r="C63" s="82" t="s">
        <v>2004</v>
      </c>
      <c r="D63" s="119">
        <v>46</v>
      </c>
      <c r="E63" s="79"/>
      <c r="F63" s="79"/>
      <c r="G63" s="79"/>
      <c r="H63" s="79"/>
      <c r="I63" s="79"/>
      <c r="J63" s="79"/>
      <c r="K63" s="79"/>
      <c r="L63" s="79"/>
      <c r="M63" s="79">
        <v>94.6</v>
      </c>
      <c r="N63" s="79"/>
      <c r="O63" s="79"/>
      <c r="P63" s="79"/>
      <c r="Q63" s="81">
        <f t="shared" si="6"/>
        <v>94.6</v>
      </c>
      <c r="R63" s="218" t="str">
        <f t="shared" si="7"/>
        <v>NO</v>
      </c>
      <c r="S63" s="454" t="str">
        <f t="shared" si="8"/>
        <v>Inviable Sanitariamente</v>
      </c>
    </row>
    <row r="64" spans="1:19" s="117" customFormat="1" ht="32.1" customHeight="1">
      <c r="A64" s="82" t="s">
        <v>189</v>
      </c>
      <c r="B64" s="188" t="s">
        <v>2005</v>
      </c>
      <c r="C64" s="82" t="s">
        <v>2006</v>
      </c>
      <c r="D64" s="119"/>
      <c r="E64" s="79"/>
      <c r="F64" s="79"/>
      <c r="G64" s="79"/>
      <c r="H64" s="79"/>
      <c r="I64" s="79"/>
      <c r="J64" s="79"/>
      <c r="K64" s="79"/>
      <c r="L64" s="79"/>
      <c r="M64" s="79"/>
      <c r="N64" s="79"/>
      <c r="O64" s="79"/>
      <c r="P64" s="79"/>
      <c r="Q64" s="81" t="e">
        <f t="shared" si="6"/>
        <v>#DIV/0!</v>
      </c>
      <c r="R64" s="146" t="e">
        <f t="shared" si="7"/>
        <v>#DIV/0!</v>
      </c>
      <c r="S64" s="454" t="e">
        <f t="shared" si="8"/>
        <v>#DIV/0!</v>
      </c>
    </row>
    <row r="65" spans="1:16384" s="117" customFormat="1" ht="32.1" customHeight="1">
      <c r="A65" s="82" t="s">
        <v>189</v>
      </c>
      <c r="B65" s="188" t="s">
        <v>2007</v>
      </c>
      <c r="C65" s="82" t="s">
        <v>2008</v>
      </c>
      <c r="D65" s="114"/>
      <c r="E65" s="79"/>
      <c r="F65" s="79"/>
      <c r="G65" s="79"/>
      <c r="H65" s="79"/>
      <c r="I65" s="79"/>
      <c r="J65" s="79"/>
      <c r="K65" s="79"/>
      <c r="L65" s="79"/>
      <c r="M65" s="79"/>
      <c r="N65" s="79"/>
      <c r="O65" s="79"/>
      <c r="P65" s="79"/>
      <c r="Q65" s="81" t="e">
        <f t="shared" si="6"/>
        <v>#DIV/0!</v>
      </c>
      <c r="R65" s="146" t="e">
        <f t="shared" si="7"/>
        <v>#DIV/0!</v>
      </c>
      <c r="S65" s="454" t="e">
        <f t="shared" si="8"/>
        <v>#DIV/0!</v>
      </c>
    </row>
    <row r="66" spans="1:16384" s="117" customFormat="1" ht="32.1" customHeight="1">
      <c r="A66" s="82" t="s">
        <v>189</v>
      </c>
      <c r="B66" s="188" t="s">
        <v>1561</v>
      </c>
      <c r="C66" s="82" t="s">
        <v>2009</v>
      </c>
      <c r="D66" s="119"/>
      <c r="E66" s="79"/>
      <c r="F66" s="79"/>
      <c r="G66" s="79"/>
      <c r="H66" s="79"/>
      <c r="I66" s="79"/>
      <c r="J66" s="79"/>
      <c r="K66" s="79"/>
      <c r="L66" s="79"/>
      <c r="M66" s="79"/>
      <c r="N66" s="79"/>
      <c r="O66" s="79"/>
      <c r="P66" s="79"/>
      <c r="Q66" s="81" t="e">
        <f t="shared" si="6"/>
        <v>#DIV/0!</v>
      </c>
      <c r="R66" s="146" t="e">
        <f t="shared" si="7"/>
        <v>#DIV/0!</v>
      </c>
      <c r="S66" s="454" t="e">
        <f t="shared" si="8"/>
        <v>#DIV/0!</v>
      </c>
    </row>
    <row r="67" spans="1:16384" s="117" customFormat="1" ht="32.1" customHeight="1">
      <c r="A67" s="82" t="s">
        <v>189</v>
      </c>
      <c r="B67" s="188" t="s">
        <v>2010</v>
      </c>
      <c r="C67" s="82" t="s">
        <v>2011</v>
      </c>
      <c r="D67" s="119">
        <v>35</v>
      </c>
      <c r="E67" s="79"/>
      <c r="F67" s="79"/>
      <c r="G67" s="79"/>
      <c r="H67" s="79"/>
      <c r="I67" s="79"/>
      <c r="J67" s="79"/>
      <c r="K67" s="79"/>
      <c r="L67" s="79"/>
      <c r="M67" s="79">
        <v>91.2</v>
      </c>
      <c r="N67" s="79"/>
      <c r="O67" s="79"/>
      <c r="P67" s="79"/>
      <c r="Q67" s="81">
        <f t="shared" si="6"/>
        <v>91.2</v>
      </c>
      <c r="R67" s="218" t="str">
        <f t="shared" si="7"/>
        <v>NO</v>
      </c>
      <c r="S67" s="454" t="str">
        <f t="shared" si="8"/>
        <v>Inviable Sanitariamente</v>
      </c>
    </row>
    <row r="68" spans="1:16384" s="117" customFormat="1" ht="32.1" customHeight="1">
      <c r="A68" s="82" t="s">
        <v>189</v>
      </c>
      <c r="B68" s="188" t="s">
        <v>702</v>
      </c>
      <c r="C68" s="82" t="s">
        <v>2012</v>
      </c>
      <c r="D68" s="119"/>
      <c r="E68" s="79"/>
      <c r="F68" s="79"/>
      <c r="G68" s="79"/>
      <c r="H68" s="79"/>
      <c r="I68" s="79"/>
      <c r="J68" s="79"/>
      <c r="K68" s="79"/>
      <c r="L68" s="79"/>
      <c r="M68" s="79"/>
      <c r="N68" s="79"/>
      <c r="O68" s="79"/>
      <c r="P68" s="79"/>
      <c r="Q68" s="81" t="e">
        <f t="shared" si="6"/>
        <v>#DIV/0!</v>
      </c>
      <c r="R68" s="146" t="e">
        <f t="shared" si="7"/>
        <v>#DIV/0!</v>
      </c>
      <c r="S68" s="454" t="e">
        <f t="shared" si="8"/>
        <v>#DIV/0!</v>
      </c>
    </row>
    <row r="69" spans="1:16384" s="117" customFormat="1" ht="32.1" customHeight="1">
      <c r="A69" s="82" t="s">
        <v>189</v>
      </c>
      <c r="B69" s="188" t="s">
        <v>17</v>
      </c>
      <c r="C69" s="82" t="s">
        <v>2013</v>
      </c>
      <c r="D69" s="119"/>
      <c r="E69" s="79"/>
      <c r="F69" s="79"/>
      <c r="G69" s="79"/>
      <c r="H69" s="79"/>
      <c r="I69" s="79"/>
      <c r="J69" s="79"/>
      <c r="K69" s="79"/>
      <c r="L69" s="79"/>
      <c r="M69" s="79"/>
      <c r="N69" s="79"/>
      <c r="O69" s="79"/>
      <c r="P69" s="79"/>
      <c r="Q69" s="81" t="e">
        <f t="shared" si="6"/>
        <v>#DIV/0!</v>
      </c>
      <c r="R69" s="146" t="e">
        <f t="shared" si="7"/>
        <v>#DIV/0!</v>
      </c>
      <c r="S69" s="454" t="e">
        <f t="shared" si="8"/>
        <v>#DIV/0!</v>
      </c>
    </row>
    <row r="70" spans="1:16384" s="117" customFormat="1" ht="32.1" customHeight="1">
      <c r="A70" s="313" t="s">
        <v>189</v>
      </c>
      <c r="B70" s="403" t="s">
        <v>72</v>
      </c>
      <c r="C70" s="403" t="s">
        <v>421</v>
      </c>
      <c r="D70" s="306">
        <v>600</v>
      </c>
      <c r="E70" s="404"/>
      <c r="F70" s="404"/>
      <c r="G70" s="404"/>
      <c r="H70" s="404"/>
      <c r="I70" s="404"/>
      <c r="J70" s="404"/>
      <c r="K70" s="404"/>
      <c r="L70" s="404"/>
      <c r="M70" s="404">
        <v>90.4</v>
      </c>
      <c r="N70" s="404"/>
      <c r="O70" s="404"/>
      <c r="P70" s="404"/>
      <c r="Q70" s="405">
        <f t="shared" si="6"/>
        <v>90.4</v>
      </c>
      <c r="R70" s="406" t="str">
        <f t="shared" si="7"/>
        <v>NO</v>
      </c>
      <c r="S70" s="455" t="str">
        <f t="shared" si="8"/>
        <v>Inviable Sanitariamente</v>
      </c>
    </row>
    <row r="71" spans="1:16384" s="212" customFormat="1" ht="32.1" customHeight="1">
      <c r="A71" s="82" t="s">
        <v>189</v>
      </c>
      <c r="B71" s="98" t="s">
        <v>4322</v>
      </c>
      <c r="C71" s="98" t="s">
        <v>4323</v>
      </c>
      <c r="D71" s="114"/>
      <c r="E71" s="79"/>
      <c r="F71" s="79"/>
      <c r="G71" s="79"/>
      <c r="H71" s="79"/>
      <c r="I71" s="79"/>
      <c r="J71" s="79"/>
      <c r="K71" s="79"/>
      <c r="L71" s="79"/>
      <c r="M71" s="79"/>
      <c r="N71" s="79"/>
      <c r="O71" s="79"/>
      <c r="P71" s="79"/>
      <c r="Q71" s="81" t="e">
        <f t="shared" si="6"/>
        <v>#DIV/0!</v>
      </c>
      <c r="R71" s="146" t="e">
        <f t="shared" si="7"/>
        <v>#DIV/0!</v>
      </c>
      <c r="S71" s="454" t="e">
        <f t="shared" si="8"/>
        <v>#DIV/0!</v>
      </c>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c r="DC71" s="117"/>
      <c r="DD71" s="117"/>
      <c r="DE71" s="117"/>
      <c r="DF71" s="117"/>
      <c r="DG71" s="117"/>
      <c r="DH71" s="117"/>
      <c r="DI71" s="117"/>
      <c r="DJ71" s="117"/>
      <c r="DK71" s="117"/>
      <c r="DL71" s="117"/>
      <c r="DM71" s="117"/>
      <c r="DN71" s="117"/>
      <c r="DO71" s="117"/>
      <c r="DP71" s="117"/>
      <c r="DQ71" s="117"/>
      <c r="DR71" s="117"/>
      <c r="DS71" s="117"/>
      <c r="DT71" s="117"/>
      <c r="DU71" s="117"/>
      <c r="DV71" s="117"/>
      <c r="DW71" s="117"/>
      <c r="DX71" s="117"/>
      <c r="DY71" s="117"/>
      <c r="DZ71" s="117"/>
      <c r="EA71" s="117"/>
      <c r="EB71" s="117"/>
      <c r="EC71" s="117"/>
      <c r="ED71" s="117"/>
      <c r="EE71" s="117"/>
      <c r="EF71" s="117"/>
      <c r="EG71" s="117"/>
      <c r="EH71" s="117"/>
      <c r="EI71" s="117"/>
      <c r="EJ71" s="117"/>
      <c r="EK71" s="117"/>
      <c r="EL71" s="117"/>
      <c r="EM71" s="117"/>
      <c r="EN71" s="117"/>
      <c r="EO71" s="117"/>
      <c r="EP71" s="117"/>
      <c r="EQ71" s="117"/>
      <c r="ER71" s="117"/>
      <c r="ES71" s="117"/>
      <c r="ET71" s="117"/>
      <c r="EU71" s="117"/>
      <c r="EV71" s="117"/>
      <c r="EW71" s="117"/>
      <c r="EX71" s="117"/>
      <c r="EY71" s="117"/>
      <c r="EZ71" s="117"/>
      <c r="FA71" s="117"/>
      <c r="FB71" s="117"/>
      <c r="FC71" s="117"/>
      <c r="FD71" s="117"/>
      <c r="FE71" s="117"/>
      <c r="FF71" s="117"/>
      <c r="FG71" s="117"/>
      <c r="FH71" s="117"/>
      <c r="FI71" s="117"/>
      <c r="FJ71" s="117"/>
      <c r="FK71" s="117"/>
      <c r="FL71" s="117"/>
      <c r="FM71" s="117"/>
      <c r="FN71" s="117"/>
      <c r="FO71" s="117"/>
      <c r="FP71" s="117"/>
      <c r="FQ71" s="117"/>
      <c r="FR71" s="117"/>
      <c r="FS71" s="117"/>
      <c r="FT71" s="117"/>
      <c r="FU71" s="117"/>
      <c r="FV71" s="117"/>
      <c r="FW71" s="117"/>
      <c r="FX71" s="117"/>
      <c r="FY71" s="117"/>
      <c r="FZ71" s="117"/>
      <c r="GA71" s="117"/>
      <c r="GB71" s="117"/>
      <c r="GC71" s="117"/>
      <c r="GD71" s="117"/>
      <c r="GE71" s="117"/>
      <c r="GF71" s="117"/>
      <c r="GG71" s="117"/>
      <c r="GH71" s="117"/>
      <c r="GI71" s="117"/>
      <c r="GJ71" s="117"/>
      <c r="GK71" s="117"/>
      <c r="GL71" s="117"/>
      <c r="GM71" s="117"/>
      <c r="GN71" s="117"/>
      <c r="GO71" s="117"/>
      <c r="GP71" s="117"/>
      <c r="GQ71" s="117"/>
      <c r="GR71" s="117"/>
      <c r="GS71" s="117"/>
      <c r="GT71" s="117"/>
      <c r="GU71" s="117"/>
      <c r="GV71" s="117"/>
      <c r="GW71" s="117"/>
      <c r="GX71" s="117"/>
      <c r="GY71" s="117"/>
      <c r="GZ71" s="117"/>
      <c r="HA71" s="117"/>
      <c r="HB71" s="117"/>
      <c r="HC71" s="117"/>
      <c r="HD71" s="117"/>
      <c r="HE71" s="117"/>
      <c r="HF71" s="117"/>
      <c r="HG71" s="117"/>
      <c r="HH71" s="117"/>
      <c r="HI71" s="117"/>
      <c r="HJ71" s="117"/>
      <c r="HK71" s="117"/>
      <c r="HL71" s="117"/>
      <c r="HM71" s="117"/>
      <c r="HN71" s="117"/>
      <c r="HO71" s="117"/>
      <c r="HP71" s="117"/>
      <c r="HQ71" s="117"/>
      <c r="HR71" s="117"/>
      <c r="HS71" s="117"/>
      <c r="HT71" s="117"/>
      <c r="HU71" s="117"/>
      <c r="HV71" s="117"/>
      <c r="HW71" s="117"/>
      <c r="HX71" s="117"/>
      <c r="HY71" s="117"/>
      <c r="HZ71" s="117"/>
      <c r="IA71" s="117"/>
      <c r="IB71" s="117"/>
      <c r="IC71" s="117"/>
      <c r="ID71" s="117"/>
      <c r="IE71" s="117"/>
      <c r="IF71" s="117"/>
      <c r="IG71" s="117"/>
      <c r="IH71" s="117"/>
      <c r="II71" s="117"/>
      <c r="IJ71" s="117"/>
      <c r="IK71" s="117"/>
      <c r="IL71" s="117"/>
      <c r="IM71" s="117"/>
      <c r="IN71" s="117"/>
      <c r="IO71" s="117"/>
      <c r="IP71" s="117"/>
      <c r="IQ71" s="117"/>
      <c r="IR71" s="117"/>
      <c r="IS71" s="117"/>
      <c r="IT71" s="117"/>
      <c r="IU71" s="117"/>
      <c r="IV71" s="117"/>
      <c r="IW71" s="117"/>
      <c r="IX71" s="117"/>
      <c r="IY71" s="117"/>
      <c r="IZ71" s="117"/>
      <c r="JA71" s="117"/>
      <c r="JB71" s="117"/>
      <c r="JC71" s="117"/>
      <c r="JD71" s="117"/>
      <c r="JE71" s="117"/>
      <c r="JF71" s="117"/>
      <c r="JG71" s="117"/>
      <c r="JH71" s="117"/>
      <c r="JI71" s="117"/>
      <c r="JJ71" s="117"/>
      <c r="JK71" s="117"/>
      <c r="JL71" s="117"/>
      <c r="JM71" s="117"/>
      <c r="JN71" s="117"/>
      <c r="JO71" s="117"/>
      <c r="JP71" s="117"/>
      <c r="JQ71" s="117"/>
      <c r="JR71" s="117"/>
      <c r="JS71" s="117"/>
      <c r="JT71" s="117"/>
      <c r="JU71" s="117"/>
      <c r="JV71" s="117"/>
      <c r="JW71" s="117"/>
      <c r="JX71" s="117"/>
      <c r="JY71" s="117"/>
      <c r="JZ71" s="117"/>
      <c r="KA71" s="117"/>
      <c r="KB71" s="117"/>
      <c r="KC71" s="117"/>
      <c r="KD71" s="117"/>
      <c r="KE71" s="117"/>
      <c r="KF71" s="117"/>
      <c r="KG71" s="117"/>
      <c r="KH71" s="117"/>
      <c r="KI71" s="117"/>
      <c r="KJ71" s="117"/>
      <c r="KK71" s="117"/>
      <c r="KL71" s="117"/>
      <c r="KM71" s="117"/>
      <c r="KN71" s="117"/>
      <c r="KO71" s="117"/>
      <c r="KP71" s="117"/>
      <c r="KQ71" s="117"/>
      <c r="KR71" s="117"/>
      <c r="KS71" s="117"/>
      <c r="KT71" s="117"/>
      <c r="KU71" s="117"/>
      <c r="KV71" s="117"/>
      <c r="KW71" s="117"/>
      <c r="KX71" s="117"/>
      <c r="KY71" s="117"/>
      <c r="KZ71" s="117"/>
      <c r="LA71" s="117"/>
      <c r="LB71" s="117"/>
      <c r="LC71" s="117"/>
      <c r="LD71" s="117"/>
      <c r="LE71" s="117"/>
      <c r="LF71" s="117"/>
      <c r="LG71" s="117"/>
      <c r="LH71" s="117"/>
      <c r="LI71" s="117"/>
      <c r="LJ71" s="117"/>
      <c r="LK71" s="117"/>
      <c r="LL71" s="117"/>
      <c r="LM71" s="117"/>
      <c r="LN71" s="117"/>
      <c r="LO71" s="117"/>
      <c r="LP71" s="117"/>
      <c r="LQ71" s="117"/>
      <c r="LR71" s="117"/>
      <c r="LS71" s="117"/>
      <c r="LT71" s="117"/>
      <c r="LU71" s="117"/>
      <c r="LV71" s="117"/>
      <c r="LW71" s="117"/>
      <c r="LX71" s="117"/>
      <c r="LY71" s="117"/>
      <c r="LZ71" s="117"/>
      <c r="MA71" s="117"/>
      <c r="MB71" s="117"/>
      <c r="MC71" s="117"/>
      <c r="MD71" s="117"/>
      <c r="ME71" s="117"/>
      <c r="MF71" s="117"/>
      <c r="MG71" s="117"/>
      <c r="MH71" s="117"/>
      <c r="MI71" s="117"/>
      <c r="MJ71" s="117"/>
      <c r="MK71" s="117"/>
      <c r="ML71" s="117"/>
      <c r="MM71" s="117"/>
      <c r="MN71" s="117"/>
      <c r="MO71" s="117"/>
      <c r="MP71" s="117"/>
      <c r="MQ71" s="117"/>
      <c r="MR71" s="117"/>
      <c r="MS71" s="117"/>
      <c r="MT71" s="117"/>
      <c r="MU71" s="117"/>
      <c r="MV71" s="117"/>
      <c r="MW71" s="117"/>
      <c r="MX71" s="117"/>
      <c r="MY71" s="117"/>
      <c r="MZ71" s="117"/>
      <c r="NA71" s="117"/>
      <c r="NB71" s="117"/>
      <c r="NC71" s="117"/>
      <c r="ND71" s="117"/>
      <c r="NE71" s="117"/>
      <c r="NF71" s="117"/>
      <c r="NG71" s="117"/>
      <c r="NH71" s="117"/>
      <c r="NI71" s="117"/>
      <c r="NJ71" s="117"/>
      <c r="NK71" s="117"/>
      <c r="NL71" s="117"/>
      <c r="NM71" s="117"/>
      <c r="NN71" s="117"/>
      <c r="NO71" s="117"/>
      <c r="NP71" s="117"/>
      <c r="NQ71" s="117"/>
      <c r="NR71" s="117"/>
      <c r="NS71" s="117"/>
      <c r="NT71" s="117"/>
      <c r="NU71" s="117"/>
      <c r="NV71" s="117"/>
      <c r="NW71" s="117"/>
      <c r="NX71" s="117"/>
      <c r="NY71" s="117"/>
      <c r="NZ71" s="117"/>
      <c r="OA71" s="117"/>
      <c r="OB71" s="117"/>
      <c r="OC71" s="117"/>
      <c r="OD71" s="117"/>
      <c r="OE71" s="117"/>
      <c r="OF71" s="117"/>
      <c r="OG71" s="117"/>
      <c r="OH71" s="117"/>
      <c r="OI71" s="117"/>
      <c r="OJ71" s="117"/>
      <c r="OK71" s="117"/>
      <c r="OL71" s="117"/>
      <c r="OM71" s="117"/>
      <c r="ON71" s="117"/>
      <c r="OO71" s="117"/>
      <c r="OP71" s="117"/>
      <c r="OQ71" s="117"/>
      <c r="OR71" s="117"/>
      <c r="OS71" s="117"/>
      <c r="OT71" s="117"/>
      <c r="OU71" s="117"/>
      <c r="OV71" s="117"/>
      <c r="OW71" s="117"/>
      <c r="OX71" s="117"/>
      <c r="OY71" s="117"/>
      <c r="OZ71" s="117"/>
      <c r="PA71" s="117"/>
      <c r="PB71" s="117"/>
      <c r="PC71" s="117"/>
      <c r="PD71" s="117"/>
      <c r="PE71" s="117"/>
      <c r="PF71" s="117"/>
      <c r="PG71" s="117"/>
      <c r="PH71" s="117"/>
      <c r="PI71" s="117"/>
      <c r="PJ71" s="117"/>
      <c r="PK71" s="117"/>
      <c r="PL71" s="117"/>
      <c r="PM71" s="117"/>
      <c r="PN71" s="117"/>
      <c r="PO71" s="117"/>
      <c r="PP71" s="117"/>
      <c r="PQ71" s="117"/>
      <c r="PR71" s="117"/>
      <c r="PS71" s="117"/>
      <c r="PT71" s="117"/>
      <c r="PU71" s="117"/>
      <c r="PV71" s="117"/>
      <c r="PW71" s="117"/>
      <c r="PX71" s="117"/>
      <c r="PY71" s="117"/>
      <c r="PZ71" s="117"/>
      <c r="QA71" s="117"/>
      <c r="QB71" s="117"/>
      <c r="QC71" s="117"/>
      <c r="QD71" s="117"/>
      <c r="QE71" s="117"/>
      <c r="QF71" s="117"/>
      <c r="QG71" s="117"/>
      <c r="QH71" s="117"/>
      <c r="QI71" s="117"/>
      <c r="QJ71" s="117"/>
      <c r="QK71" s="117"/>
      <c r="QL71" s="117"/>
      <c r="QM71" s="117"/>
      <c r="QN71" s="117"/>
      <c r="QO71" s="117"/>
      <c r="QP71" s="117"/>
      <c r="QQ71" s="117"/>
      <c r="QR71" s="117"/>
      <c r="QS71" s="117"/>
      <c r="QT71" s="117"/>
      <c r="QU71" s="117"/>
      <c r="QV71" s="117"/>
      <c r="QW71" s="117"/>
      <c r="QX71" s="117"/>
      <c r="QY71" s="117"/>
      <c r="QZ71" s="117"/>
      <c r="RA71" s="117"/>
      <c r="RB71" s="117"/>
      <c r="RC71" s="117"/>
      <c r="RD71" s="117"/>
      <c r="RE71" s="117"/>
      <c r="RF71" s="117"/>
      <c r="RG71" s="117"/>
      <c r="RH71" s="117"/>
      <c r="RI71" s="117"/>
      <c r="RJ71" s="117"/>
      <c r="RK71" s="117"/>
      <c r="RL71" s="117"/>
      <c r="RM71" s="117"/>
      <c r="RN71" s="117"/>
      <c r="RO71" s="117"/>
      <c r="RP71" s="117"/>
      <c r="RQ71" s="117"/>
      <c r="RR71" s="117"/>
      <c r="RS71" s="117"/>
      <c r="RT71" s="117"/>
      <c r="RU71" s="117"/>
      <c r="RV71" s="117"/>
      <c r="RW71" s="117"/>
      <c r="RX71" s="117"/>
      <c r="RY71" s="117"/>
      <c r="RZ71" s="117"/>
      <c r="SA71" s="117"/>
      <c r="SB71" s="117"/>
      <c r="SC71" s="117"/>
      <c r="SD71" s="117"/>
      <c r="SE71" s="117"/>
      <c r="SF71" s="117"/>
      <c r="SG71" s="117"/>
      <c r="SH71" s="117"/>
      <c r="SI71" s="117"/>
      <c r="SJ71" s="117"/>
      <c r="SK71" s="117"/>
      <c r="SL71" s="117"/>
      <c r="SM71" s="117"/>
      <c r="SN71" s="117"/>
      <c r="SO71" s="117"/>
      <c r="SP71" s="117"/>
      <c r="SQ71" s="117"/>
      <c r="SR71" s="117"/>
      <c r="SS71" s="117"/>
      <c r="ST71" s="117"/>
      <c r="SU71" s="117"/>
      <c r="SV71" s="117"/>
      <c r="SW71" s="117"/>
      <c r="SX71" s="117"/>
      <c r="SY71" s="117"/>
      <c r="SZ71" s="117"/>
      <c r="TA71" s="117"/>
      <c r="TB71" s="117"/>
      <c r="TC71" s="117"/>
      <c r="TD71" s="117"/>
      <c r="TE71" s="117"/>
      <c r="TF71" s="117"/>
      <c r="TG71" s="117"/>
      <c r="TH71" s="117"/>
      <c r="TI71" s="117"/>
      <c r="TJ71" s="117"/>
      <c r="TK71" s="117"/>
      <c r="TL71" s="117"/>
      <c r="TM71" s="117"/>
      <c r="TN71" s="117"/>
      <c r="TO71" s="117"/>
      <c r="TP71" s="117"/>
      <c r="TQ71" s="117"/>
      <c r="TR71" s="117"/>
      <c r="TS71" s="117"/>
      <c r="TT71" s="117"/>
      <c r="TU71" s="117"/>
      <c r="TV71" s="117"/>
      <c r="TW71" s="117"/>
      <c r="TX71" s="117"/>
      <c r="TY71" s="117"/>
      <c r="TZ71" s="117"/>
      <c r="UA71" s="117"/>
      <c r="UB71" s="117"/>
      <c r="UC71" s="117"/>
      <c r="UD71" s="117"/>
      <c r="UE71" s="117"/>
      <c r="UF71" s="117"/>
      <c r="UG71" s="117"/>
      <c r="UH71" s="117"/>
      <c r="UI71" s="117"/>
      <c r="UJ71" s="117"/>
      <c r="UK71" s="117"/>
      <c r="UL71" s="117"/>
      <c r="UM71" s="117"/>
      <c r="UN71" s="117"/>
      <c r="UO71" s="117"/>
      <c r="UP71" s="117"/>
      <c r="UQ71" s="117"/>
      <c r="UR71" s="117"/>
      <c r="US71" s="117"/>
      <c r="UT71" s="117"/>
      <c r="UU71" s="117"/>
      <c r="UV71" s="117"/>
      <c r="UW71" s="117"/>
      <c r="UX71" s="117"/>
      <c r="UY71" s="117"/>
      <c r="UZ71" s="117"/>
      <c r="VA71" s="117"/>
      <c r="VB71" s="117"/>
      <c r="VC71" s="117"/>
      <c r="VD71" s="117"/>
      <c r="VE71" s="117"/>
      <c r="VF71" s="117"/>
      <c r="VG71" s="117"/>
      <c r="VH71" s="117"/>
      <c r="VI71" s="117"/>
      <c r="VJ71" s="117"/>
      <c r="VK71" s="117"/>
      <c r="VL71" s="117"/>
      <c r="VM71" s="117"/>
      <c r="VN71" s="117"/>
      <c r="VO71" s="117"/>
      <c r="VP71" s="117"/>
      <c r="VQ71" s="117"/>
      <c r="VR71" s="117"/>
      <c r="VS71" s="117"/>
      <c r="VT71" s="117"/>
      <c r="VU71" s="117"/>
      <c r="VV71" s="117"/>
      <c r="VW71" s="117"/>
      <c r="VX71" s="117"/>
      <c r="VY71" s="117"/>
      <c r="VZ71" s="117"/>
      <c r="WA71" s="117"/>
      <c r="WB71" s="117"/>
      <c r="WC71" s="117"/>
      <c r="WD71" s="117"/>
      <c r="WE71" s="117"/>
      <c r="WF71" s="117"/>
      <c r="WG71" s="117"/>
      <c r="WH71" s="117"/>
      <c r="WI71" s="117"/>
      <c r="WJ71" s="117"/>
      <c r="WK71" s="117"/>
      <c r="WL71" s="117"/>
      <c r="WM71" s="117"/>
      <c r="WN71" s="117"/>
      <c r="WO71" s="117"/>
      <c r="WP71" s="117"/>
      <c r="WQ71" s="117"/>
      <c r="WR71" s="117"/>
      <c r="WS71" s="117"/>
      <c r="WT71" s="117"/>
      <c r="WU71" s="117"/>
      <c r="WV71" s="117"/>
      <c r="WW71" s="117"/>
      <c r="WX71" s="117"/>
      <c r="WY71" s="117"/>
      <c r="WZ71" s="117"/>
      <c r="XA71" s="117"/>
      <c r="XB71" s="117"/>
      <c r="XC71" s="117"/>
      <c r="XD71" s="117"/>
      <c r="XE71" s="117"/>
      <c r="XF71" s="117"/>
      <c r="XG71" s="117"/>
      <c r="XH71" s="117"/>
      <c r="XI71" s="117"/>
      <c r="XJ71" s="117"/>
      <c r="XK71" s="117"/>
      <c r="XL71" s="117"/>
      <c r="XM71" s="117"/>
      <c r="XN71" s="117"/>
      <c r="XO71" s="117"/>
      <c r="XP71" s="117"/>
      <c r="XQ71" s="117"/>
      <c r="XR71" s="117"/>
      <c r="XS71" s="117"/>
      <c r="XT71" s="117"/>
      <c r="XU71" s="117"/>
      <c r="XV71" s="117"/>
      <c r="XW71" s="117"/>
      <c r="XX71" s="117"/>
      <c r="XY71" s="117"/>
      <c r="XZ71" s="117"/>
      <c r="YA71" s="117"/>
      <c r="YB71" s="117"/>
      <c r="YC71" s="117"/>
      <c r="YD71" s="117"/>
      <c r="YE71" s="117"/>
      <c r="YF71" s="117"/>
      <c r="YG71" s="117"/>
      <c r="YH71" s="117"/>
      <c r="YI71" s="117"/>
      <c r="YJ71" s="117"/>
      <c r="YK71" s="117"/>
      <c r="YL71" s="117"/>
      <c r="YM71" s="117"/>
      <c r="YN71" s="117"/>
      <c r="YO71" s="117"/>
      <c r="YP71" s="117"/>
      <c r="YQ71" s="117"/>
      <c r="YR71" s="117"/>
      <c r="YS71" s="117"/>
      <c r="YT71" s="117"/>
      <c r="YU71" s="117"/>
      <c r="YV71" s="117"/>
      <c r="YW71" s="117"/>
      <c r="YX71" s="117"/>
      <c r="YY71" s="117"/>
      <c r="YZ71" s="117"/>
      <c r="ZA71" s="117"/>
      <c r="ZB71" s="117"/>
      <c r="ZC71" s="117"/>
      <c r="ZD71" s="117"/>
      <c r="ZE71" s="117"/>
      <c r="ZF71" s="117"/>
      <c r="ZG71" s="117"/>
      <c r="ZH71" s="117"/>
      <c r="ZI71" s="117"/>
      <c r="ZJ71" s="117"/>
      <c r="ZK71" s="117"/>
      <c r="ZL71" s="117"/>
      <c r="ZM71" s="117"/>
      <c r="ZN71" s="117"/>
      <c r="ZO71" s="117"/>
      <c r="ZP71" s="117"/>
      <c r="ZQ71" s="117"/>
      <c r="ZR71" s="117"/>
      <c r="ZS71" s="117"/>
      <c r="ZT71" s="117"/>
      <c r="ZU71" s="117"/>
      <c r="ZV71" s="117"/>
      <c r="ZW71" s="117"/>
      <c r="ZX71" s="117"/>
      <c r="ZY71" s="117"/>
      <c r="ZZ71" s="117"/>
      <c r="AAA71" s="117"/>
      <c r="AAB71" s="117"/>
      <c r="AAC71" s="117"/>
      <c r="AAD71" s="117"/>
      <c r="AAE71" s="117"/>
      <c r="AAF71" s="117"/>
      <c r="AAG71" s="117"/>
      <c r="AAH71" s="117"/>
      <c r="AAI71" s="117"/>
      <c r="AAJ71" s="117"/>
      <c r="AAK71" s="117"/>
      <c r="AAL71" s="117"/>
      <c r="AAM71" s="117"/>
      <c r="AAN71" s="117"/>
      <c r="AAO71" s="117"/>
      <c r="AAP71" s="117"/>
      <c r="AAQ71" s="117"/>
      <c r="AAR71" s="117"/>
      <c r="AAS71" s="117"/>
      <c r="AAT71" s="117"/>
      <c r="AAU71" s="117"/>
      <c r="AAV71" s="117"/>
      <c r="AAW71" s="117"/>
      <c r="AAX71" s="117"/>
      <c r="AAY71" s="117"/>
      <c r="AAZ71" s="117"/>
      <c r="ABA71" s="117"/>
      <c r="ABB71" s="117"/>
      <c r="ABC71" s="117"/>
      <c r="ABD71" s="117"/>
      <c r="ABE71" s="117"/>
      <c r="ABF71" s="117"/>
      <c r="ABG71" s="117"/>
      <c r="ABH71" s="117"/>
      <c r="ABI71" s="117"/>
      <c r="ABJ71" s="117"/>
      <c r="ABK71" s="117"/>
      <c r="ABL71" s="117"/>
      <c r="ABM71" s="117"/>
      <c r="ABN71" s="117"/>
      <c r="ABO71" s="117"/>
      <c r="ABP71" s="117"/>
      <c r="ABQ71" s="117"/>
      <c r="ABR71" s="117"/>
      <c r="ABS71" s="117"/>
      <c r="ABT71" s="117"/>
      <c r="ABU71" s="117"/>
      <c r="ABV71" s="117"/>
      <c r="ABW71" s="117"/>
      <c r="ABX71" s="117"/>
      <c r="ABY71" s="117"/>
      <c r="ABZ71" s="117"/>
      <c r="ACA71" s="117"/>
      <c r="ACB71" s="117"/>
      <c r="ACC71" s="117"/>
      <c r="ACD71" s="117"/>
      <c r="ACE71" s="117"/>
      <c r="ACF71" s="117"/>
      <c r="ACG71" s="117"/>
      <c r="ACH71" s="117"/>
      <c r="ACI71" s="117"/>
      <c r="ACJ71" s="117"/>
      <c r="ACK71" s="117"/>
      <c r="ACL71" s="117"/>
      <c r="ACM71" s="117"/>
      <c r="ACN71" s="117"/>
      <c r="ACO71" s="117"/>
      <c r="ACP71" s="117"/>
      <c r="ACQ71" s="117"/>
      <c r="ACR71" s="117"/>
      <c r="ACS71" s="117"/>
      <c r="ACT71" s="117"/>
      <c r="ACU71" s="117"/>
      <c r="ACV71" s="117"/>
      <c r="ACW71" s="117"/>
      <c r="ACX71" s="117"/>
      <c r="ACY71" s="117"/>
      <c r="ACZ71" s="117"/>
      <c r="ADA71" s="117"/>
      <c r="ADB71" s="117"/>
      <c r="ADC71" s="117"/>
      <c r="ADD71" s="117"/>
      <c r="ADE71" s="117"/>
      <c r="ADF71" s="117"/>
      <c r="ADG71" s="117"/>
      <c r="ADH71" s="117"/>
      <c r="ADI71" s="117"/>
      <c r="ADJ71" s="117"/>
      <c r="ADK71" s="117"/>
      <c r="ADL71" s="117"/>
      <c r="ADM71" s="117"/>
      <c r="ADN71" s="117"/>
      <c r="ADO71" s="117"/>
      <c r="ADP71" s="117"/>
      <c r="ADQ71" s="117"/>
      <c r="ADR71" s="117"/>
      <c r="ADS71" s="117"/>
      <c r="ADT71" s="117"/>
      <c r="ADU71" s="117"/>
      <c r="ADV71" s="117"/>
      <c r="ADW71" s="117"/>
      <c r="ADX71" s="117"/>
      <c r="ADY71" s="117"/>
      <c r="ADZ71" s="117"/>
      <c r="AEA71" s="117"/>
      <c r="AEB71" s="117"/>
      <c r="AEC71" s="117"/>
      <c r="AED71" s="117"/>
      <c r="AEE71" s="117"/>
      <c r="AEF71" s="117"/>
      <c r="AEG71" s="117"/>
      <c r="AEH71" s="117"/>
      <c r="AEI71" s="117"/>
      <c r="AEJ71" s="117"/>
      <c r="AEK71" s="117"/>
      <c r="AEL71" s="117"/>
      <c r="AEM71" s="117"/>
      <c r="AEN71" s="117"/>
      <c r="AEO71" s="117"/>
      <c r="AEP71" s="117"/>
      <c r="AEQ71" s="117"/>
      <c r="AER71" s="117"/>
      <c r="AES71" s="117"/>
      <c r="AET71" s="117"/>
      <c r="AEU71" s="117"/>
      <c r="AEV71" s="117"/>
      <c r="AEW71" s="117"/>
      <c r="AEX71" s="117"/>
      <c r="AEY71" s="117"/>
      <c r="AEZ71" s="117"/>
      <c r="AFA71" s="117"/>
      <c r="AFB71" s="117"/>
      <c r="AFC71" s="117"/>
      <c r="AFD71" s="117"/>
      <c r="AFE71" s="117"/>
      <c r="AFF71" s="117"/>
      <c r="AFG71" s="117"/>
      <c r="AFH71" s="117"/>
      <c r="AFI71" s="117"/>
      <c r="AFJ71" s="117"/>
      <c r="AFK71" s="117"/>
      <c r="AFL71" s="117"/>
      <c r="AFM71" s="117"/>
      <c r="AFN71" s="117"/>
      <c r="AFO71" s="117"/>
      <c r="AFP71" s="117"/>
      <c r="AFQ71" s="117"/>
      <c r="AFR71" s="117"/>
      <c r="AFS71" s="117"/>
      <c r="AFT71" s="117"/>
      <c r="AFU71" s="117"/>
      <c r="AFV71" s="117"/>
      <c r="AFW71" s="117"/>
      <c r="AFX71" s="117"/>
      <c r="AFY71" s="117"/>
      <c r="AFZ71" s="117"/>
      <c r="AGA71" s="117"/>
      <c r="AGB71" s="117"/>
      <c r="AGC71" s="117"/>
      <c r="AGD71" s="117"/>
      <c r="AGE71" s="117"/>
      <c r="AGF71" s="117"/>
      <c r="AGG71" s="117"/>
      <c r="AGH71" s="117"/>
      <c r="AGI71" s="117"/>
      <c r="AGJ71" s="117"/>
      <c r="AGK71" s="117"/>
      <c r="AGL71" s="117"/>
      <c r="AGM71" s="117"/>
      <c r="AGN71" s="117"/>
      <c r="AGO71" s="117"/>
      <c r="AGP71" s="117"/>
      <c r="AGQ71" s="117"/>
      <c r="AGR71" s="117"/>
      <c r="AGS71" s="117"/>
      <c r="AGT71" s="117"/>
      <c r="AGU71" s="117"/>
      <c r="AGV71" s="117"/>
      <c r="AGW71" s="117"/>
      <c r="AGX71" s="117"/>
      <c r="AGY71" s="117"/>
      <c r="AGZ71" s="117"/>
      <c r="AHA71" s="117"/>
      <c r="AHB71" s="117"/>
      <c r="AHC71" s="117"/>
      <c r="AHD71" s="117"/>
      <c r="AHE71" s="117"/>
      <c r="AHF71" s="117"/>
      <c r="AHG71" s="117"/>
      <c r="AHH71" s="117"/>
      <c r="AHI71" s="117"/>
      <c r="AHJ71" s="117"/>
      <c r="AHK71" s="117"/>
      <c r="AHL71" s="117"/>
      <c r="AHM71" s="117"/>
      <c r="AHN71" s="117"/>
      <c r="AHO71" s="117"/>
      <c r="AHP71" s="117"/>
      <c r="AHQ71" s="117"/>
      <c r="AHR71" s="117"/>
      <c r="AHS71" s="117"/>
      <c r="AHT71" s="117"/>
      <c r="AHU71" s="117"/>
      <c r="AHV71" s="117"/>
      <c r="AHW71" s="117"/>
      <c r="AHX71" s="117"/>
      <c r="AHY71" s="117"/>
      <c r="AHZ71" s="117"/>
      <c r="AIA71" s="117"/>
      <c r="AIB71" s="117"/>
      <c r="AIC71" s="117"/>
      <c r="AID71" s="117"/>
      <c r="AIE71" s="117"/>
      <c r="AIF71" s="117"/>
      <c r="AIG71" s="117"/>
      <c r="AIH71" s="117"/>
      <c r="AII71" s="117"/>
      <c r="AIJ71" s="117"/>
      <c r="AIK71" s="117"/>
      <c r="AIL71" s="117"/>
      <c r="AIM71" s="117"/>
      <c r="AIN71" s="117"/>
      <c r="AIO71" s="117"/>
      <c r="AIP71" s="117"/>
      <c r="AIQ71" s="117"/>
      <c r="AIR71" s="117"/>
      <c r="AIS71" s="117"/>
      <c r="AIT71" s="117"/>
      <c r="AIU71" s="117"/>
      <c r="AIV71" s="117"/>
      <c r="AIW71" s="117"/>
      <c r="AIX71" s="117"/>
      <c r="AIY71" s="117"/>
      <c r="AIZ71" s="117"/>
      <c r="AJA71" s="117"/>
      <c r="AJB71" s="117"/>
      <c r="AJC71" s="117"/>
      <c r="AJD71" s="117"/>
      <c r="AJE71" s="117"/>
      <c r="AJF71" s="117"/>
      <c r="AJG71" s="117"/>
      <c r="AJH71" s="117"/>
      <c r="AJI71" s="117"/>
      <c r="AJJ71" s="117"/>
      <c r="AJK71" s="117"/>
      <c r="AJL71" s="117"/>
      <c r="AJM71" s="117"/>
      <c r="AJN71" s="117"/>
      <c r="AJO71" s="117"/>
      <c r="AJP71" s="117"/>
      <c r="AJQ71" s="117"/>
      <c r="AJR71" s="117"/>
      <c r="AJS71" s="117"/>
      <c r="AJT71" s="117"/>
      <c r="AJU71" s="117"/>
      <c r="AJV71" s="117"/>
      <c r="AJW71" s="117"/>
      <c r="AJX71" s="117"/>
      <c r="AJY71" s="117"/>
      <c r="AJZ71" s="117"/>
      <c r="AKA71" s="117"/>
      <c r="AKB71" s="117"/>
      <c r="AKC71" s="117"/>
      <c r="AKD71" s="117"/>
      <c r="AKE71" s="117"/>
      <c r="AKF71" s="117"/>
      <c r="AKG71" s="117"/>
      <c r="AKH71" s="117"/>
      <c r="AKI71" s="117"/>
      <c r="AKJ71" s="117"/>
      <c r="AKK71" s="117"/>
      <c r="AKL71" s="117"/>
      <c r="AKM71" s="117"/>
      <c r="AKN71" s="117"/>
      <c r="AKO71" s="117"/>
      <c r="AKP71" s="117"/>
      <c r="AKQ71" s="117"/>
      <c r="AKR71" s="117"/>
      <c r="AKS71" s="117"/>
      <c r="AKT71" s="117"/>
      <c r="AKU71" s="117"/>
      <c r="AKV71" s="117"/>
      <c r="AKW71" s="117"/>
      <c r="AKX71" s="117"/>
      <c r="AKY71" s="117"/>
      <c r="AKZ71" s="117"/>
      <c r="ALA71" s="117"/>
      <c r="ALB71" s="117"/>
      <c r="ALC71" s="117"/>
      <c r="ALD71" s="117"/>
      <c r="ALE71" s="117"/>
      <c r="ALF71" s="117"/>
      <c r="ALG71" s="117"/>
      <c r="ALH71" s="117"/>
      <c r="ALI71" s="117"/>
      <c r="ALJ71" s="117"/>
      <c r="ALK71" s="117"/>
      <c r="ALL71" s="117"/>
      <c r="ALM71" s="117"/>
      <c r="ALN71" s="117"/>
      <c r="ALO71" s="117"/>
      <c r="ALP71" s="117"/>
      <c r="ALQ71" s="117"/>
      <c r="ALR71" s="117"/>
      <c r="ALS71" s="117"/>
      <c r="ALT71" s="117"/>
      <c r="ALU71" s="117"/>
      <c r="ALV71" s="117"/>
      <c r="ALW71" s="117"/>
      <c r="ALX71" s="117"/>
      <c r="ALY71" s="117"/>
      <c r="ALZ71" s="117"/>
      <c r="AMA71" s="117"/>
      <c r="AMB71" s="117"/>
      <c r="AMC71" s="117"/>
      <c r="AMD71" s="117"/>
      <c r="AME71" s="117"/>
      <c r="AMF71" s="117"/>
      <c r="AMG71" s="117"/>
      <c r="AMH71" s="117"/>
      <c r="AMI71" s="117"/>
      <c r="AMJ71" s="117"/>
      <c r="AMK71" s="117"/>
      <c r="AML71" s="117"/>
      <c r="AMM71" s="117"/>
      <c r="AMN71" s="117"/>
      <c r="AMO71" s="117"/>
      <c r="AMP71" s="117"/>
      <c r="AMQ71" s="117"/>
      <c r="AMR71" s="117"/>
      <c r="AMS71" s="117"/>
      <c r="AMT71" s="117"/>
      <c r="AMU71" s="117"/>
      <c r="AMV71" s="117"/>
      <c r="AMW71" s="117"/>
      <c r="AMX71" s="117"/>
      <c r="AMY71" s="117"/>
      <c r="AMZ71" s="117"/>
      <c r="ANA71" s="117"/>
      <c r="ANB71" s="117"/>
      <c r="ANC71" s="117"/>
      <c r="AND71" s="117"/>
      <c r="ANE71" s="117"/>
      <c r="ANF71" s="117"/>
      <c r="ANG71" s="117"/>
      <c r="ANH71" s="117"/>
      <c r="ANI71" s="117"/>
      <c r="ANJ71" s="117"/>
      <c r="ANK71" s="117"/>
      <c r="ANL71" s="117"/>
      <c r="ANM71" s="117"/>
      <c r="ANN71" s="117"/>
      <c r="ANO71" s="117"/>
      <c r="ANP71" s="117"/>
      <c r="ANQ71" s="117"/>
      <c r="ANR71" s="117"/>
      <c r="ANS71" s="117"/>
      <c r="ANT71" s="117"/>
      <c r="ANU71" s="117"/>
      <c r="ANV71" s="117"/>
      <c r="ANW71" s="117"/>
      <c r="ANX71" s="117"/>
      <c r="ANY71" s="117"/>
      <c r="ANZ71" s="117"/>
      <c r="AOA71" s="117"/>
      <c r="AOB71" s="117"/>
      <c r="AOC71" s="117"/>
      <c r="AOD71" s="117"/>
      <c r="AOE71" s="117"/>
      <c r="AOF71" s="117"/>
      <c r="AOG71" s="117"/>
      <c r="AOH71" s="117"/>
      <c r="AOI71" s="117"/>
      <c r="AOJ71" s="117"/>
      <c r="AOK71" s="117"/>
      <c r="AOL71" s="117"/>
      <c r="AOM71" s="117"/>
      <c r="AON71" s="117"/>
      <c r="AOO71" s="117"/>
      <c r="AOP71" s="117"/>
      <c r="AOQ71" s="117"/>
      <c r="AOR71" s="117"/>
      <c r="AOS71" s="117"/>
      <c r="AOT71" s="117"/>
      <c r="AOU71" s="117"/>
      <c r="AOV71" s="117"/>
      <c r="AOW71" s="117"/>
      <c r="AOX71" s="117"/>
      <c r="AOY71" s="117"/>
      <c r="AOZ71" s="117"/>
      <c r="APA71" s="117"/>
      <c r="APB71" s="117"/>
      <c r="APC71" s="117"/>
      <c r="APD71" s="117"/>
      <c r="APE71" s="117"/>
      <c r="APF71" s="117"/>
      <c r="APG71" s="117"/>
      <c r="APH71" s="117"/>
      <c r="API71" s="117"/>
      <c r="APJ71" s="117"/>
      <c r="APK71" s="117"/>
      <c r="APL71" s="117"/>
      <c r="APM71" s="117"/>
      <c r="APN71" s="117"/>
      <c r="APO71" s="117"/>
      <c r="APP71" s="117"/>
      <c r="APQ71" s="117"/>
      <c r="APR71" s="117"/>
      <c r="APS71" s="117"/>
      <c r="APT71" s="117"/>
      <c r="APU71" s="117"/>
      <c r="APV71" s="117"/>
      <c r="APW71" s="117"/>
      <c r="APX71" s="117"/>
      <c r="APY71" s="117"/>
      <c r="APZ71" s="117"/>
      <c r="AQA71" s="117"/>
      <c r="AQB71" s="117"/>
      <c r="AQC71" s="117"/>
      <c r="AQD71" s="117"/>
      <c r="AQE71" s="117"/>
      <c r="AQF71" s="117"/>
      <c r="AQG71" s="117"/>
      <c r="AQH71" s="117"/>
      <c r="AQI71" s="117"/>
      <c r="AQJ71" s="117"/>
      <c r="AQK71" s="117"/>
      <c r="AQL71" s="117"/>
      <c r="AQM71" s="117"/>
      <c r="AQN71" s="117"/>
      <c r="AQO71" s="117"/>
      <c r="AQP71" s="117"/>
      <c r="AQQ71" s="117"/>
      <c r="AQR71" s="117"/>
      <c r="AQS71" s="117"/>
      <c r="AQT71" s="117"/>
      <c r="AQU71" s="117"/>
      <c r="AQV71" s="117"/>
      <c r="AQW71" s="117"/>
      <c r="AQX71" s="117"/>
      <c r="AQY71" s="117"/>
      <c r="AQZ71" s="117"/>
      <c r="ARA71" s="117"/>
      <c r="ARB71" s="117"/>
      <c r="ARC71" s="117"/>
      <c r="ARD71" s="117"/>
      <c r="ARE71" s="117"/>
      <c r="ARF71" s="117"/>
      <c r="ARG71" s="117"/>
      <c r="ARH71" s="117"/>
      <c r="ARI71" s="117"/>
      <c r="ARJ71" s="117"/>
      <c r="ARK71" s="117"/>
      <c r="ARL71" s="117"/>
      <c r="ARM71" s="117"/>
      <c r="ARN71" s="117"/>
      <c r="ARO71" s="117"/>
      <c r="ARP71" s="117"/>
      <c r="ARQ71" s="117"/>
      <c r="ARR71" s="117"/>
      <c r="ARS71" s="117"/>
      <c r="ART71" s="117"/>
      <c r="ARU71" s="117"/>
      <c r="ARV71" s="117"/>
      <c r="ARW71" s="117"/>
      <c r="ARX71" s="117"/>
      <c r="ARY71" s="117"/>
      <c r="ARZ71" s="117"/>
      <c r="ASA71" s="117"/>
      <c r="ASB71" s="117"/>
      <c r="ASC71" s="117"/>
      <c r="ASD71" s="117"/>
      <c r="ASE71" s="117"/>
      <c r="ASF71" s="117"/>
      <c r="ASG71" s="117"/>
      <c r="ASH71" s="117"/>
      <c r="ASI71" s="117"/>
      <c r="ASJ71" s="117"/>
      <c r="ASK71" s="117"/>
      <c r="ASL71" s="117"/>
      <c r="ASM71" s="117"/>
      <c r="ASN71" s="117"/>
      <c r="ASO71" s="117"/>
      <c r="ASP71" s="117"/>
      <c r="ASQ71" s="117"/>
      <c r="ASR71" s="117"/>
      <c r="ASS71" s="117"/>
      <c r="AST71" s="117"/>
      <c r="ASU71" s="117"/>
      <c r="ASV71" s="117"/>
      <c r="ASW71" s="117"/>
      <c r="ASX71" s="117"/>
      <c r="ASY71" s="117"/>
      <c r="ASZ71" s="117"/>
      <c r="ATA71" s="117"/>
      <c r="ATB71" s="117"/>
      <c r="ATC71" s="117"/>
      <c r="ATD71" s="117"/>
      <c r="ATE71" s="117"/>
      <c r="ATF71" s="117"/>
      <c r="ATG71" s="117"/>
      <c r="ATH71" s="117"/>
      <c r="ATI71" s="117"/>
      <c r="ATJ71" s="117"/>
      <c r="ATK71" s="117"/>
      <c r="ATL71" s="117"/>
      <c r="ATM71" s="117"/>
      <c r="ATN71" s="117"/>
      <c r="ATO71" s="117"/>
      <c r="ATP71" s="117"/>
      <c r="ATQ71" s="117"/>
      <c r="ATR71" s="117"/>
      <c r="ATS71" s="117"/>
      <c r="ATT71" s="117"/>
      <c r="ATU71" s="117"/>
      <c r="ATV71" s="117"/>
      <c r="ATW71" s="117"/>
      <c r="ATX71" s="117"/>
      <c r="ATY71" s="117"/>
      <c r="ATZ71" s="117"/>
      <c r="AUA71" s="117"/>
      <c r="AUB71" s="117"/>
      <c r="AUC71" s="117"/>
      <c r="AUD71" s="117"/>
      <c r="AUE71" s="117"/>
      <c r="AUF71" s="117"/>
      <c r="AUG71" s="117"/>
      <c r="AUH71" s="117"/>
      <c r="AUI71" s="117"/>
      <c r="AUJ71" s="117"/>
      <c r="AUK71" s="117"/>
      <c r="AUL71" s="117"/>
      <c r="AUM71" s="117"/>
      <c r="AUN71" s="117"/>
      <c r="AUO71" s="117"/>
      <c r="AUP71" s="117"/>
      <c r="AUQ71" s="117"/>
      <c r="AUR71" s="117"/>
      <c r="AUS71" s="117"/>
      <c r="AUT71" s="117"/>
      <c r="AUU71" s="117"/>
      <c r="AUV71" s="117"/>
      <c r="AUW71" s="117"/>
      <c r="AUX71" s="117"/>
      <c r="AUY71" s="117"/>
      <c r="AUZ71" s="117"/>
      <c r="AVA71" s="117"/>
      <c r="AVB71" s="117"/>
      <c r="AVC71" s="117"/>
      <c r="AVD71" s="117"/>
      <c r="AVE71" s="117"/>
      <c r="AVF71" s="117"/>
      <c r="AVG71" s="117"/>
      <c r="AVH71" s="117"/>
      <c r="AVI71" s="117"/>
      <c r="AVJ71" s="117"/>
      <c r="AVK71" s="117"/>
      <c r="AVL71" s="117"/>
      <c r="AVM71" s="117"/>
      <c r="AVN71" s="117"/>
      <c r="AVO71" s="117"/>
      <c r="AVP71" s="117"/>
      <c r="AVQ71" s="117"/>
      <c r="AVR71" s="117"/>
      <c r="AVS71" s="117"/>
      <c r="AVT71" s="117"/>
      <c r="AVU71" s="117"/>
      <c r="AVV71" s="117"/>
      <c r="AVW71" s="117"/>
      <c r="AVX71" s="117"/>
      <c r="AVY71" s="117"/>
      <c r="AVZ71" s="117"/>
      <c r="AWA71" s="117"/>
      <c r="AWB71" s="117"/>
      <c r="AWC71" s="117"/>
      <c r="AWD71" s="117"/>
      <c r="AWE71" s="117"/>
      <c r="AWF71" s="117"/>
      <c r="AWG71" s="117"/>
      <c r="AWH71" s="117"/>
      <c r="AWI71" s="117"/>
      <c r="AWJ71" s="117"/>
      <c r="AWK71" s="117"/>
      <c r="AWL71" s="117"/>
      <c r="AWM71" s="117"/>
      <c r="AWN71" s="117"/>
      <c r="AWO71" s="117"/>
      <c r="AWP71" s="117"/>
      <c r="AWQ71" s="117"/>
      <c r="AWR71" s="117"/>
      <c r="AWS71" s="117"/>
      <c r="AWT71" s="117"/>
      <c r="AWU71" s="117"/>
      <c r="AWV71" s="117"/>
      <c r="AWW71" s="117"/>
      <c r="AWX71" s="117"/>
      <c r="AWY71" s="117"/>
      <c r="AWZ71" s="117"/>
      <c r="AXA71" s="117"/>
      <c r="AXB71" s="117"/>
      <c r="AXC71" s="117"/>
      <c r="AXD71" s="117"/>
      <c r="AXE71" s="117"/>
      <c r="AXF71" s="117"/>
      <c r="AXG71" s="117"/>
      <c r="AXH71" s="117"/>
      <c r="AXI71" s="117"/>
      <c r="AXJ71" s="117"/>
      <c r="AXK71" s="117"/>
      <c r="AXL71" s="117"/>
      <c r="AXM71" s="117"/>
      <c r="AXN71" s="117"/>
      <c r="AXO71" s="117"/>
      <c r="AXP71" s="117"/>
      <c r="AXQ71" s="117"/>
      <c r="AXR71" s="117"/>
      <c r="AXS71" s="117"/>
      <c r="AXT71" s="117"/>
      <c r="AXU71" s="117"/>
      <c r="AXV71" s="117"/>
      <c r="AXW71" s="117"/>
      <c r="AXX71" s="117"/>
      <c r="AXY71" s="117"/>
      <c r="AXZ71" s="117"/>
      <c r="AYA71" s="117"/>
      <c r="AYB71" s="117"/>
      <c r="AYC71" s="117"/>
      <c r="AYD71" s="117"/>
      <c r="AYE71" s="117"/>
      <c r="AYF71" s="117"/>
      <c r="AYG71" s="117"/>
      <c r="AYH71" s="117"/>
      <c r="AYI71" s="117"/>
      <c r="AYJ71" s="117"/>
      <c r="AYK71" s="117"/>
      <c r="AYL71" s="117"/>
      <c r="AYM71" s="117"/>
      <c r="AYN71" s="117"/>
      <c r="AYO71" s="117"/>
      <c r="AYP71" s="117"/>
      <c r="AYQ71" s="117"/>
      <c r="AYR71" s="117"/>
      <c r="AYS71" s="117"/>
      <c r="AYT71" s="117"/>
      <c r="AYU71" s="117"/>
      <c r="AYV71" s="117"/>
      <c r="AYW71" s="117"/>
      <c r="AYX71" s="117"/>
      <c r="AYY71" s="117"/>
      <c r="AYZ71" s="117"/>
      <c r="AZA71" s="117"/>
      <c r="AZB71" s="117"/>
      <c r="AZC71" s="117"/>
      <c r="AZD71" s="117"/>
      <c r="AZE71" s="117"/>
      <c r="AZF71" s="117"/>
      <c r="AZG71" s="117"/>
      <c r="AZH71" s="117"/>
      <c r="AZI71" s="117"/>
      <c r="AZJ71" s="117"/>
      <c r="AZK71" s="117"/>
      <c r="AZL71" s="117"/>
      <c r="AZM71" s="117"/>
      <c r="AZN71" s="117"/>
      <c r="AZO71" s="117"/>
      <c r="AZP71" s="117"/>
      <c r="AZQ71" s="117"/>
      <c r="AZR71" s="117"/>
      <c r="AZS71" s="117"/>
      <c r="AZT71" s="117"/>
      <c r="AZU71" s="117"/>
      <c r="AZV71" s="117"/>
      <c r="AZW71" s="117"/>
      <c r="AZX71" s="117"/>
      <c r="AZY71" s="117"/>
      <c r="AZZ71" s="117"/>
      <c r="BAA71" s="117"/>
      <c r="BAB71" s="117"/>
      <c r="BAC71" s="117"/>
      <c r="BAD71" s="117"/>
      <c r="BAE71" s="117"/>
      <c r="BAF71" s="117"/>
      <c r="BAG71" s="117"/>
      <c r="BAH71" s="117"/>
      <c r="BAI71" s="117"/>
      <c r="BAJ71" s="117"/>
      <c r="BAK71" s="117"/>
      <c r="BAL71" s="117"/>
      <c r="BAM71" s="117"/>
      <c r="BAN71" s="117"/>
      <c r="BAO71" s="117"/>
      <c r="BAP71" s="117"/>
      <c r="BAQ71" s="117"/>
      <c r="BAR71" s="117"/>
      <c r="BAS71" s="117"/>
      <c r="BAT71" s="117"/>
      <c r="BAU71" s="117"/>
      <c r="BAV71" s="117"/>
      <c r="BAW71" s="117"/>
      <c r="BAX71" s="117"/>
      <c r="BAY71" s="117"/>
      <c r="BAZ71" s="117"/>
      <c r="BBA71" s="117"/>
      <c r="BBB71" s="117"/>
      <c r="BBC71" s="117"/>
      <c r="BBD71" s="117"/>
      <c r="BBE71" s="117"/>
      <c r="BBF71" s="117"/>
      <c r="BBG71" s="117"/>
      <c r="BBH71" s="117"/>
      <c r="BBI71" s="117"/>
      <c r="BBJ71" s="117"/>
      <c r="BBK71" s="117"/>
      <c r="BBL71" s="117"/>
      <c r="BBM71" s="117"/>
      <c r="BBN71" s="117"/>
      <c r="BBO71" s="117"/>
      <c r="BBP71" s="117"/>
      <c r="BBQ71" s="117"/>
      <c r="BBR71" s="117"/>
      <c r="BBS71" s="117"/>
      <c r="BBT71" s="117"/>
      <c r="BBU71" s="117"/>
      <c r="BBV71" s="117"/>
      <c r="BBW71" s="117"/>
      <c r="BBX71" s="117"/>
      <c r="BBY71" s="117"/>
      <c r="BBZ71" s="117"/>
      <c r="BCA71" s="117"/>
      <c r="BCB71" s="117"/>
      <c r="BCC71" s="117"/>
      <c r="BCD71" s="117"/>
      <c r="BCE71" s="117"/>
      <c r="BCF71" s="117"/>
      <c r="BCG71" s="117"/>
      <c r="BCH71" s="117"/>
      <c r="BCI71" s="117"/>
      <c r="BCJ71" s="117"/>
      <c r="BCK71" s="117"/>
      <c r="BCL71" s="117"/>
      <c r="BCM71" s="117"/>
      <c r="BCN71" s="117"/>
      <c r="BCO71" s="117"/>
      <c r="BCP71" s="117"/>
      <c r="BCQ71" s="117"/>
      <c r="BCR71" s="117"/>
      <c r="BCS71" s="117"/>
      <c r="BCT71" s="117"/>
      <c r="BCU71" s="117"/>
      <c r="BCV71" s="117"/>
      <c r="BCW71" s="117"/>
      <c r="BCX71" s="117"/>
      <c r="BCY71" s="117"/>
      <c r="BCZ71" s="117"/>
      <c r="BDA71" s="117"/>
      <c r="BDB71" s="117"/>
      <c r="BDC71" s="117"/>
      <c r="BDD71" s="117"/>
      <c r="BDE71" s="117"/>
      <c r="BDF71" s="117"/>
      <c r="BDG71" s="117"/>
      <c r="BDH71" s="117"/>
      <c r="BDI71" s="117"/>
      <c r="BDJ71" s="117"/>
      <c r="BDK71" s="117"/>
      <c r="BDL71" s="117"/>
      <c r="BDM71" s="117"/>
      <c r="BDN71" s="117"/>
      <c r="BDO71" s="117"/>
      <c r="BDP71" s="117"/>
      <c r="BDQ71" s="117"/>
      <c r="BDR71" s="117"/>
      <c r="BDS71" s="117"/>
      <c r="BDT71" s="117"/>
      <c r="BDU71" s="117"/>
      <c r="BDV71" s="117"/>
      <c r="BDW71" s="117"/>
      <c r="BDX71" s="117"/>
      <c r="BDY71" s="117"/>
      <c r="BDZ71" s="117"/>
      <c r="BEA71" s="117"/>
      <c r="BEB71" s="117"/>
      <c r="BEC71" s="117"/>
      <c r="BED71" s="117"/>
      <c r="BEE71" s="117"/>
      <c r="BEF71" s="117"/>
      <c r="BEG71" s="117"/>
      <c r="BEH71" s="117"/>
      <c r="BEI71" s="117"/>
      <c r="BEJ71" s="117"/>
      <c r="BEK71" s="117"/>
      <c r="BEL71" s="117"/>
      <c r="BEM71" s="117"/>
      <c r="BEN71" s="117"/>
      <c r="BEO71" s="117"/>
      <c r="BEP71" s="117"/>
      <c r="BEQ71" s="117"/>
      <c r="BER71" s="117"/>
      <c r="BES71" s="117"/>
      <c r="BET71" s="117"/>
      <c r="BEU71" s="117"/>
      <c r="BEV71" s="117"/>
      <c r="BEW71" s="117"/>
      <c r="BEX71" s="117"/>
      <c r="BEY71" s="117"/>
      <c r="BEZ71" s="117"/>
      <c r="BFA71" s="117"/>
      <c r="BFB71" s="117"/>
      <c r="BFC71" s="117"/>
      <c r="BFD71" s="117"/>
      <c r="BFE71" s="117"/>
      <c r="BFF71" s="117"/>
      <c r="BFG71" s="117"/>
      <c r="BFH71" s="117"/>
      <c r="BFI71" s="117"/>
      <c r="BFJ71" s="117"/>
      <c r="BFK71" s="117"/>
      <c r="BFL71" s="117"/>
      <c r="BFM71" s="117"/>
      <c r="BFN71" s="117"/>
      <c r="BFO71" s="117"/>
      <c r="BFP71" s="117"/>
      <c r="BFQ71" s="117"/>
      <c r="BFR71" s="117"/>
      <c r="BFS71" s="117"/>
      <c r="BFT71" s="117"/>
      <c r="BFU71" s="117"/>
      <c r="BFV71" s="117"/>
      <c r="BFW71" s="117"/>
      <c r="BFX71" s="117"/>
      <c r="BFY71" s="117"/>
      <c r="BFZ71" s="117"/>
      <c r="BGA71" s="117"/>
      <c r="BGB71" s="117"/>
      <c r="BGC71" s="117"/>
      <c r="BGD71" s="117"/>
      <c r="BGE71" s="117"/>
      <c r="BGF71" s="117"/>
      <c r="BGG71" s="117"/>
      <c r="BGH71" s="117"/>
      <c r="BGI71" s="117"/>
      <c r="BGJ71" s="117"/>
      <c r="BGK71" s="117"/>
      <c r="BGL71" s="117"/>
      <c r="BGM71" s="117"/>
      <c r="BGN71" s="117"/>
      <c r="BGO71" s="117"/>
      <c r="BGP71" s="117"/>
      <c r="BGQ71" s="117"/>
      <c r="BGR71" s="117"/>
      <c r="BGS71" s="117"/>
      <c r="BGT71" s="117"/>
      <c r="BGU71" s="117"/>
      <c r="BGV71" s="117"/>
      <c r="BGW71" s="117"/>
      <c r="BGX71" s="117"/>
      <c r="BGY71" s="117"/>
      <c r="BGZ71" s="117"/>
      <c r="BHA71" s="117"/>
      <c r="BHB71" s="117"/>
      <c r="BHC71" s="117"/>
      <c r="BHD71" s="117"/>
      <c r="BHE71" s="117"/>
      <c r="BHF71" s="117"/>
      <c r="BHG71" s="117"/>
      <c r="BHH71" s="117"/>
      <c r="BHI71" s="117"/>
      <c r="BHJ71" s="117"/>
      <c r="BHK71" s="117"/>
      <c r="BHL71" s="117"/>
      <c r="BHM71" s="117"/>
      <c r="BHN71" s="117"/>
      <c r="BHO71" s="117"/>
      <c r="BHP71" s="117"/>
      <c r="BHQ71" s="117"/>
      <c r="BHR71" s="117"/>
      <c r="BHS71" s="117"/>
      <c r="BHT71" s="117"/>
      <c r="BHU71" s="117"/>
      <c r="BHV71" s="117"/>
      <c r="BHW71" s="117"/>
      <c r="BHX71" s="117"/>
      <c r="BHY71" s="117"/>
      <c r="BHZ71" s="117"/>
      <c r="BIA71" s="117"/>
      <c r="BIB71" s="117"/>
      <c r="BIC71" s="117"/>
      <c r="BID71" s="117"/>
      <c r="BIE71" s="117"/>
      <c r="BIF71" s="117"/>
      <c r="BIG71" s="117"/>
      <c r="BIH71" s="117"/>
      <c r="BII71" s="117"/>
      <c r="BIJ71" s="117"/>
      <c r="BIK71" s="117"/>
      <c r="BIL71" s="117"/>
      <c r="BIM71" s="117"/>
      <c r="BIN71" s="117"/>
      <c r="BIO71" s="117"/>
      <c r="BIP71" s="117"/>
      <c r="BIQ71" s="117"/>
      <c r="BIR71" s="117"/>
      <c r="BIS71" s="117"/>
      <c r="BIT71" s="117"/>
      <c r="BIU71" s="117"/>
      <c r="BIV71" s="117"/>
      <c r="BIW71" s="117"/>
      <c r="BIX71" s="117"/>
      <c r="BIY71" s="117"/>
      <c r="BIZ71" s="117"/>
      <c r="BJA71" s="117"/>
      <c r="BJB71" s="117"/>
      <c r="BJC71" s="117"/>
      <c r="BJD71" s="117"/>
      <c r="BJE71" s="117"/>
      <c r="BJF71" s="117"/>
      <c r="BJG71" s="117"/>
      <c r="BJH71" s="117"/>
      <c r="BJI71" s="117"/>
      <c r="BJJ71" s="117"/>
      <c r="BJK71" s="117"/>
      <c r="BJL71" s="117"/>
      <c r="BJM71" s="117"/>
      <c r="BJN71" s="117"/>
      <c r="BJO71" s="117"/>
      <c r="BJP71" s="117"/>
      <c r="BJQ71" s="117"/>
      <c r="BJR71" s="117"/>
      <c r="BJS71" s="117"/>
      <c r="BJT71" s="117"/>
      <c r="BJU71" s="117"/>
      <c r="BJV71" s="117"/>
      <c r="BJW71" s="117"/>
      <c r="BJX71" s="117"/>
      <c r="BJY71" s="117"/>
      <c r="BJZ71" s="117"/>
      <c r="BKA71" s="117"/>
      <c r="BKB71" s="117"/>
      <c r="BKC71" s="117"/>
      <c r="BKD71" s="117"/>
      <c r="BKE71" s="117"/>
      <c r="BKF71" s="117"/>
      <c r="BKG71" s="117"/>
      <c r="BKH71" s="117"/>
      <c r="BKI71" s="117"/>
      <c r="BKJ71" s="117"/>
      <c r="BKK71" s="117"/>
      <c r="BKL71" s="117"/>
      <c r="BKM71" s="117"/>
      <c r="BKN71" s="117"/>
      <c r="BKO71" s="117"/>
      <c r="BKP71" s="117"/>
      <c r="BKQ71" s="117"/>
      <c r="BKR71" s="117"/>
      <c r="BKS71" s="117"/>
      <c r="BKT71" s="117"/>
      <c r="BKU71" s="117"/>
      <c r="BKV71" s="117"/>
      <c r="BKW71" s="117"/>
      <c r="BKX71" s="117"/>
      <c r="BKY71" s="117"/>
      <c r="BKZ71" s="117"/>
      <c r="BLA71" s="117"/>
      <c r="BLB71" s="117"/>
      <c r="BLC71" s="117"/>
      <c r="BLD71" s="117"/>
      <c r="BLE71" s="117"/>
      <c r="BLF71" s="117"/>
      <c r="BLG71" s="117"/>
      <c r="BLH71" s="117"/>
      <c r="BLI71" s="117"/>
      <c r="BLJ71" s="117"/>
      <c r="BLK71" s="117"/>
      <c r="BLL71" s="117"/>
      <c r="BLM71" s="117"/>
      <c r="BLN71" s="117"/>
      <c r="BLO71" s="117"/>
      <c r="BLP71" s="117"/>
      <c r="BLQ71" s="117"/>
      <c r="BLR71" s="117"/>
      <c r="BLS71" s="117"/>
      <c r="BLT71" s="117"/>
      <c r="BLU71" s="117"/>
      <c r="BLV71" s="117"/>
      <c r="BLW71" s="117"/>
      <c r="BLX71" s="117"/>
      <c r="BLY71" s="117"/>
      <c r="BLZ71" s="117"/>
      <c r="BMA71" s="117"/>
      <c r="BMB71" s="117"/>
      <c r="BMC71" s="117"/>
      <c r="BMD71" s="117"/>
      <c r="BME71" s="117"/>
      <c r="BMF71" s="117"/>
      <c r="BMG71" s="117"/>
      <c r="BMH71" s="117"/>
      <c r="BMI71" s="117"/>
      <c r="BMJ71" s="117"/>
      <c r="BMK71" s="117"/>
      <c r="BML71" s="117"/>
      <c r="BMM71" s="117"/>
      <c r="BMN71" s="117"/>
      <c r="BMO71" s="117"/>
      <c r="BMP71" s="117"/>
      <c r="BMQ71" s="117"/>
      <c r="BMR71" s="117"/>
      <c r="BMS71" s="117"/>
      <c r="BMT71" s="117"/>
      <c r="BMU71" s="117"/>
      <c r="BMV71" s="117"/>
      <c r="BMW71" s="117"/>
      <c r="BMX71" s="117"/>
      <c r="BMY71" s="117"/>
      <c r="BMZ71" s="117"/>
      <c r="BNA71" s="117"/>
      <c r="BNB71" s="117"/>
      <c r="BNC71" s="117"/>
      <c r="BND71" s="117"/>
      <c r="BNE71" s="117"/>
      <c r="BNF71" s="117"/>
      <c r="BNG71" s="117"/>
      <c r="BNH71" s="117"/>
      <c r="BNI71" s="117"/>
      <c r="BNJ71" s="117"/>
      <c r="BNK71" s="117"/>
      <c r="BNL71" s="117"/>
      <c r="BNM71" s="117"/>
      <c r="BNN71" s="117"/>
      <c r="BNO71" s="117"/>
      <c r="BNP71" s="117"/>
      <c r="BNQ71" s="117"/>
      <c r="BNR71" s="117"/>
      <c r="BNS71" s="117"/>
      <c r="BNT71" s="117"/>
      <c r="BNU71" s="117"/>
      <c r="BNV71" s="117"/>
      <c r="BNW71" s="117"/>
      <c r="BNX71" s="117"/>
      <c r="BNY71" s="117"/>
      <c r="BNZ71" s="117"/>
      <c r="BOA71" s="117"/>
      <c r="BOB71" s="117"/>
      <c r="BOC71" s="117"/>
      <c r="BOD71" s="117"/>
      <c r="BOE71" s="117"/>
      <c r="BOF71" s="117"/>
      <c r="BOG71" s="117"/>
      <c r="BOH71" s="117"/>
      <c r="BOI71" s="117"/>
      <c r="BOJ71" s="117"/>
      <c r="BOK71" s="117"/>
      <c r="BOL71" s="117"/>
      <c r="BOM71" s="117"/>
      <c r="BON71" s="117"/>
      <c r="BOO71" s="117"/>
      <c r="BOP71" s="117"/>
      <c r="BOQ71" s="117"/>
      <c r="BOR71" s="117"/>
      <c r="BOS71" s="117"/>
      <c r="BOT71" s="117"/>
      <c r="BOU71" s="117"/>
      <c r="BOV71" s="117"/>
      <c r="BOW71" s="117"/>
      <c r="BOX71" s="117"/>
      <c r="BOY71" s="117"/>
      <c r="BOZ71" s="117"/>
      <c r="BPA71" s="117"/>
      <c r="BPB71" s="117"/>
      <c r="BPC71" s="117"/>
      <c r="BPD71" s="117"/>
      <c r="BPE71" s="117"/>
      <c r="BPF71" s="117"/>
      <c r="BPG71" s="117"/>
      <c r="BPH71" s="117"/>
      <c r="BPI71" s="117"/>
      <c r="BPJ71" s="117"/>
      <c r="BPK71" s="117"/>
      <c r="BPL71" s="117"/>
      <c r="BPM71" s="117"/>
      <c r="BPN71" s="117"/>
      <c r="BPO71" s="117"/>
      <c r="BPP71" s="117"/>
      <c r="BPQ71" s="117"/>
      <c r="BPR71" s="117"/>
      <c r="BPS71" s="117"/>
      <c r="BPT71" s="117"/>
      <c r="BPU71" s="117"/>
      <c r="BPV71" s="117"/>
      <c r="BPW71" s="117"/>
      <c r="BPX71" s="117"/>
      <c r="BPY71" s="117"/>
      <c r="BPZ71" s="117"/>
      <c r="BQA71" s="117"/>
      <c r="BQB71" s="117"/>
      <c r="BQC71" s="117"/>
      <c r="BQD71" s="117"/>
      <c r="BQE71" s="117"/>
      <c r="BQF71" s="117"/>
      <c r="BQG71" s="117"/>
      <c r="BQH71" s="117"/>
      <c r="BQI71" s="117"/>
      <c r="BQJ71" s="117"/>
      <c r="BQK71" s="117"/>
      <c r="BQL71" s="117"/>
      <c r="BQM71" s="117"/>
      <c r="BQN71" s="117"/>
      <c r="BQO71" s="117"/>
      <c r="BQP71" s="117"/>
      <c r="BQQ71" s="117"/>
      <c r="BQR71" s="117"/>
      <c r="BQS71" s="117"/>
      <c r="BQT71" s="117"/>
      <c r="BQU71" s="117"/>
      <c r="BQV71" s="117"/>
      <c r="BQW71" s="117"/>
      <c r="BQX71" s="117"/>
      <c r="BQY71" s="117"/>
      <c r="BQZ71" s="117"/>
      <c r="BRA71" s="117"/>
      <c r="BRB71" s="117"/>
      <c r="BRC71" s="117"/>
      <c r="BRD71" s="117"/>
      <c r="BRE71" s="117"/>
      <c r="BRF71" s="117"/>
      <c r="BRG71" s="117"/>
      <c r="BRH71" s="117"/>
      <c r="BRI71" s="117"/>
      <c r="BRJ71" s="117"/>
      <c r="BRK71" s="117"/>
      <c r="BRL71" s="117"/>
      <c r="BRM71" s="117"/>
      <c r="BRN71" s="117"/>
      <c r="BRO71" s="117"/>
      <c r="BRP71" s="117"/>
      <c r="BRQ71" s="117"/>
      <c r="BRR71" s="117"/>
      <c r="BRS71" s="117"/>
      <c r="BRT71" s="117"/>
      <c r="BRU71" s="117"/>
      <c r="BRV71" s="117"/>
      <c r="BRW71" s="117"/>
      <c r="BRX71" s="117"/>
      <c r="BRY71" s="117"/>
      <c r="BRZ71" s="117"/>
      <c r="BSA71" s="117"/>
      <c r="BSB71" s="117"/>
      <c r="BSC71" s="117"/>
      <c r="BSD71" s="117"/>
      <c r="BSE71" s="117"/>
      <c r="BSF71" s="117"/>
      <c r="BSG71" s="117"/>
      <c r="BSH71" s="117"/>
      <c r="BSI71" s="117"/>
      <c r="BSJ71" s="117"/>
      <c r="BSK71" s="117"/>
      <c r="BSL71" s="117"/>
      <c r="BSM71" s="117"/>
      <c r="BSN71" s="117"/>
      <c r="BSO71" s="117"/>
      <c r="BSP71" s="117"/>
      <c r="BSQ71" s="117"/>
      <c r="BSR71" s="117"/>
      <c r="BSS71" s="117"/>
      <c r="BST71" s="117"/>
      <c r="BSU71" s="117"/>
      <c r="BSV71" s="117"/>
      <c r="BSW71" s="117"/>
      <c r="BSX71" s="117"/>
      <c r="BSY71" s="117"/>
      <c r="BSZ71" s="117"/>
      <c r="BTA71" s="117"/>
      <c r="BTB71" s="117"/>
      <c r="BTC71" s="117"/>
      <c r="BTD71" s="117"/>
      <c r="BTE71" s="117"/>
      <c r="BTF71" s="117"/>
      <c r="BTG71" s="117"/>
      <c r="BTH71" s="117"/>
      <c r="BTI71" s="117"/>
      <c r="BTJ71" s="117"/>
      <c r="BTK71" s="117"/>
      <c r="BTL71" s="117"/>
      <c r="BTM71" s="117"/>
      <c r="BTN71" s="117"/>
      <c r="BTO71" s="117"/>
      <c r="BTP71" s="117"/>
      <c r="BTQ71" s="117"/>
      <c r="BTR71" s="117"/>
      <c r="BTS71" s="117"/>
      <c r="BTT71" s="117"/>
      <c r="BTU71" s="117"/>
      <c r="BTV71" s="117"/>
      <c r="BTW71" s="117"/>
      <c r="BTX71" s="117"/>
      <c r="BTY71" s="117"/>
      <c r="BTZ71" s="117"/>
      <c r="BUA71" s="117"/>
      <c r="BUB71" s="117"/>
      <c r="BUC71" s="117"/>
      <c r="BUD71" s="117"/>
      <c r="BUE71" s="117"/>
      <c r="BUF71" s="117"/>
      <c r="BUG71" s="117"/>
      <c r="BUH71" s="117"/>
      <c r="BUI71" s="117"/>
      <c r="BUJ71" s="117"/>
      <c r="BUK71" s="117"/>
      <c r="BUL71" s="117"/>
      <c r="BUM71" s="117"/>
      <c r="BUN71" s="117"/>
      <c r="BUO71" s="117"/>
      <c r="BUP71" s="117"/>
      <c r="BUQ71" s="117"/>
      <c r="BUR71" s="117"/>
      <c r="BUS71" s="117"/>
      <c r="BUT71" s="117"/>
      <c r="BUU71" s="117"/>
      <c r="BUV71" s="117"/>
      <c r="BUW71" s="117"/>
      <c r="BUX71" s="117"/>
      <c r="BUY71" s="117"/>
      <c r="BUZ71" s="117"/>
      <c r="BVA71" s="117"/>
      <c r="BVB71" s="117"/>
      <c r="BVC71" s="117"/>
      <c r="BVD71" s="117"/>
      <c r="BVE71" s="117"/>
      <c r="BVF71" s="117"/>
      <c r="BVG71" s="117"/>
      <c r="BVH71" s="117"/>
      <c r="BVI71" s="117"/>
      <c r="BVJ71" s="117"/>
      <c r="BVK71" s="117"/>
      <c r="BVL71" s="117"/>
      <c r="BVM71" s="117"/>
      <c r="BVN71" s="117"/>
      <c r="BVO71" s="117"/>
      <c r="BVP71" s="117"/>
      <c r="BVQ71" s="117"/>
      <c r="BVR71" s="117"/>
      <c r="BVS71" s="117"/>
      <c r="BVT71" s="117"/>
      <c r="BVU71" s="117"/>
      <c r="BVV71" s="117"/>
      <c r="BVW71" s="117"/>
      <c r="BVX71" s="117"/>
      <c r="BVY71" s="117"/>
      <c r="BVZ71" s="117"/>
      <c r="BWA71" s="117"/>
      <c r="BWB71" s="117"/>
      <c r="BWC71" s="117"/>
      <c r="BWD71" s="117"/>
      <c r="BWE71" s="117"/>
      <c r="BWF71" s="117"/>
      <c r="BWG71" s="117"/>
      <c r="BWH71" s="117"/>
      <c r="BWI71" s="117"/>
      <c r="BWJ71" s="117"/>
      <c r="BWK71" s="117"/>
      <c r="BWL71" s="117"/>
      <c r="BWM71" s="117"/>
      <c r="BWN71" s="117"/>
      <c r="BWO71" s="117"/>
      <c r="BWP71" s="117"/>
      <c r="BWQ71" s="117"/>
      <c r="BWR71" s="117"/>
      <c r="BWS71" s="117"/>
      <c r="BWT71" s="117"/>
      <c r="BWU71" s="117"/>
      <c r="BWV71" s="117"/>
      <c r="BWW71" s="117"/>
      <c r="BWX71" s="117"/>
      <c r="BWY71" s="117"/>
      <c r="BWZ71" s="117"/>
      <c r="BXA71" s="117"/>
      <c r="BXB71" s="117"/>
      <c r="BXC71" s="117"/>
      <c r="BXD71" s="117"/>
      <c r="BXE71" s="117"/>
      <c r="BXF71" s="117"/>
      <c r="BXG71" s="117"/>
      <c r="BXH71" s="117"/>
      <c r="BXI71" s="117"/>
      <c r="BXJ71" s="117"/>
      <c r="BXK71" s="117"/>
      <c r="BXL71" s="117"/>
      <c r="BXM71" s="117"/>
      <c r="BXN71" s="117"/>
      <c r="BXO71" s="117"/>
      <c r="BXP71" s="117"/>
      <c r="BXQ71" s="117"/>
      <c r="BXR71" s="117"/>
      <c r="BXS71" s="117"/>
      <c r="BXT71" s="117"/>
      <c r="BXU71" s="117"/>
      <c r="BXV71" s="117"/>
      <c r="BXW71" s="117"/>
      <c r="BXX71" s="117"/>
      <c r="BXY71" s="117"/>
      <c r="BXZ71" s="117"/>
      <c r="BYA71" s="117"/>
      <c r="BYB71" s="117"/>
      <c r="BYC71" s="117"/>
      <c r="BYD71" s="117"/>
      <c r="BYE71" s="117"/>
      <c r="BYF71" s="117"/>
      <c r="BYG71" s="117"/>
      <c r="BYH71" s="117"/>
      <c r="BYI71" s="117"/>
      <c r="BYJ71" s="117"/>
      <c r="BYK71" s="117"/>
      <c r="BYL71" s="117"/>
      <c r="BYM71" s="117"/>
      <c r="BYN71" s="117"/>
      <c r="BYO71" s="117"/>
      <c r="BYP71" s="117"/>
      <c r="BYQ71" s="117"/>
      <c r="BYR71" s="117"/>
      <c r="BYS71" s="117"/>
      <c r="BYT71" s="117"/>
      <c r="BYU71" s="117"/>
      <c r="BYV71" s="117"/>
      <c r="BYW71" s="117"/>
      <c r="BYX71" s="117"/>
      <c r="BYY71" s="117"/>
      <c r="BYZ71" s="117"/>
      <c r="BZA71" s="117"/>
      <c r="BZB71" s="117"/>
      <c r="BZC71" s="117"/>
      <c r="BZD71" s="117"/>
      <c r="BZE71" s="117"/>
      <c r="BZF71" s="117"/>
      <c r="BZG71" s="117"/>
      <c r="BZH71" s="117"/>
      <c r="BZI71" s="117"/>
      <c r="BZJ71" s="117"/>
      <c r="BZK71" s="117"/>
      <c r="BZL71" s="117"/>
      <c r="BZM71" s="117"/>
      <c r="BZN71" s="117"/>
      <c r="BZO71" s="117"/>
      <c r="BZP71" s="117"/>
      <c r="BZQ71" s="117"/>
      <c r="BZR71" s="117"/>
      <c r="BZS71" s="117"/>
      <c r="BZT71" s="117"/>
      <c r="BZU71" s="117"/>
      <c r="BZV71" s="117"/>
      <c r="BZW71" s="117"/>
      <c r="BZX71" s="117"/>
      <c r="BZY71" s="117"/>
      <c r="BZZ71" s="117"/>
      <c r="CAA71" s="117"/>
      <c r="CAB71" s="117"/>
      <c r="CAC71" s="117"/>
      <c r="CAD71" s="117"/>
      <c r="CAE71" s="117"/>
      <c r="CAF71" s="117"/>
      <c r="CAG71" s="117"/>
      <c r="CAH71" s="117"/>
      <c r="CAI71" s="117"/>
      <c r="CAJ71" s="117"/>
      <c r="CAK71" s="117"/>
      <c r="CAL71" s="117"/>
      <c r="CAM71" s="117"/>
      <c r="CAN71" s="117"/>
      <c r="CAO71" s="117"/>
      <c r="CAP71" s="117"/>
      <c r="CAQ71" s="117"/>
      <c r="CAR71" s="117"/>
      <c r="CAS71" s="117"/>
      <c r="CAT71" s="117"/>
      <c r="CAU71" s="117"/>
      <c r="CAV71" s="117"/>
      <c r="CAW71" s="117"/>
      <c r="CAX71" s="117"/>
      <c r="CAY71" s="117"/>
      <c r="CAZ71" s="117"/>
      <c r="CBA71" s="117"/>
      <c r="CBB71" s="117"/>
      <c r="CBC71" s="117"/>
      <c r="CBD71" s="117"/>
      <c r="CBE71" s="117"/>
      <c r="CBF71" s="117"/>
      <c r="CBG71" s="117"/>
      <c r="CBH71" s="117"/>
      <c r="CBI71" s="117"/>
      <c r="CBJ71" s="117"/>
      <c r="CBK71" s="117"/>
      <c r="CBL71" s="117"/>
      <c r="CBM71" s="117"/>
      <c r="CBN71" s="117"/>
      <c r="CBO71" s="117"/>
      <c r="CBP71" s="117"/>
      <c r="CBQ71" s="117"/>
      <c r="CBR71" s="117"/>
      <c r="CBS71" s="117"/>
      <c r="CBT71" s="117"/>
      <c r="CBU71" s="117"/>
      <c r="CBV71" s="117"/>
      <c r="CBW71" s="117"/>
      <c r="CBX71" s="117"/>
      <c r="CBY71" s="117"/>
      <c r="CBZ71" s="117"/>
      <c r="CCA71" s="117"/>
      <c r="CCB71" s="117"/>
      <c r="CCC71" s="117"/>
      <c r="CCD71" s="117"/>
      <c r="CCE71" s="117"/>
      <c r="CCF71" s="117"/>
      <c r="CCG71" s="117"/>
      <c r="CCH71" s="117"/>
      <c r="CCI71" s="117"/>
      <c r="CCJ71" s="117"/>
      <c r="CCK71" s="117"/>
      <c r="CCL71" s="117"/>
      <c r="CCM71" s="117"/>
      <c r="CCN71" s="117"/>
      <c r="CCO71" s="117"/>
      <c r="CCP71" s="117"/>
      <c r="CCQ71" s="117"/>
      <c r="CCR71" s="117"/>
      <c r="CCS71" s="117"/>
      <c r="CCT71" s="117"/>
      <c r="CCU71" s="117"/>
      <c r="CCV71" s="117"/>
      <c r="CCW71" s="117"/>
      <c r="CCX71" s="117"/>
      <c r="CCY71" s="117"/>
      <c r="CCZ71" s="117"/>
      <c r="CDA71" s="117"/>
      <c r="CDB71" s="117"/>
      <c r="CDC71" s="117"/>
      <c r="CDD71" s="117"/>
      <c r="CDE71" s="117"/>
      <c r="CDF71" s="117"/>
      <c r="CDG71" s="117"/>
      <c r="CDH71" s="117"/>
      <c r="CDI71" s="117"/>
      <c r="CDJ71" s="117"/>
      <c r="CDK71" s="117"/>
      <c r="CDL71" s="117"/>
      <c r="CDM71" s="117"/>
      <c r="CDN71" s="117"/>
      <c r="CDO71" s="117"/>
      <c r="CDP71" s="117"/>
      <c r="CDQ71" s="117"/>
      <c r="CDR71" s="117"/>
      <c r="CDS71" s="117"/>
      <c r="CDT71" s="117"/>
      <c r="CDU71" s="117"/>
      <c r="CDV71" s="117"/>
      <c r="CDW71" s="117"/>
      <c r="CDX71" s="117"/>
      <c r="CDY71" s="117"/>
      <c r="CDZ71" s="117"/>
      <c r="CEA71" s="117"/>
      <c r="CEB71" s="117"/>
      <c r="CEC71" s="117"/>
      <c r="CED71" s="117"/>
      <c r="CEE71" s="117"/>
      <c r="CEF71" s="117"/>
      <c r="CEG71" s="117"/>
      <c r="CEH71" s="117"/>
      <c r="CEI71" s="117"/>
      <c r="CEJ71" s="117"/>
      <c r="CEK71" s="117"/>
      <c r="CEL71" s="117"/>
      <c r="CEM71" s="117"/>
      <c r="CEN71" s="117"/>
      <c r="CEO71" s="117"/>
      <c r="CEP71" s="117"/>
      <c r="CEQ71" s="117"/>
      <c r="CER71" s="117"/>
      <c r="CES71" s="117"/>
      <c r="CET71" s="117"/>
      <c r="CEU71" s="117"/>
      <c r="CEV71" s="117"/>
      <c r="CEW71" s="117"/>
      <c r="CEX71" s="117"/>
      <c r="CEY71" s="117"/>
      <c r="CEZ71" s="117"/>
      <c r="CFA71" s="117"/>
      <c r="CFB71" s="117"/>
      <c r="CFC71" s="117"/>
      <c r="CFD71" s="117"/>
      <c r="CFE71" s="117"/>
      <c r="CFF71" s="117"/>
      <c r="CFG71" s="117"/>
      <c r="CFH71" s="117"/>
      <c r="CFI71" s="117"/>
      <c r="CFJ71" s="117"/>
      <c r="CFK71" s="117"/>
      <c r="CFL71" s="117"/>
      <c r="CFM71" s="117"/>
      <c r="CFN71" s="117"/>
      <c r="CFO71" s="117"/>
      <c r="CFP71" s="117"/>
      <c r="CFQ71" s="117"/>
      <c r="CFR71" s="117"/>
      <c r="CFS71" s="117"/>
      <c r="CFT71" s="117"/>
      <c r="CFU71" s="117"/>
      <c r="CFV71" s="117"/>
      <c r="CFW71" s="117"/>
      <c r="CFX71" s="117"/>
      <c r="CFY71" s="117"/>
      <c r="CFZ71" s="117"/>
      <c r="CGA71" s="117"/>
      <c r="CGB71" s="117"/>
      <c r="CGC71" s="117"/>
      <c r="CGD71" s="117"/>
      <c r="CGE71" s="117"/>
      <c r="CGF71" s="117"/>
      <c r="CGG71" s="117"/>
      <c r="CGH71" s="117"/>
      <c r="CGI71" s="117"/>
      <c r="CGJ71" s="117"/>
      <c r="CGK71" s="117"/>
      <c r="CGL71" s="117"/>
      <c r="CGM71" s="117"/>
      <c r="CGN71" s="117"/>
      <c r="CGO71" s="117"/>
      <c r="CGP71" s="117"/>
      <c r="CGQ71" s="117"/>
      <c r="CGR71" s="117"/>
      <c r="CGS71" s="117"/>
      <c r="CGT71" s="117"/>
      <c r="CGU71" s="117"/>
      <c r="CGV71" s="117"/>
      <c r="CGW71" s="117"/>
      <c r="CGX71" s="117"/>
      <c r="CGY71" s="117"/>
      <c r="CGZ71" s="117"/>
      <c r="CHA71" s="117"/>
      <c r="CHB71" s="117"/>
      <c r="CHC71" s="117"/>
      <c r="CHD71" s="117"/>
      <c r="CHE71" s="117"/>
      <c r="CHF71" s="117"/>
      <c r="CHG71" s="117"/>
      <c r="CHH71" s="117"/>
      <c r="CHI71" s="117"/>
      <c r="CHJ71" s="117"/>
      <c r="CHK71" s="117"/>
      <c r="CHL71" s="117"/>
      <c r="CHM71" s="117"/>
      <c r="CHN71" s="117"/>
      <c r="CHO71" s="117"/>
      <c r="CHP71" s="117"/>
      <c r="CHQ71" s="117"/>
      <c r="CHR71" s="117"/>
      <c r="CHS71" s="117"/>
      <c r="CHT71" s="117"/>
      <c r="CHU71" s="117"/>
      <c r="CHV71" s="117"/>
      <c r="CHW71" s="117"/>
      <c r="CHX71" s="117"/>
      <c r="CHY71" s="117"/>
      <c r="CHZ71" s="117"/>
      <c r="CIA71" s="117"/>
      <c r="CIB71" s="117"/>
      <c r="CIC71" s="117"/>
      <c r="CID71" s="117"/>
      <c r="CIE71" s="117"/>
      <c r="CIF71" s="117"/>
      <c r="CIG71" s="117"/>
      <c r="CIH71" s="117"/>
      <c r="CII71" s="117"/>
      <c r="CIJ71" s="117"/>
      <c r="CIK71" s="117"/>
      <c r="CIL71" s="117"/>
      <c r="CIM71" s="117"/>
      <c r="CIN71" s="117"/>
      <c r="CIO71" s="117"/>
      <c r="CIP71" s="117"/>
      <c r="CIQ71" s="117"/>
      <c r="CIR71" s="117"/>
      <c r="CIS71" s="117"/>
      <c r="CIT71" s="117"/>
      <c r="CIU71" s="117"/>
      <c r="CIV71" s="117"/>
      <c r="CIW71" s="117"/>
      <c r="CIX71" s="117"/>
      <c r="CIY71" s="117"/>
      <c r="CIZ71" s="117"/>
      <c r="CJA71" s="117"/>
      <c r="CJB71" s="117"/>
      <c r="CJC71" s="117"/>
      <c r="CJD71" s="117"/>
      <c r="CJE71" s="117"/>
      <c r="CJF71" s="117"/>
      <c r="CJG71" s="117"/>
      <c r="CJH71" s="117"/>
      <c r="CJI71" s="117"/>
      <c r="CJJ71" s="117"/>
      <c r="CJK71" s="117"/>
      <c r="CJL71" s="117"/>
      <c r="CJM71" s="117"/>
      <c r="CJN71" s="117"/>
      <c r="CJO71" s="117"/>
      <c r="CJP71" s="117"/>
      <c r="CJQ71" s="117"/>
      <c r="CJR71" s="117"/>
      <c r="CJS71" s="117"/>
      <c r="CJT71" s="117"/>
      <c r="CJU71" s="117"/>
      <c r="CJV71" s="117"/>
      <c r="CJW71" s="117"/>
      <c r="CJX71" s="117"/>
      <c r="CJY71" s="117"/>
      <c r="CJZ71" s="117"/>
      <c r="CKA71" s="117"/>
      <c r="CKB71" s="117"/>
      <c r="CKC71" s="117"/>
      <c r="CKD71" s="117"/>
      <c r="CKE71" s="117"/>
      <c r="CKF71" s="117"/>
      <c r="CKG71" s="117"/>
      <c r="CKH71" s="117"/>
      <c r="CKI71" s="117"/>
      <c r="CKJ71" s="117"/>
      <c r="CKK71" s="117"/>
      <c r="CKL71" s="117"/>
      <c r="CKM71" s="117"/>
      <c r="CKN71" s="117"/>
      <c r="CKO71" s="117"/>
      <c r="CKP71" s="117"/>
      <c r="CKQ71" s="117"/>
      <c r="CKR71" s="117"/>
      <c r="CKS71" s="117"/>
      <c r="CKT71" s="117"/>
      <c r="CKU71" s="117"/>
      <c r="CKV71" s="117"/>
      <c r="CKW71" s="117"/>
      <c r="CKX71" s="117"/>
      <c r="CKY71" s="117"/>
      <c r="CKZ71" s="117"/>
      <c r="CLA71" s="117"/>
      <c r="CLB71" s="117"/>
      <c r="CLC71" s="117"/>
      <c r="CLD71" s="117"/>
      <c r="CLE71" s="117"/>
      <c r="CLF71" s="117"/>
      <c r="CLG71" s="117"/>
      <c r="CLH71" s="117"/>
      <c r="CLI71" s="117"/>
      <c r="CLJ71" s="117"/>
      <c r="CLK71" s="117"/>
      <c r="CLL71" s="117"/>
      <c r="CLM71" s="117"/>
      <c r="CLN71" s="117"/>
      <c r="CLO71" s="117"/>
      <c r="CLP71" s="117"/>
      <c r="CLQ71" s="117"/>
      <c r="CLR71" s="117"/>
      <c r="CLS71" s="117"/>
      <c r="CLT71" s="117"/>
      <c r="CLU71" s="117"/>
      <c r="CLV71" s="117"/>
      <c r="CLW71" s="117"/>
      <c r="CLX71" s="117"/>
      <c r="CLY71" s="117"/>
      <c r="CLZ71" s="117"/>
      <c r="CMA71" s="117"/>
      <c r="CMB71" s="117"/>
      <c r="CMC71" s="117"/>
      <c r="CMD71" s="117"/>
      <c r="CME71" s="117"/>
      <c r="CMF71" s="117"/>
      <c r="CMG71" s="117"/>
      <c r="CMH71" s="117"/>
      <c r="CMI71" s="117"/>
      <c r="CMJ71" s="117"/>
      <c r="CMK71" s="117"/>
      <c r="CML71" s="117"/>
      <c r="CMM71" s="117"/>
      <c r="CMN71" s="117"/>
      <c r="CMO71" s="117"/>
      <c r="CMP71" s="117"/>
      <c r="CMQ71" s="117"/>
      <c r="CMR71" s="117"/>
      <c r="CMS71" s="117"/>
      <c r="CMT71" s="117"/>
      <c r="CMU71" s="117"/>
      <c r="CMV71" s="117"/>
      <c r="CMW71" s="117"/>
      <c r="CMX71" s="117"/>
      <c r="CMY71" s="117"/>
      <c r="CMZ71" s="117"/>
      <c r="CNA71" s="117"/>
      <c r="CNB71" s="117"/>
      <c r="CNC71" s="117"/>
      <c r="CND71" s="117"/>
      <c r="CNE71" s="117"/>
      <c r="CNF71" s="117"/>
      <c r="CNG71" s="117"/>
      <c r="CNH71" s="117"/>
      <c r="CNI71" s="117"/>
      <c r="CNJ71" s="117"/>
      <c r="CNK71" s="117"/>
      <c r="CNL71" s="117"/>
      <c r="CNM71" s="117"/>
      <c r="CNN71" s="117"/>
      <c r="CNO71" s="117"/>
      <c r="CNP71" s="117"/>
      <c r="CNQ71" s="117"/>
      <c r="CNR71" s="117"/>
      <c r="CNS71" s="117"/>
      <c r="CNT71" s="117"/>
      <c r="CNU71" s="117"/>
      <c r="CNV71" s="117"/>
      <c r="CNW71" s="117"/>
      <c r="CNX71" s="117"/>
      <c r="CNY71" s="117"/>
      <c r="CNZ71" s="117"/>
      <c r="COA71" s="117"/>
      <c r="COB71" s="117"/>
      <c r="COC71" s="117"/>
      <c r="COD71" s="117"/>
      <c r="COE71" s="117"/>
      <c r="COF71" s="117"/>
      <c r="COG71" s="117"/>
      <c r="COH71" s="117"/>
      <c r="COI71" s="117"/>
      <c r="COJ71" s="117"/>
      <c r="COK71" s="117"/>
      <c r="COL71" s="117"/>
      <c r="COM71" s="117"/>
      <c r="CON71" s="117"/>
      <c r="COO71" s="117"/>
      <c r="COP71" s="117"/>
      <c r="COQ71" s="117"/>
      <c r="COR71" s="117"/>
      <c r="COS71" s="117"/>
      <c r="COT71" s="117"/>
      <c r="COU71" s="117"/>
      <c r="COV71" s="117"/>
      <c r="COW71" s="117"/>
      <c r="COX71" s="117"/>
      <c r="COY71" s="117"/>
      <c r="COZ71" s="117"/>
      <c r="CPA71" s="117"/>
      <c r="CPB71" s="117"/>
      <c r="CPC71" s="117"/>
      <c r="CPD71" s="117"/>
      <c r="CPE71" s="117"/>
      <c r="CPF71" s="117"/>
      <c r="CPG71" s="117"/>
      <c r="CPH71" s="117"/>
      <c r="CPI71" s="117"/>
      <c r="CPJ71" s="117"/>
      <c r="CPK71" s="117"/>
      <c r="CPL71" s="117"/>
      <c r="CPM71" s="117"/>
      <c r="CPN71" s="117"/>
      <c r="CPO71" s="117"/>
      <c r="CPP71" s="117"/>
      <c r="CPQ71" s="117"/>
      <c r="CPR71" s="117"/>
      <c r="CPS71" s="117"/>
      <c r="CPT71" s="117"/>
      <c r="CPU71" s="117"/>
      <c r="CPV71" s="117"/>
      <c r="CPW71" s="117"/>
      <c r="CPX71" s="117"/>
      <c r="CPY71" s="117"/>
      <c r="CPZ71" s="117"/>
      <c r="CQA71" s="117"/>
      <c r="CQB71" s="117"/>
      <c r="CQC71" s="117"/>
      <c r="CQD71" s="117"/>
      <c r="CQE71" s="117"/>
      <c r="CQF71" s="117"/>
      <c r="CQG71" s="117"/>
      <c r="CQH71" s="117"/>
      <c r="CQI71" s="117"/>
      <c r="CQJ71" s="117"/>
      <c r="CQK71" s="117"/>
      <c r="CQL71" s="117"/>
      <c r="CQM71" s="117"/>
      <c r="CQN71" s="117"/>
      <c r="CQO71" s="117"/>
      <c r="CQP71" s="117"/>
      <c r="CQQ71" s="117"/>
      <c r="CQR71" s="117"/>
      <c r="CQS71" s="117"/>
      <c r="CQT71" s="117"/>
      <c r="CQU71" s="117"/>
      <c r="CQV71" s="117"/>
      <c r="CQW71" s="117"/>
      <c r="CQX71" s="117"/>
      <c r="CQY71" s="117"/>
      <c r="CQZ71" s="117"/>
      <c r="CRA71" s="117"/>
      <c r="CRB71" s="117"/>
      <c r="CRC71" s="117"/>
      <c r="CRD71" s="117"/>
      <c r="CRE71" s="117"/>
      <c r="CRF71" s="117"/>
      <c r="CRG71" s="117"/>
      <c r="CRH71" s="117"/>
      <c r="CRI71" s="117"/>
      <c r="CRJ71" s="117"/>
      <c r="CRK71" s="117"/>
      <c r="CRL71" s="117"/>
      <c r="CRM71" s="117"/>
      <c r="CRN71" s="117"/>
      <c r="CRO71" s="117"/>
      <c r="CRP71" s="117"/>
      <c r="CRQ71" s="117"/>
      <c r="CRR71" s="117"/>
      <c r="CRS71" s="117"/>
      <c r="CRT71" s="117"/>
      <c r="CRU71" s="117"/>
      <c r="CRV71" s="117"/>
      <c r="CRW71" s="117"/>
      <c r="CRX71" s="117"/>
      <c r="CRY71" s="117"/>
      <c r="CRZ71" s="117"/>
      <c r="CSA71" s="117"/>
      <c r="CSB71" s="117"/>
      <c r="CSC71" s="117"/>
      <c r="CSD71" s="117"/>
      <c r="CSE71" s="117"/>
      <c r="CSF71" s="117"/>
      <c r="CSG71" s="117"/>
      <c r="CSH71" s="117"/>
      <c r="CSI71" s="117"/>
      <c r="CSJ71" s="117"/>
      <c r="CSK71" s="117"/>
      <c r="CSL71" s="117"/>
      <c r="CSM71" s="117"/>
      <c r="CSN71" s="117"/>
      <c r="CSO71" s="117"/>
      <c r="CSP71" s="117"/>
      <c r="CSQ71" s="117"/>
      <c r="CSR71" s="117"/>
      <c r="CSS71" s="117"/>
      <c r="CST71" s="117"/>
      <c r="CSU71" s="117"/>
      <c r="CSV71" s="117"/>
      <c r="CSW71" s="117"/>
      <c r="CSX71" s="117"/>
      <c r="CSY71" s="117"/>
      <c r="CSZ71" s="117"/>
      <c r="CTA71" s="117"/>
      <c r="CTB71" s="117"/>
      <c r="CTC71" s="117"/>
      <c r="CTD71" s="117"/>
      <c r="CTE71" s="117"/>
      <c r="CTF71" s="117"/>
      <c r="CTG71" s="117"/>
      <c r="CTH71" s="117"/>
      <c r="CTI71" s="117"/>
      <c r="CTJ71" s="117"/>
      <c r="CTK71" s="117"/>
      <c r="CTL71" s="117"/>
      <c r="CTM71" s="117"/>
      <c r="CTN71" s="117"/>
      <c r="CTO71" s="117"/>
      <c r="CTP71" s="117"/>
      <c r="CTQ71" s="117"/>
      <c r="CTR71" s="117"/>
      <c r="CTS71" s="117"/>
      <c r="CTT71" s="117"/>
      <c r="CTU71" s="117"/>
      <c r="CTV71" s="117"/>
      <c r="CTW71" s="117"/>
      <c r="CTX71" s="117"/>
      <c r="CTY71" s="117"/>
      <c r="CTZ71" s="117"/>
      <c r="CUA71" s="117"/>
      <c r="CUB71" s="117"/>
      <c r="CUC71" s="117"/>
      <c r="CUD71" s="117"/>
      <c r="CUE71" s="117"/>
      <c r="CUF71" s="117"/>
      <c r="CUG71" s="117"/>
      <c r="CUH71" s="117"/>
      <c r="CUI71" s="117"/>
      <c r="CUJ71" s="117"/>
      <c r="CUK71" s="117"/>
      <c r="CUL71" s="117"/>
      <c r="CUM71" s="117"/>
      <c r="CUN71" s="117"/>
      <c r="CUO71" s="117"/>
      <c r="CUP71" s="117"/>
      <c r="CUQ71" s="117"/>
      <c r="CUR71" s="117"/>
      <c r="CUS71" s="117"/>
      <c r="CUT71" s="117"/>
      <c r="CUU71" s="117"/>
      <c r="CUV71" s="117"/>
      <c r="CUW71" s="117"/>
      <c r="CUX71" s="117"/>
      <c r="CUY71" s="117"/>
      <c r="CUZ71" s="117"/>
      <c r="CVA71" s="117"/>
      <c r="CVB71" s="117"/>
      <c r="CVC71" s="117"/>
      <c r="CVD71" s="117"/>
      <c r="CVE71" s="117"/>
      <c r="CVF71" s="117"/>
      <c r="CVG71" s="117"/>
      <c r="CVH71" s="117"/>
      <c r="CVI71" s="117"/>
      <c r="CVJ71" s="117"/>
      <c r="CVK71" s="117"/>
      <c r="CVL71" s="117"/>
      <c r="CVM71" s="117"/>
      <c r="CVN71" s="117"/>
      <c r="CVO71" s="117"/>
      <c r="CVP71" s="117"/>
      <c r="CVQ71" s="117"/>
      <c r="CVR71" s="117"/>
      <c r="CVS71" s="117"/>
      <c r="CVT71" s="117"/>
      <c r="CVU71" s="117"/>
      <c r="CVV71" s="117"/>
      <c r="CVW71" s="117"/>
      <c r="CVX71" s="117"/>
      <c r="CVY71" s="117"/>
      <c r="CVZ71" s="117"/>
      <c r="CWA71" s="117"/>
      <c r="CWB71" s="117"/>
      <c r="CWC71" s="117"/>
      <c r="CWD71" s="117"/>
      <c r="CWE71" s="117"/>
      <c r="CWF71" s="117"/>
      <c r="CWG71" s="117"/>
      <c r="CWH71" s="117"/>
      <c r="CWI71" s="117"/>
      <c r="CWJ71" s="117"/>
      <c r="CWK71" s="117"/>
      <c r="CWL71" s="117"/>
      <c r="CWM71" s="117"/>
      <c r="CWN71" s="117"/>
      <c r="CWO71" s="117"/>
      <c r="CWP71" s="117"/>
      <c r="CWQ71" s="117"/>
      <c r="CWR71" s="117"/>
      <c r="CWS71" s="117"/>
      <c r="CWT71" s="117"/>
      <c r="CWU71" s="117"/>
      <c r="CWV71" s="117"/>
      <c r="CWW71" s="117"/>
      <c r="CWX71" s="117"/>
      <c r="CWY71" s="117"/>
      <c r="CWZ71" s="117"/>
      <c r="CXA71" s="117"/>
      <c r="CXB71" s="117"/>
      <c r="CXC71" s="117"/>
      <c r="CXD71" s="117"/>
      <c r="CXE71" s="117"/>
      <c r="CXF71" s="117"/>
      <c r="CXG71" s="117"/>
      <c r="CXH71" s="117"/>
      <c r="CXI71" s="117"/>
      <c r="CXJ71" s="117"/>
      <c r="CXK71" s="117"/>
      <c r="CXL71" s="117"/>
      <c r="CXM71" s="117"/>
      <c r="CXN71" s="117"/>
      <c r="CXO71" s="117"/>
      <c r="CXP71" s="117"/>
      <c r="CXQ71" s="117"/>
      <c r="CXR71" s="117"/>
      <c r="CXS71" s="117"/>
      <c r="CXT71" s="117"/>
      <c r="CXU71" s="117"/>
      <c r="CXV71" s="117"/>
      <c r="CXW71" s="117"/>
      <c r="CXX71" s="117"/>
      <c r="CXY71" s="117"/>
      <c r="CXZ71" s="117"/>
      <c r="CYA71" s="117"/>
      <c r="CYB71" s="117"/>
      <c r="CYC71" s="117"/>
      <c r="CYD71" s="117"/>
      <c r="CYE71" s="117"/>
      <c r="CYF71" s="117"/>
      <c r="CYG71" s="117"/>
      <c r="CYH71" s="117"/>
      <c r="CYI71" s="117"/>
      <c r="CYJ71" s="117"/>
      <c r="CYK71" s="117"/>
      <c r="CYL71" s="117"/>
      <c r="CYM71" s="117"/>
      <c r="CYN71" s="117"/>
      <c r="CYO71" s="117"/>
      <c r="CYP71" s="117"/>
      <c r="CYQ71" s="117"/>
      <c r="CYR71" s="117"/>
      <c r="CYS71" s="117"/>
      <c r="CYT71" s="117"/>
      <c r="CYU71" s="117"/>
      <c r="CYV71" s="117"/>
      <c r="CYW71" s="117"/>
      <c r="CYX71" s="117"/>
      <c r="CYY71" s="117"/>
      <c r="CYZ71" s="117"/>
      <c r="CZA71" s="117"/>
      <c r="CZB71" s="117"/>
      <c r="CZC71" s="117"/>
      <c r="CZD71" s="117"/>
      <c r="CZE71" s="117"/>
      <c r="CZF71" s="117"/>
      <c r="CZG71" s="117"/>
      <c r="CZH71" s="117"/>
      <c r="CZI71" s="117"/>
      <c r="CZJ71" s="117"/>
      <c r="CZK71" s="117"/>
      <c r="CZL71" s="117"/>
      <c r="CZM71" s="117"/>
      <c r="CZN71" s="117"/>
      <c r="CZO71" s="117"/>
      <c r="CZP71" s="117"/>
      <c r="CZQ71" s="117"/>
      <c r="CZR71" s="117"/>
      <c r="CZS71" s="117"/>
      <c r="CZT71" s="117"/>
      <c r="CZU71" s="117"/>
      <c r="CZV71" s="117"/>
      <c r="CZW71" s="117"/>
      <c r="CZX71" s="117"/>
      <c r="CZY71" s="117"/>
      <c r="CZZ71" s="117"/>
      <c r="DAA71" s="117"/>
      <c r="DAB71" s="117"/>
      <c r="DAC71" s="117"/>
      <c r="DAD71" s="117"/>
      <c r="DAE71" s="117"/>
      <c r="DAF71" s="117"/>
      <c r="DAG71" s="117"/>
      <c r="DAH71" s="117"/>
      <c r="DAI71" s="117"/>
      <c r="DAJ71" s="117"/>
      <c r="DAK71" s="117"/>
      <c r="DAL71" s="117"/>
      <c r="DAM71" s="117"/>
      <c r="DAN71" s="117"/>
      <c r="DAO71" s="117"/>
      <c r="DAP71" s="117"/>
      <c r="DAQ71" s="117"/>
      <c r="DAR71" s="117"/>
      <c r="DAS71" s="117"/>
      <c r="DAT71" s="117"/>
      <c r="DAU71" s="117"/>
      <c r="DAV71" s="117"/>
      <c r="DAW71" s="117"/>
      <c r="DAX71" s="117"/>
      <c r="DAY71" s="117"/>
      <c r="DAZ71" s="117"/>
      <c r="DBA71" s="117"/>
      <c r="DBB71" s="117"/>
      <c r="DBC71" s="117"/>
      <c r="DBD71" s="117"/>
      <c r="DBE71" s="117"/>
      <c r="DBF71" s="117"/>
      <c r="DBG71" s="117"/>
      <c r="DBH71" s="117"/>
      <c r="DBI71" s="117"/>
      <c r="DBJ71" s="117"/>
      <c r="DBK71" s="117"/>
      <c r="DBL71" s="117"/>
      <c r="DBM71" s="117"/>
      <c r="DBN71" s="117"/>
      <c r="DBO71" s="117"/>
      <c r="DBP71" s="117"/>
      <c r="DBQ71" s="117"/>
      <c r="DBR71" s="117"/>
      <c r="DBS71" s="117"/>
      <c r="DBT71" s="117"/>
      <c r="DBU71" s="117"/>
      <c r="DBV71" s="117"/>
      <c r="DBW71" s="117"/>
      <c r="DBX71" s="117"/>
      <c r="DBY71" s="117"/>
      <c r="DBZ71" s="117"/>
      <c r="DCA71" s="117"/>
      <c r="DCB71" s="117"/>
      <c r="DCC71" s="117"/>
      <c r="DCD71" s="117"/>
      <c r="DCE71" s="117"/>
      <c r="DCF71" s="117"/>
      <c r="DCG71" s="117"/>
      <c r="DCH71" s="117"/>
      <c r="DCI71" s="117"/>
      <c r="DCJ71" s="117"/>
      <c r="DCK71" s="117"/>
      <c r="DCL71" s="117"/>
      <c r="DCM71" s="117"/>
      <c r="DCN71" s="117"/>
      <c r="DCO71" s="117"/>
      <c r="DCP71" s="117"/>
      <c r="DCQ71" s="117"/>
      <c r="DCR71" s="117"/>
      <c r="DCS71" s="117"/>
      <c r="DCT71" s="117"/>
      <c r="DCU71" s="117"/>
      <c r="DCV71" s="117"/>
      <c r="DCW71" s="117"/>
      <c r="DCX71" s="117"/>
      <c r="DCY71" s="117"/>
      <c r="DCZ71" s="117"/>
      <c r="DDA71" s="117"/>
      <c r="DDB71" s="117"/>
      <c r="DDC71" s="117"/>
      <c r="DDD71" s="117"/>
      <c r="DDE71" s="117"/>
      <c r="DDF71" s="117"/>
      <c r="DDG71" s="117"/>
      <c r="DDH71" s="117"/>
      <c r="DDI71" s="117"/>
      <c r="DDJ71" s="117"/>
      <c r="DDK71" s="117"/>
      <c r="DDL71" s="117"/>
      <c r="DDM71" s="117"/>
      <c r="DDN71" s="117"/>
      <c r="DDO71" s="117"/>
      <c r="DDP71" s="117"/>
      <c r="DDQ71" s="117"/>
      <c r="DDR71" s="117"/>
      <c r="DDS71" s="117"/>
      <c r="DDT71" s="117"/>
      <c r="DDU71" s="117"/>
      <c r="DDV71" s="117"/>
      <c r="DDW71" s="117"/>
      <c r="DDX71" s="117"/>
      <c r="DDY71" s="117"/>
      <c r="DDZ71" s="117"/>
      <c r="DEA71" s="117"/>
      <c r="DEB71" s="117"/>
      <c r="DEC71" s="117"/>
      <c r="DED71" s="117"/>
      <c r="DEE71" s="117"/>
      <c r="DEF71" s="117"/>
      <c r="DEG71" s="117"/>
      <c r="DEH71" s="117"/>
      <c r="DEI71" s="117"/>
      <c r="DEJ71" s="117"/>
      <c r="DEK71" s="117"/>
      <c r="DEL71" s="117"/>
      <c r="DEM71" s="117"/>
      <c r="DEN71" s="117"/>
      <c r="DEO71" s="117"/>
      <c r="DEP71" s="117"/>
      <c r="DEQ71" s="117"/>
      <c r="DER71" s="117"/>
      <c r="DES71" s="117"/>
      <c r="DET71" s="117"/>
      <c r="DEU71" s="117"/>
      <c r="DEV71" s="117"/>
      <c r="DEW71" s="117"/>
      <c r="DEX71" s="117"/>
      <c r="DEY71" s="117"/>
      <c r="DEZ71" s="117"/>
      <c r="DFA71" s="117"/>
      <c r="DFB71" s="117"/>
      <c r="DFC71" s="117"/>
      <c r="DFD71" s="117"/>
      <c r="DFE71" s="117"/>
      <c r="DFF71" s="117"/>
      <c r="DFG71" s="117"/>
      <c r="DFH71" s="117"/>
      <c r="DFI71" s="117"/>
      <c r="DFJ71" s="117"/>
      <c r="DFK71" s="117"/>
      <c r="DFL71" s="117"/>
      <c r="DFM71" s="117"/>
      <c r="DFN71" s="117"/>
      <c r="DFO71" s="117"/>
      <c r="DFP71" s="117"/>
      <c r="DFQ71" s="117"/>
      <c r="DFR71" s="117"/>
      <c r="DFS71" s="117"/>
      <c r="DFT71" s="117"/>
      <c r="DFU71" s="117"/>
      <c r="DFV71" s="117"/>
      <c r="DFW71" s="117"/>
      <c r="DFX71" s="117"/>
      <c r="DFY71" s="117"/>
      <c r="DFZ71" s="117"/>
      <c r="DGA71" s="117"/>
      <c r="DGB71" s="117"/>
      <c r="DGC71" s="117"/>
      <c r="DGD71" s="117"/>
      <c r="DGE71" s="117"/>
      <c r="DGF71" s="117"/>
      <c r="DGG71" s="117"/>
      <c r="DGH71" s="117"/>
      <c r="DGI71" s="117"/>
      <c r="DGJ71" s="117"/>
      <c r="DGK71" s="117"/>
      <c r="DGL71" s="117"/>
      <c r="DGM71" s="117"/>
      <c r="DGN71" s="117"/>
      <c r="DGO71" s="117"/>
      <c r="DGP71" s="117"/>
      <c r="DGQ71" s="117"/>
      <c r="DGR71" s="117"/>
      <c r="DGS71" s="117"/>
      <c r="DGT71" s="117"/>
      <c r="DGU71" s="117"/>
      <c r="DGV71" s="117"/>
      <c r="DGW71" s="117"/>
      <c r="DGX71" s="117"/>
      <c r="DGY71" s="117"/>
      <c r="DGZ71" s="117"/>
      <c r="DHA71" s="117"/>
      <c r="DHB71" s="117"/>
      <c r="DHC71" s="117"/>
      <c r="DHD71" s="117"/>
      <c r="DHE71" s="117"/>
      <c r="DHF71" s="117"/>
      <c r="DHG71" s="117"/>
      <c r="DHH71" s="117"/>
      <c r="DHI71" s="117"/>
      <c r="DHJ71" s="117"/>
      <c r="DHK71" s="117"/>
      <c r="DHL71" s="117"/>
      <c r="DHM71" s="117"/>
      <c r="DHN71" s="117"/>
      <c r="DHO71" s="117"/>
      <c r="DHP71" s="117"/>
      <c r="DHQ71" s="117"/>
      <c r="DHR71" s="117"/>
      <c r="DHS71" s="117"/>
      <c r="DHT71" s="117"/>
      <c r="DHU71" s="117"/>
      <c r="DHV71" s="117"/>
      <c r="DHW71" s="117"/>
      <c r="DHX71" s="117"/>
      <c r="DHY71" s="117"/>
      <c r="DHZ71" s="117"/>
      <c r="DIA71" s="117"/>
      <c r="DIB71" s="117"/>
      <c r="DIC71" s="117"/>
      <c r="DID71" s="117"/>
      <c r="DIE71" s="117"/>
      <c r="DIF71" s="117"/>
      <c r="DIG71" s="117"/>
      <c r="DIH71" s="117"/>
      <c r="DII71" s="117"/>
      <c r="DIJ71" s="117"/>
      <c r="DIK71" s="117"/>
      <c r="DIL71" s="117"/>
      <c r="DIM71" s="117"/>
      <c r="DIN71" s="117"/>
      <c r="DIO71" s="117"/>
      <c r="DIP71" s="117"/>
      <c r="DIQ71" s="117"/>
      <c r="DIR71" s="117"/>
      <c r="DIS71" s="117"/>
      <c r="DIT71" s="117"/>
      <c r="DIU71" s="117"/>
      <c r="DIV71" s="117"/>
      <c r="DIW71" s="117"/>
      <c r="DIX71" s="117"/>
      <c r="DIY71" s="117"/>
      <c r="DIZ71" s="117"/>
      <c r="DJA71" s="117"/>
      <c r="DJB71" s="117"/>
      <c r="DJC71" s="117"/>
      <c r="DJD71" s="117"/>
      <c r="DJE71" s="117"/>
      <c r="DJF71" s="117"/>
      <c r="DJG71" s="117"/>
      <c r="DJH71" s="117"/>
      <c r="DJI71" s="117"/>
      <c r="DJJ71" s="117"/>
      <c r="DJK71" s="117"/>
      <c r="DJL71" s="117"/>
      <c r="DJM71" s="117"/>
      <c r="DJN71" s="117"/>
      <c r="DJO71" s="117"/>
      <c r="DJP71" s="117"/>
      <c r="DJQ71" s="117"/>
      <c r="DJR71" s="117"/>
      <c r="DJS71" s="117"/>
      <c r="DJT71" s="117"/>
      <c r="DJU71" s="117"/>
      <c r="DJV71" s="117"/>
      <c r="DJW71" s="117"/>
      <c r="DJX71" s="117"/>
      <c r="DJY71" s="117"/>
      <c r="DJZ71" s="117"/>
      <c r="DKA71" s="117"/>
      <c r="DKB71" s="117"/>
      <c r="DKC71" s="117"/>
      <c r="DKD71" s="117"/>
      <c r="DKE71" s="117"/>
      <c r="DKF71" s="117"/>
      <c r="DKG71" s="117"/>
      <c r="DKH71" s="117"/>
      <c r="DKI71" s="117"/>
      <c r="DKJ71" s="117"/>
      <c r="DKK71" s="117"/>
      <c r="DKL71" s="117"/>
      <c r="DKM71" s="117"/>
      <c r="DKN71" s="117"/>
      <c r="DKO71" s="117"/>
      <c r="DKP71" s="117"/>
      <c r="DKQ71" s="117"/>
      <c r="DKR71" s="117"/>
      <c r="DKS71" s="117"/>
      <c r="DKT71" s="117"/>
      <c r="DKU71" s="117"/>
      <c r="DKV71" s="117"/>
      <c r="DKW71" s="117"/>
      <c r="DKX71" s="117"/>
      <c r="DKY71" s="117"/>
      <c r="DKZ71" s="117"/>
      <c r="DLA71" s="117"/>
      <c r="DLB71" s="117"/>
      <c r="DLC71" s="117"/>
      <c r="DLD71" s="117"/>
      <c r="DLE71" s="117"/>
      <c r="DLF71" s="117"/>
      <c r="DLG71" s="117"/>
      <c r="DLH71" s="117"/>
      <c r="DLI71" s="117"/>
      <c r="DLJ71" s="117"/>
      <c r="DLK71" s="117"/>
      <c r="DLL71" s="117"/>
      <c r="DLM71" s="117"/>
      <c r="DLN71" s="117"/>
      <c r="DLO71" s="117"/>
      <c r="DLP71" s="117"/>
      <c r="DLQ71" s="117"/>
      <c r="DLR71" s="117"/>
      <c r="DLS71" s="117"/>
      <c r="DLT71" s="117"/>
      <c r="DLU71" s="117"/>
      <c r="DLV71" s="117"/>
      <c r="DLW71" s="117"/>
      <c r="DLX71" s="117"/>
      <c r="DLY71" s="117"/>
      <c r="DLZ71" s="117"/>
      <c r="DMA71" s="117"/>
      <c r="DMB71" s="117"/>
      <c r="DMC71" s="117"/>
      <c r="DMD71" s="117"/>
      <c r="DME71" s="117"/>
      <c r="DMF71" s="117"/>
      <c r="DMG71" s="117"/>
      <c r="DMH71" s="117"/>
      <c r="DMI71" s="117"/>
      <c r="DMJ71" s="117"/>
      <c r="DMK71" s="117"/>
      <c r="DML71" s="117"/>
      <c r="DMM71" s="117"/>
      <c r="DMN71" s="117"/>
      <c r="DMO71" s="117"/>
      <c r="DMP71" s="117"/>
      <c r="DMQ71" s="117"/>
      <c r="DMR71" s="117"/>
      <c r="DMS71" s="117"/>
      <c r="DMT71" s="117"/>
      <c r="DMU71" s="117"/>
      <c r="DMV71" s="117"/>
      <c r="DMW71" s="117"/>
      <c r="DMX71" s="117"/>
      <c r="DMY71" s="117"/>
      <c r="DMZ71" s="117"/>
      <c r="DNA71" s="117"/>
      <c r="DNB71" s="117"/>
      <c r="DNC71" s="117"/>
      <c r="DND71" s="117"/>
      <c r="DNE71" s="117"/>
      <c r="DNF71" s="117"/>
      <c r="DNG71" s="117"/>
      <c r="DNH71" s="117"/>
      <c r="DNI71" s="117"/>
      <c r="DNJ71" s="117"/>
      <c r="DNK71" s="117"/>
      <c r="DNL71" s="117"/>
      <c r="DNM71" s="117"/>
      <c r="DNN71" s="117"/>
      <c r="DNO71" s="117"/>
      <c r="DNP71" s="117"/>
      <c r="DNQ71" s="117"/>
      <c r="DNR71" s="117"/>
      <c r="DNS71" s="117"/>
      <c r="DNT71" s="117"/>
      <c r="DNU71" s="117"/>
      <c r="DNV71" s="117"/>
      <c r="DNW71" s="117"/>
      <c r="DNX71" s="117"/>
      <c r="DNY71" s="117"/>
      <c r="DNZ71" s="117"/>
      <c r="DOA71" s="117"/>
      <c r="DOB71" s="117"/>
      <c r="DOC71" s="117"/>
      <c r="DOD71" s="117"/>
      <c r="DOE71" s="117"/>
      <c r="DOF71" s="117"/>
      <c r="DOG71" s="117"/>
      <c r="DOH71" s="117"/>
      <c r="DOI71" s="117"/>
      <c r="DOJ71" s="117"/>
      <c r="DOK71" s="117"/>
      <c r="DOL71" s="117"/>
      <c r="DOM71" s="117"/>
      <c r="DON71" s="117"/>
      <c r="DOO71" s="117"/>
      <c r="DOP71" s="117"/>
      <c r="DOQ71" s="117"/>
      <c r="DOR71" s="117"/>
      <c r="DOS71" s="117"/>
      <c r="DOT71" s="117"/>
      <c r="DOU71" s="117"/>
      <c r="DOV71" s="117"/>
      <c r="DOW71" s="117"/>
      <c r="DOX71" s="117"/>
      <c r="DOY71" s="117"/>
      <c r="DOZ71" s="117"/>
      <c r="DPA71" s="117"/>
      <c r="DPB71" s="117"/>
      <c r="DPC71" s="117"/>
      <c r="DPD71" s="117"/>
      <c r="DPE71" s="117"/>
      <c r="DPF71" s="117"/>
      <c r="DPG71" s="117"/>
      <c r="DPH71" s="117"/>
      <c r="DPI71" s="117"/>
      <c r="DPJ71" s="117"/>
      <c r="DPK71" s="117"/>
      <c r="DPL71" s="117"/>
      <c r="DPM71" s="117"/>
      <c r="DPN71" s="117"/>
      <c r="DPO71" s="117"/>
      <c r="DPP71" s="117"/>
      <c r="DPQ71" s="117"/>
      <c r="DPR71" s="117"/>
      <c r="DPS71" s="117"/>
      <c r="DPT71" s="117"/>
      <c r="DPU71" s="117"/>
      <c r="DPV71" s="117"/>
      <c r="DPW71" s="117"/>
      <c r="DPX71" s="117"/>
      <c r="DPY71" s="117"/>
      <c r="DPZ71" s="117"/>
      <c r="DQA71" s="117"/>
      <c r="DQB71" s="117"/>
      <c r="DQC71" s="117"/>
      <c r="DQD71" s="117"/>
      <c r="DQE71" s="117"/>
      <c r="DQF71" s="117"/>
      <c r="DQG71" s="117"/>
      <c r="DQH71" s="117"/>
      <c r="DQI71" s="117"/>
      <c r="DQJ71" s="117"/>
      <c r="DQK71" s="117"/>
      <c r="DQL71" s="117"/>
      <c r="DQM71" s="117"/>
      <c r="DQN71" s="117"/>
      <c r="DQO71" s="117"/>
      <c r="DQP71" s="117"/>
      <c r="DQQ71" s="117"/>
      <c r="DQR71" s="117"/>
      <c r="DQS71" s="117"/>
      <c r="DQT71" s="117"/>
      <c r="DQU71" s="117"/>
      <c r="DQV71" s="117"/>
      <c r="DQW71" s="117"/>
      <c r="DQX71" s="117"/>
      <c r="DQY71" s="117"/>
      <c r="DQZ71" s="117"/>
      <c r="DRA71" s="117"/>
      <c r="DRB71" s="117"/>
      <c r="DRC71" s="117"/>
      <c r="DRD71" s="117"/>
      <c r="DRE71" s="117"/>
      <c r="DRF71" s="117"/>
      <c r="DRG71" s="117"/>
      <c r="DRH71" s="117"/>
      <c r="DRI71" s="117"/>
      <c r="DRJ71" s="117"/>
      <c r="DRK71" s="117"/>
      <c r="DRL71" s="117"/>
      <c r="DRM71" s="117"/>
      <c r="DRN71" s="117"/>
      <c r="DRO71" s="117"/>
      <c r="DRP71" s="117"/>
      <c r="DRQ71" s="117"/>
      <c r="DRR71" s="117"/>
      <c r="DRS71" s="117"/>
      <c r="DRT71" s="117"/>
      <c r="DRU71" s="117"/>
      <c r="DRV71" s="117"/>
      <c r="DRW71" s="117"/>
      <c r="DRX71" s="117"/>
      <c r="DRY71" s="117"/>
      <c r="DRZ71" s="117"/>
      <c r="DSA71" s="117"/>
      <c r="DSB71" s="117"/>
      <c r="DSC71" s="117"/>
      <c r="DSD71" s="117"/>
      <c r="DSE71" s="117"/>
      <c r="DSF71" s="117"/>
      <c r="DSG71" s="117"/>
      <c r="DSH71" s="117"/>
      <c r="DSI71" s="117"/>
      <c r="DSJ71" s="117"/>
      <c r="DSK71" s="117"/>
      <c r="DSL71" s="117"/>
      <c r="DSM71" s="117"/>
      <c r="DSN71" s="117"/>
      <c r="DSO71" s="117"/>
      <c r="DSP71" s="117"/>
      <c r="DSQ71" s="117"/>
      <c r="DSR71" s="117"/>
      <c r="DSS71" s="117"/>
      <c r="DST71" s="117"/>
      <c r="DSU71" s="117"/>
      <c r="DSV71" s="117"/>
      <c r="DSW71" s="117"/>
      <c r="DSX71" s="117"/>
      <c r="DSY71" s="117"/>
      <c r="DSZ71" s="117"/>
      <c r="DTA71" s="117"/>
      <c r="DTB71" s="117"/>
      <c r="DTC71" s="117"/>
      <c r="DTD71" s="117"/>
      <c r="DTE71" s="117"/>
      <c r="DTF71" s="117"/>
      <c r="DTG71" s="117"/>
      <c r="DTH71" s="117"/>
      <c r="DTI71" s="117"/>
      <c r="DTJ71" s="117"/>
      <c r="DTK71" s="117"/>
      <c r="DTL71" s="117"/>
      <c r="DTM71" s="117"/>
      <c r="DTN71" s="117"/>
      <c r="DTO71" s="117"/>
      <c r="DTP71" s="117"/>
      <c r="DTQ71" s="117"/>
      <c r="DTR71" s="117"/>
      <c r="DTS71" s="117"/>
      <c r="DTT71" s="117"/>
      <c r="DTU71" s="117"/>
      <c r="DTV71" s="117"/>
      <c r="DTW71" s="117"/>
      <c r="DTX71" s="117"/>
      <c r="DTY71" s="117"/>
      <c r="DTZ71" s="117"/>
      <c r="DUA71" s="117"/>
      <c r="DUB71" s="117"/>
      <c r="DUC71" s="117"/>
      <c r="DUD71" s="117"/>
      <c r="DUE71" s="117"/>
      <c r="DUF71" s="117"/>
      <c r="DUG71" s="117"/>
      <c r="DUH71" s="117"/>
      <c r="DUI71" s="117"/>
      <c r="DUJ71" s="117"/>
      <c r="DUK71" s="117"/>
      <c r="DUL71" s="117"/>
      <c r="DUM71" s="117"/>
      <c r="DUN71" s="117"/>
      <c r="DUO71" s="117"/>
      <c r="DUP71" s="117"/>
      <c r="DUQ71" s="117"/>
      <c r="DUR71" s="117"/>
      <c r="DUS71" s="117"/>
      <c r="DUT71" s="117"/>
      <c r="DUU71" s="117"/>
      <c r="DUV71" s="117"/>
      <c r="DUW71" s="117"/>
      <c r="DUX71" s="117"/>
      <c r="DUY71" s="117"/>
      <c r="DUZ71" s="117"/>
      <c r="DVA71" s="117"/>
      <c r="DVB71" s="117"/>
      <c r="DVC71" s="117"/>
      <c r="DVD71" s="117"/>
      <c r="DVE71" s="117"/>
      <c r="DVF71" s="117"/>
      <c r="DVG71" s="117"/>
      <c r="DVH71" s="117"/>
      <c r="DVI71" s="117"/>
      <c r="DVJ71" s="117"/>
      <c r="DVK71" s="117"/>
      <c r="DVL71" s="117"/>
      <c r="DVM71" s="117"/>
      <c r="DVN71" s="117"/>
      <c r="DVO71" s="117"/>
      <c r="DVP71" s="117"/>
      <c r="DVQ71" s="117"/>
      <c r="DVR71" s="117"/>
      <c r="DVS71" s="117"/>
      <c r="DVT71" s="117"/>
      <c r="DVU71" s="117"/>
      <c r="DVV71" s="117"/>
      <c r="DVW71" s="117"/>
      <c r="DVX71" s="117"/>
      <c r="DVY71" s="117"/>
      <c r="DVZ71" s="117"/>
      <c r="DWA71" s="117"/>
      <c r="DWB71" s="117"/>
      <c r="DWC71" s="117"/>
      <c r="DWD71" s="117"/>
      <c r="DWE71" s="117"/>
      <c r="DWF71" s="117"/>
      <c r="DWG71" s="117"/>
      <c r="DWH71" s="117"/>
      <c r="DWI71" s="117"/>
      <c r="DWJ71" s="117"/>
      <c r="DWK71" s="117"/>
      <c r="DWL71" s="117"/>
      <c r="DWM71" s="117"/>
      <c r="DWN71" s="117"/>
      <c r="DWO71" s="117"/>
      <c r="DWP71" s="117"/>
      <c r="DWQ71" s="117"/>
      <c r="DWR71" s="117"/>
      <c r="DWS71" s="117"/>
      <c r="DWT71" s="117"/>
      <c r="DWU71" s="117"/>
      <c r="DWV71" s="117"/>
      <c r="DWW71" s="117"/>
      <c r="DWX71" s="117"/>
      <c r="DWY71" s="117"/>
      <c r="DWZ71" s="117"/>
      <c r="DXA71" s="117"/>
      <c r="DXB71" s="117"/>
      <c r="DXC71" s="117"/>
      <c r="DXD71" s="117"/>
      <c r="DXE71" s="117"/>
      <c r="DXF71" s="117"/>
      <c r="DXG71" s="117"/>
      <c r="DXH71" s="117"/>
      <c r="DXI71" s="117"/>
      <c r="DXJ71" s="117"/>
      <c r="DXK71" s="117"/>
      <c r="DXL71" s="117"/>
      <c r="DXM71" s="117"/>
      <c r="DXN71" s="117"/>
      <c r="DXO71" s="117"/>
      <c r="DXP71" s="117"/>
      <c r="DXQ71" s="117"/>
      <c r="DXR71" s="117"/>
      <c r="DXS71" s="117"/>
      <c r="DXT71" s="117"/>
      <c r="DXU71" s="117"/>
      <c r="DXV71" s="117"/>
      <c r="DXW71" s="117"/>
      <c r="DXX71" s="117"/>
      <c r="DXY71" s="117"/>
      <c r="DXZ71" s="117"/>
      <c r="DYA71" s="117"/>
      <c r="DYB71" s="117"/>
      <c r="DYC71" s="117"/>
      <c r="DYD71" s="117"/>
      <c r="DYE71" s="117"/>
      <c r="DYF71" s="117"/>
      <c r="DYG71" s="117"/>
      <c r="DYH71" s="117"/>
      <c r="DYI71" s="117"/>
      <c r="DYJ71" s="117"/>
      <c r="DYK71" s="117"/>
      <c r="DYL71" s="117"/>
      <c r="DYM71" s="117"/>
      <c r="DYN71" s="117"/>
      <c r="DYO71" s="117"/>
      <c r="DYP71" s="117"/>
      <c r="DYQ71" s="117"/>
      <c r="DYR71" s="117"/>
      <c r="DYS71" s="117"/>
      <c r="DYT71" s="117"/>
      <c r="DYU71" s="117"/>
      <c r="DYV71" s="117"/>
      <c r="DYW71" s="117"/>
      <c r="DYX71" s="117"/>
      <c r="DYY71" s="117"/>
      <c r="DYZ71" s="117"/>
      <c r="DZA71" s="117"/>
      <c r="DZB71" s="117"/>
      <c r="DZC71" s="117"/>
      <c r="DZD71" s="117"/>
      <c r="DZE71" s="117"/>
      <c r="DZF71" s="117"/>
      <c r="DZG71" s="117"/>
      <c r="DZH71" s="117"/>
      <c r="DZI71" s="117"/>
      <c r="DZJ71" s="117"/>
      <c r="DZK71" s="117"/>
      <c r="DZL71" s="117"/>
      <c r="DZM71" s="117"/>
      <c r="DZN71" s="117"/>
      <c r="DZO71" s="117"/>
      <c r="DZP71" s="117"/>
      <c r="DZQ71" s="117"/>
      <c r="DZR71" s="117"/>
      <c r="DZS71" s="117"/>
      <c r="DZT71" s="117"/>
      <c r="DZU71" s="117"/>
      <c r="DZV71" s="117"/>
      <c r="DZW71" s="117"/>
      <c r="DZX71" s="117"/>
      <c r="DZY71" s="117"/>
      <c r="DZZ71" s="117"/>
      <c r="EAA71" s="117"/>
      <c r="EAB71" s="117"/>
      <c r="EAC71" s="117"/>
      <c r="EAD71" s="117"/>
      <c r="EAE71" s="117"/>
      <c r="EAF71" s="117"/>
      <c r="EAG71" s="117"/>
      <c r="EAH71" s="117"/>
      <c r="EAI71" s="117"/>
      <c r="EAJ71" s="117"/>
      <c r="EAK71" s="117"/>
      <c r="EAL71" s="117"/>
      <c r="EAM71" s="117"/>
      <c r="EAN71" s="117"/>
      <c r="EAO71" s="117"/>
      <c r="EAP71" s="117"/>
      <c r="EAQ71" s="117"/>
      <c r="EAR71" s="117"/>
      <c r="EAS71" s="117"/>
      <c r="EAT71" s="117"/>
      <c r="EAU71" s="117"/>
      <c r="EAV71" s="117"/>
      <c r="EAW71" s="117"/>
      <c r="EAX71" s="117"/>
      <c r="EAY71" s="117"/>
      <c r="EAZ71" s="117"/>
      <c r="EBA71" s="117"/>
      <c r="EBB71" s="117"/>
      <c r="EBC71" s="117"/>
      <c r="EBD71" s="117"/>
      <c r="EBE71" s="117"/>
      <c r="EBF71" s="117"/>
      <c r="EBG71" s="117"/>
      <c r="EBH71" s="117"/>
      <c r="EBI71" s="117"/>
      <c r="EBJ71" s="117"/>
      <c r="EBK71" s="117"/>
      <c r="EBL71" s="117"/>
      <c r="EBM71" s="117"/>
      <c r="EBN71" s="117"/>
      <c r="EBO71" s="117"/>
      <c r="EBP71" s="117"/>
      <c r="EBQ71" s="117"/>
      <c r="EBR71" s="117"/>
      <c r="EBS71" s="117"/>
      <c r="EBT71" s="117"/>
      <c r="EBU71" s="117"/>
      <c r="EBV71" s="117"/>
      <c r="EBW71" s="117"/>
      <c r="EBX71" s="117"/>
      <c r="EBY71" s="117"/>
      <c r="EBZ71" s="117"/>
      <c r="ECA71" s="117"/>
      <c r="ECB71" s="117"/>
      <c r="ECC71" s="117"/>
      <c r="ECD71" s="117"/>
      <c r="ECE71" s="117"/>
      <c r="ECF71" s="117"/>
      <c r="ECG71" s="117"/>
      <c r="ECH71" s="117"/>
      <c r="ECI71" s="117"/>
      <c r="ECJ71" s="117"/>
      <c r="ECK71" s="117"/>
      <c r="ECL71" s="117"/>
      <c r="ECM71" s="117"/>
      <c r="ECN71" s="117"/>
      <c r="ECO71" s="117"/>
      <c r="ECP71" s="117"/>
      <c r="ECQ71" s="117"/>
      <c r="ECR71" s="117"/>
      <c r="ECS71" s="117"/>
      <c r="ECT71" s="117"/>
      <c r="ECU71" s="117"/>
      <c r="ECV71" s="117"/>
      <c r="ECW71" s="117"/>
      <c r="ECX71" s="117"/>
      <c r="ECY71" s="117"/>
      <c r="ECZ71" s="117"/>
      <c r="EDA71" s="117"/>
      <c r="EDB71" s="117"/>
      <c r="EDC71" s="117"/>
      <c r="EDD71" s="117"/>
      <c r="EDE71" s="117"/>
      <c r="EDF71" s="117"/>
      <c r="EDG71" s="117"/>
      <c r="EDH71" s="117"/>
      <c r="EDI71" s="117"/>
      <c r="EDJ71" s="117"/>
      <c r="EDK71" s="117"/>
      <c r="EDL71" s="117"/>
      <c r="EDM71" s="117"/>
      <c r="EDN71" s="117"/>
      <c r="EDO71" s="117"/>
      <c r="EDP71" s="117"/>
      <c r="EDQ71" s="117"/>
      <c r="EDR71" s="117"/>
      <c r="EDS71" s="117"/>
      <c r="EDT71" s="117"/>
      <c r="EDU71" s="117"/>
      <c r="EDV71" s="117"/>
      <c r="EDW71" s="117"/>
      <c r="EDX71" s="117"/>
      <c r="EDY71" s="117"/>
      <c r="EDZ71" s="117"/>
      <c r="EEA71" s="117"/>
      <c r="EEB71" s="117"/>
      <c r="EEC71" s="117"/>
      <c r="EED71" s="117"/>
      <c r="EEE71" s="117"/>
      <c r="EEF71" s="117"/>
      <c r="EEG71" s="117"/>
      <c r="EEH71" s="117"/>
      <c r="EEI71" s="117"/>
      <c r="EEJ71" s="117"/>
      <c r="EEK71" s="117"/>
      <c r="EEL71" s="117"/>
      <c r="EEM71" s="117"/>
      <c r="EEN71" s="117"/>
      <c r="EEO71" s="117"/>
      <c r="EEP71" s="117"/>
      <c r="EEQ71" s="117"/>
      <c r="EER71" s="117"/>
      <c r="EES71" s="117"/>
      <c r="EET71" s="117"/>
      <c r="EEU71" s="117"/>
      <c r="EEV71" s="117"/>
      <c r="EEW71" s="117"/>
      <c r="EEX71" s="117"/>
      <c r="EEY71" s="117"/>
      <c r="EEZ71" s="117"/>
      <c r="EFA71" s="117"/>
      <c r="EFB71" s="117"/>
      <c r="EFC71" s="117"/>
      <c r="EFD71" s="117"/>
      <c r="EFE71" s="117"/>
      <c r="EFF71" s="117"/>
      <c r="EFG71" s="117"/>
      <c r="EFH71" s="117"/>
      <c r="EFI71" s="117"/>
      <c r="EFJ71" s="117"/>
      <c r="EFK71" s="117"/>
      <c r="EFL71" s="117"/>
      <c r="EFM71" s="117"/>
      <c r="EFN71" s="117"/>
      <c r="EFO71" s="117"/>
      <c r="EFP71" s="117"/>
      <c r="EFQ71" s="117"/>
      <c r="EFR71" s="117"/>
      <c r="EFS71" s="117"/>
      <c r="EFT71" s="117"/>
      <c r="EFU71" s="117"/>
      <c r="EFV71" s="117"/>
      <c r="EFW71" s="117"/>
      <c r="EFX71" s="117"/>
      <c r="EFY71" s="117"/>
      <c r="EFZ71" s="117"/>
      <c r="EGA71" s="117"/>
      <c r="EGB71" s="117"/>
      <c r="EGC71" s="117"/>
      <c r="EGD71" s="117"/>
      <c r="EGE71" s="117"/>
      <c r="EGF71" s="117"/>
      <c r="EGG71" s="117"/>
      <c r="EGH71" s="117"/>
      <c r="EGI71" s="117"/>
      <c r="EGJ71" s="117"/>
      <c r="EGK71" s="117"/>
      <c r="EGL71" s="117"/>
      <c r="EGM71" s="117"/>
      <c r="EGN71" s="117"/>
      <c r="EGO71" s="117"/>
      <c r="EGP71" s="117"/>
      <c r="EGQ71" s="117"/>
      <c r="EGR71" s="117"/>
      <c r="EGS71" s="117"/>
      <c r="EGT71" s="117"/>
      <c r="EGU71" s="117"/>
      <c r="EGV71" s="117"/>
      <c r="EGW71" s="117"/>
      <c r="EGX71" s="117"/>
      <c r="EGY71" s="117"/>
      <c r="EGZ71" s="117"/>
      <c r="EHA71" s="117"/>
      <c r="EHB71" s="117"/>
      <c r="EHC71" s="117"/>
      <c r="EHD71" s="117"/>
      <c r="EHE71" s="117"/>
      <c r="EHF71" s="117"/>
      <c r="EHG71" s="117"/>
      <c r="EHH71" s="117"/>
      <c r="EHI71" s="117"/>
      <c r="EHJ71" s="117"/>
      <c r="EHK71" s="117"/>
      <c r="EHL71" s="117"/>
      <c r="EHM71" s="117"/>
      <c r="EHN71" s="117"/>
      <c r="EHO71" s="117"/>
      <c r="EHP71" s="117"/>
      <c r="EHQ71" s="117"/>
      <c r="EHR71" s="117"/>
      <c r="EHS71" s="117"/>
      <c r="EHT71" s="117"/>
      <c r="EHU71" s="117"/>
      <c r="EHV71" s="117"/>
      <c r="EHW71" s="117"/>
      <c r="EHX71" s="117"/>
      <c r="EHY71" s="117"/>
      <c r="EHZ71" s="117"/>
      <c r="EIA71" s="117"/>
      <c r="EIB71" s="117"/>
      <c r="EIC71" s="117"/>
      <c r="EID71" s="117"/>
      <c r="EIE71" s="117"/>
      <c r="EIF71" s="117"/>
      <c r="EIG71" s="117"/>
      <c r="EIH71" s="117"/>
      <c r="EII71" s="117"/>
      <c r="EIJ71" s="117"/>
      <c r="EIK71" s="117"/>
      <c r="EIL71" s="117"/>
      <c r="EIM71" s="117"/>
      <c r="EIN71" s="117"/>
      <c r="EIO71" s="117"/>
      <c r="EIP71" s="117"/>
      <c r="EIQ71" s="117"/>
      <c r="EIR71" s="117"/>
      <c r="EIS71" s="117"/>
      <c r="EIT71" s="117"/>
      <c r="EIU71" s="117"/>
      <c r="EIV71" s="117"/>
      <c r="EIW71" s="117"/>
      <c r="EIX71" s="117"/>
      <c r="EIY71" s="117"/>
      <c r="EIZ71" s="117"/>
      <c r="EJA71" s="117"/>
      <c r="EJB71" s="117"/>
      <c r="EJC71" s="117"/>
      <c r="EJD71" s="117"/>
      <c r="EJE71" s="117"/>
      <c r="EJF71" s="117"/>
      <c r="EJG71" s="117"/>
      <c r="EJH71" s="117"/>
      <c r="EJI71" s="117"/>
      <c r="EJJ71" s="117"/>
      <c r="EJK71" s="117"/>
      <c r="EJL71" s="117"/>
      <c r="EJM71" s="117"/>
      <c r="EJN71" s="117"/>
      <c r="EJO71" s="117"/>
      <c r="EJP71" s="117"/>
      <c r="EJQ71" s="117"/>
      <c r="EJR71" s="117"/>
      <c r="EJS71" s="117"/>
      <c r="EJT71" s="117"/>
      <c r="EJU71" s="117"/>
      <c r="EJV71" s="117"/>
      <c r="EJW71" s="117"/>
      <c r="EJX71" s="117"/>
      <c r="EJY71" s="117"/>
      <c r="EJZ71" s="117"/>
      <c r="EKA71" s="117"/>
      <c r="EKB71" s="117"/>
      <c r="EKC71" s="117"/>
      <c r="EKD71" s="117"/>
      <c r="EKE71" s="117"/>
      <c r="EKF71" s="117"/>
      <c r="EKG71" s="117"/>
      <c r="EKH71" s="117"/>
      <c r="EKI71" s="117"/>
      <c r="EKJ71" s="117"/>
      <c r="EKK71" s="117"/>
      <c r="EKL71" s="117"/>
      <c r="EKM71" s="117"/>
      <c r="EKN71" s="117"/>
      <c r="EKO71" s="117"/>
      <c r="EKP71" s="117"/>
      <c r="EKQ71" s="117"/>
      <c r="EKR71" s="117"/>
      <c r="EKS71" s="117"/>
      <c r="EKT71" s="117"/>
      <c r="EKU71" s="117"/>
      <c r="EKV71" s="117"/>
      <c r="EKW71" s="117"/>
      <c r="EKX71" s="117"/>
      <c r="EKY71" s="117"/>
      <c r="EKZ71" s="117"/>
      <c r="ELA71" s="117"/>
      <c r="ELB71" s="117"/>
      <c r="ELC71" s="117"/>
      <c r="ELD71" s="117"/>
      <c r="ELE71" s="117"/>
      <c r="ELF71" s="117"/>
      <c r="ELG71" s="117"/>
      <c r="ELH71" s="117"/>
      <c r="ELI71" s="117"/>
      <c r="ELJ71" s="117"/>
      <c r="ELK71" s="117"/>
      <c r="ELL71" s="117"/>
      <c r="ELM71" s="117"/>
      <c r="ELN71" s="117"/>
      <c r="ELO71" s="117"/>
      <c r="ELP71" s="117"/>
      <c r="ELQ71" s="117"/>
      <c r="ELR71" s="117"/>
      <c r="ELS71" s="117"/>
      <c r="ELT71" s="117"/>
      <c r="ELU71" s="117"/>
      <c r="ELV71" s="117"/>
      <c r="ELW71" s="117"/>
      <c r="ELX71" s="117"/>
      <c r="ELY71" s="117"/>
      <c r="ELZ71" s="117"/>
      <c r="EMA71" s="117"/>
      <c r="EMB71" s="117"/>
      <c r="EMC71" s="117"/>
      <c r="EMD71" s="117"/>
      <c r="EME71" s="117"/>
      <c r="EMF71" s="117"/>
      <c r="EMG71" s="117"/>
      <c r="EMH71" s="117"/>
      <c r="EMI71" s="117"/>
      <c r="EMJ71" s="117"/>
      <c r="EMK71" s="117"/>
      <c r="EML71" s="117"/>
      <c r="EMM71" s="117"/>
      <c r="EMN71" s="117"/>
      <c r="EMO71" s="117"/>
      <c r="EMP71" s="117"/>
      <c r="EMQ71" s="117"/>
      <c r="EMR71" s="117"/>
      <c r="EMS71" s="117"/>
      <c r="EMT71" s="117"/>
      <c r="EMU71" s="117"/>
      <c r="EMV71" s="117"/>
      <c r="EMW71" s="117"/>
      <c r="EMX71" s="117"/>
      <c r="EMY71" s="117"/>
      <c r="EMZ71" s="117"/>
      <c r="ENA71" s="117"/>
      <c r="ENB71" s="117"/>
      <c r="ENC71" s="117"/>
      <c r="END71" s="117"/>
      <c r="ENE71" s="117"/>
      <c r="ENF71" s="117"/>
      <c r="ENG71" s="117"/>
      <c r="ENH71" s="117"/>
      <c r="ENI71" s="117"/>
      <c r="ENJ71" s="117"/>
      <c r="ENK71" s="117"/>
      <c r="ENL71" s="117"/>
      <c r="ENM71" s="117"/>
      <c r="ENN71" s="117"/>
      <c r="ENO71" s="117"/>
      <c r="ENP71" s="117"/>
      <c r="ENQ71" s="117"/>
      <c r="ENR71" s="117"/>
      <c r="ENS71" s="117"/>
      <c r="ENT71" s="117"/>
      <c r="ENU71" s="117"/>
      <c r="ENV71" s="117"/>
      <c r="ENW71" s="117"/>
      <c r="ENX71" s="117"/>
      <c r="ENY71" s="117"/>
      <c r="ENZ71" s="117"/>
      <c r="EOA71" s="117"/>
      <c r="EOB71" s="117"/>
      <c r="EOC71" s="117"/>
      <c r="EOD71" s="117"/>
      <c r="EOE71" s="117"/>
      <c r="EOF71" s="117"/>
      <c r="EOG71" s="117"/>
      <c r="EOH71" s="117"/>
      <c r="EOI71" s="117"/>
      <c r="EOJ71" s="117"/>
      <c r="EOK71" s="117"/>
      <c r="EOL71" s="117"/>
      <c r="EOM71" s="117"/>
      <c r="EON71" s="117"/>
      <c r="EOO71" s="117"/>
      <c r="EOP71" s="117"/>
      <c r="EOQ71" s="117"/>
      <c r="EOR71" s="117"/>
      <c r="EOS71" s="117"/>
      <c r="EOT71" s="117"/>
      <c r="EOU71" s="117"/>
      <c r="EOV71" s="117"/>
      <c r="EOW71" s="117"/>
      <c r="EOX71" s="117"/>
      <c r="EOY71" s="117"/>
      <c r="EOZ71" s="117"/>
      <c r="EPA71" s="117"/>
      <c r="EPB71" s="117"/>
      <c r="EPC71" s="117"/>
      <c r="EPD71" s="117"/>
      <c r="EPE71" s="117"/>
      <c r="EPF71" s="117"/>
      <c r="EPG71" s="117"/>
      <c r="EPH71" s="117"/>
      <c r="EPI71" s="117"/>
      <c r="EPJ71" s="117"/>
      <c r="EPK71" s="117"/>
      <c r="EPL71" s="117"/>
      <c r="EPM71" s="117"/>
      <c r="EPN71" s="117"/>
      <c r="EPO71" s="117"/>
      <c r="EPP71" s="117"/>
      <c r="EPQ71" s="117"/>
      <c r="EPR71" s="117"/>
      <c r="EPS71" s="117"/>
      <c r="EPT71" s="117"/>
      <c r="EPU71" s="117"/>
      <c r="EPV71" s="117"/>
      <c r="EPW71" s="117"/>
      <c r="EPX71" s="117"/>
      <c r="EPY71" s="117"/>
      <c r="EPZ71" s="117"/>
      <c r="EQA71" s="117"/>
      <c r="EQB71" s="117"/>
      <c r="EQC71" s="117"/>
      <c r="EQD71" s="117"/>
      <c r="EQE71" s="117"/>
      <c r="EQF71" s="117"/>
      <c r="EQG71" s="117"/>
      <c r="EQH71" s="117"/>
      <c r="EQI71" s="117"/>
      <c r="EQJ71" s="117"/>
      <c r="EQK71" s="117"/>
      <c r="EQL71" s="117"/>
      <c r="EQM71" s="117"/>
      <c r="EQN71" s="117"/>
      <c r="EQO71" s="117"/>
      <c r="EQP71" s="117"/>
      <c r="EQQ71" s="117"/>
      <c r="EQR71" s="117"/>
      <c r="EQS71" s="117"/>
      <c r="EQT71" s="117"/>
      <c r="EQU71" s="117"/>
      <c r="EQV71" s="117"/>
      <c r="EQW71" s="117"/>
      <c r="EQX71" s="117"/>
      <c r="EQY71" s="117"/>
      <c r="EQZ71" s="117"/>
      <c r="ERA71" s="117"/>
      <c r="ERB71" s="117"/>
      <c r="ERC71" s="117"/>
      <c r="ERD71" s="117"/>
      <c r="ERE71" s="117"/>
      <c r="ERF71" s="117"/>
      <c r="ERG71" s="117"/>
      <c r="ERH71" s="117"/>
      <c r="ERI71" s="117"/>
      <c r="ERJ71" s="117"/>
      <c r="ERK71" s="117"/>
      <c r="ERL71" s="117"/>
      <c r="ERM71" s="117"/>
      <c r="ERN71" s="117"/>
      <c r="ERO71" s="117"/>
      <c r="ERP71" s="117"/>
      <c r="ERQ71" s="117"/>
      <c r="ERR71" s="117"/>
      <c r="ERS71" s="117"/>
      <c r="ERT71" s="117"/>
      <c r="ERU71" s="117"/>
      <c r="ERV71" s="117"/>
      <c r="ERW71" s="117"/>
      <c r="ERX71" s="117"/>
      <c r="ERY71" s="117"/>
      <c r="ERZ71" s="117"/>
      <c r="ESA71" s="117"/>
      <c r="ESB71" s="117"/>
      <c r="ESC71" s="117"/>
      <c r="ESD71" s="117"/>
      <c r="ESE71" s="117"/>
      <c r="ESF71" s="117"/>
      <c r="ESG71" s="117"/>
      <c r="ESH71" s="117"/>
      <c r="ESI71" s="117"/>
      <c r="ESJ71" s="117"/>
      <c r="ESK71" s="117"/>
      <c r="ESL71" s="117"/>
      <c r="ESM71" s="117"/>
      <c r="ESN71" s="117"/>
      <c r="ESO71" s="117"/>
      <c r="ESP71" s="117"/>
      <c r="ESQ71" s="117"/>
      <c r="ESR71" s="117"/>
      <c r="ESS71" s="117"/>
      <c r="EST71" s="117"/>
      <c r="ESU71" s="117"/>
      <c r="ESV71" s="117"/>
      <c r="ESW71" s="117"/>
      <c r="ESX71" s="117"/>
      <c r="ESY71" s="117"/>
      <c r="ESZ71" s="117"/>
      <c r="ETA71" s="117"/>
      <c r="ETB71" s="117"/>
      <c r="ETC71" s="117"/>
      <c r="ETD71" s="117"/>
      <c r="ETE71" s="117"/>
      <c r="ETF71" s="117"/>
      <c r="ETG71" s="117"/>
      <c r="ETH71" s="117"/>
      <c r="ETI71" s="117"/>
      <c r="ETJ71" s="117"/>
      <c r="ETK71" s="117"/>
      <c r="ETL71" s="117"/>
      <c r="ETM71" s="117"/>
      <c r="ETN71" s="117"/>
      <c r="ETO71" s="117"/>
      <c r="ETP71" s="117"/>
      <c r="ETQ71" s="117"/>
      <c r="ETR71" s="117"/>
      <c r="ETS71" s="117"/>
      <c r="ETT71" s="117"/>
      <c r="ETU71" s="117"/>
      <c r="ETV71" s="117"/>
      <c r="ETW71" s="117"/>
      <c r="ETX71" s="117"/>
      <c r="ETY71" s="117"/>
      <c r="ETZ71" s="117"/>
      <c r="EUA71" s="117"/>
      <c r="EUB71" s="117"/>
      <c r="EUC71" s="117"/>
      <c r="EUD71" s="117"/>
      <c r="EUE71" s="117"/>
      <c r="EUF71" s="117"/>
      <c r="EUG71" s="117"/>
      <c r="EUH71" s="117"/>
      <c r="EUI71" s="117"/>
      <c r="EUJ71" s="117"/>
      <c r="EUK71" s="117"/>
      <c r="EUL71" s="117"/>
      <c r="EUM71" s="117"/>
      <c r="EUN71" s="117"/>
      <c r="EUO71" s="117"/>
      <c r="EUP71" s="117"/>
      <c r="EUQ71" s="117"/>
      <c r="EUR71" s="117"/>
      <c r="EUS71" s="117"/>
      <c r="EUT71" s="117"/>
      <c r="EUU71" s="117"/>
      <c r="EUV71" s="117"/>
      <c r="EUW71" s="117"/>
      <c r="EUX71" s="117"/>
      <c r="EUY71" s="117"/>
      <c r="EUZ71" s="117"/>
      <c r="EVA71" s="117"/>
      <c r="EVB71" s="117"/>
      <c r="EVC71" s="117"/>
      <c r="EVD71" s="117"/>
      <c r="EVE71" s="117"/>
      <c r="EVF71" s="117"/>
      <c r="EVG71" s="117"/>
      <c r="EVH71" s="117"/>
      <c r="EVI71" s="117"/>
      <c r="EVJ71" s="117"/>
      <c r="EVK71" s="117"/>
      <c r="EVL71" s="117"/>
      <c r="EVM71" s="117"/>
      <c r="EVN71" s="117"/>
      <c r="EVO71" s="117"/>
      <c r="EVP71" s="117"/>
      <c r="EVQ71" s="117"/>
      <c r="EVR71" s="117"/>
      <c r="EVS71" s="117"/>
      <c r="EVT71" s="117"/>
      <c r="EVU71" s="117"/>
      <c r="EVV71" s="117"/>
      <c r="EVW71" s="117"/>
      <c r="EVX71" s="117"/>
      <c r="EVY71" s="117"/>
      <c r="EVZ71" s="117"/>
      <c r="EWA71" s="117"/>
      <c r="EWB71" s="117"/>
      <c r="EWC71" s="117"/>
      <c r="EWD71" s="117"/>
      <c r="EWE71" s="117"/>
      <c r="EWF71" s="117"/>
      <c r="EWG71" s="117"/>
      <c r="EWH71" s="117"/>
      <c r="EWI71" s="117"/>
      <c r="EWJ71" s="117"/>
      <c r="EWK71" s="117"/>
      <c r="EWL71" s="117"/>
      <c r="EWM71" s="117"/>
      <c r="EWN71" s="117"/>
      <c r="EWO71" s="117"/>
      <c r="EWP71" s="117"/>
      <c r="EWQ71" s="117"/>
      <c r="EWR71" s="117"/>
      <c r="EWS71" s="117"/>
      <c r="EWT71" s="117"/>
      <c r="EWU71" s="117"/>
      <c r="EWV71" s="117"/>
      <c r="EWW71" s="117"/>
      <c r="EWX71" s="117"/>
      <c r="EWY71" s="117"/>
      <c r="EWZ71" s="117"/>
      <c r="EXA71" s="117"/>
      <c r="EXB71" s="117"/>
      <c r="EXC71" s="117"/>
      <c r="EXD71" s="117"/>
      <c r="EXE71" s="117"/>
      <c r="EXF71" s="117"/>
      <c r="EXG71" s="117"/>
      <c r="EXH71" s="117"/>
      <c r="EXI71" s="117"/>
      <c r="EXJ71" s="117"/>
      <c r="EXK71" s="117"/>
      <c r="EXL71" s="117"/>
      <c r="EXM71" s="117"/>
      <c r="EXN71" s="117"/>
      <c r="EXO71" s="117"/>
      <c r="EXP71" s="117"/>
      <c r="EXQ71" s="117"/>
      <c r="EXR71" s="117"/>
      <c r="EXS71" s="117"/>
      <c r="EXT71" s="117"/>
      <c r="EXU71" s="117"/>
      <c r="EXV71" s="117"/>
      <c r="EXW71" s="117"/>
      <c r="EXX71" s="117"/>
      <c r="EXY71" s="117"/>
      <c r="EXZ71" s="117"/>
      <c r="EYA71" s="117"/>
      <c r="EYB71" s="117"/>
      <c r="EYC71" s="117"/>
      <c r="EYD71" s="117"/>
      <c r="EYE71" s="117"/>
      <c r="EYF71" s="117"/>
      <c r="EYG71" s="117"/>
      <c r="EYH71" s="117"/>
      <c r="EYI71" s="117"/>
      <c r="EYJ71" s="117"/>
      <c r="EYK71" s="117"/>
      <c r="EYL71" s="117"/>
      <c r="EYM71" s="117"/>
      <c r="EYN71" s="117"/>
      <c r="EYO71" s="117"/>
      <c r="EYP71" s="117"/>
      <c r="EYQ71" s="117"/>
      <c r="EYR71" s="117"/>
      <c r="EYS71" s="117"/>
      <c r="EYT71" s="117"/>
      <c r="EYU71" s="117"/>
      <c r="EYV71" s="117"/>
      <c r="EYW71" s="117"/>
      <c r="EYX71" s="117"/>
      <c r="EYY71" s="117"/>
      <c r="EYZ71" s="117"/>
      <c r="EZA71" s="117"/>
      <c r="EZB71" s="117"/>
      <c r="EZC71" s="117"/>
      <c r="EZD71" s="117"/>
      <c r="EZE71" s="117"/>
      <c r="EZF71" s="117"/>
      <c r="EZG71" s="117"/>
      <c r="EZH71" s="117"/>
      <c r="EZI71" s="117"/>
      <c r="EZJ71" s="117"/>
      <c r="EZK71" s="117"/>
      <c r="EZL71" s="117"/>
      <c r="EZM71" s="117"/>
      <c r="EZN71" s="117"/>
      <c r="EZO71" s="117"/>
      <c r="EZP71" s="117"/>
      <c r="EZQ71" s="117"/>
      <c r="EZR71" s="117"/>
      <c r="EZS71" s="117"/>
      <c r="EZT71" s="117"/>
      <c r="EZU71" s="117"/>
      <c r="EZV71" s="117"/>
      <c r="EZW71" s="117"/>
      <c r="EZX71" s="117"/>
      <c r="EZY71" s="117"/>
      <c r="EZZ71" s="117"/>
      <c r="FAA71" s="117"/>
      <c r="FAB71" s="117"/>
      <c r="FAC71" s="117"/>
      <c r="FAD71" s="117"/>
      <c r="FAE71" s="117"/>
      <c r="FAF71" s="117"/>
      <c r="FAG71" s="117"/>
      <c r="FAH71" s="117"/>
      <c r="FAI71" s="117"/>
      <c r="FAJ71" s="117"/>
      <c r="FAK71" s="117"/>
      <c r="FAL71" s="117"/>
      <c r="FAM71" s="117"/>
      <c r="FAN71" s="117"/>
      <c r="FAO71" s="117"/>
      <c r="FAP71" s="117"/>
      <c r="FAQ71" s="117"/>
      <c r="FAR71" s="117"/>
      <c r="FAS71" s="117"/>
      <c r="FAT71" s="117"/>
      <c r="FAU71" s="117"/>
      <c r="FAV71" s="117"/>
      <c r="FAW71" s="117"/>
      <c r="FAX71" s="117"/>
      <c r="FAY71" s="117"/>
      <c r="FAZ71" s="117"/>
      <c r="FBA71" s="117"/>
      <c r="FBB71" s="117"/>
      <c r="FBC71" s="117"/>
      <c r="FBD71" s="117"/>
      <c r="FBE71" s="117"/>
      <c r="FBF71" s="117"/>
      <c r="FBG71" s="117"/>
      <c r="FBH71" s="117"/>
      <c r="FBI71" s="117"/>
      <c r="FBJ71" s="117"/>
      <c r="FBK71" s="117"/>
      <c r="FBL71" s="117"/>
      <c r="FBM71" s="117"/>
      <c r="FBN71" s="117"/>
      <c r="FBO71" s="117"/>
      <c r="FBP71" s="117"/>
      <c r="FBQ71" s="117"/>
      <c r="FBR71" s="117"/>
      <c r="FBS71" s="117"/>
      <c r="FBT71" s="117"/>
      <c r="FBU71" s="117"/>
      <c r="FBV71" s="117"/>
      <c r="FBW71" s="117"/>
      <c r="FBX71" s="117"/>
      <c r="FBY71" s="117"/>
      <c r="FBZ71" s="117"/>
      <c r="FCA71" s="117"/>
      <c r="FCB71" s="117"/>
      <c r="FCC71" s="117"/>
      <c r="FCD71" s="117"/>
      <c r="FCE71" s="117"/>
      <c r="FCF71" s="117"/>
      <c r="FCG71" s="117"/>
      <c r="FCH71" s="117"/>
      <c r="FCI71" s="117"/>
      <c r="FCJ71" s="117"/>
      <c r="FCK71" s="117"/>
      <c r="FCL71" s="117"/>
      <c r="FCM71" s="117"/>
      <c r="FCN71" s="117"/>
      <c r="FCO71" s="117"/>
      <c r="FCP71" s="117"/>
      <c r="FCQ71" s="117"/>
      <c r="FCR71" s="117"/>
      <c r="FCS71" s="117"/>
      <c r="FCT71" s="117"/>
      <c r="FCU71" s="117"/>
      <c r="FCV71" s="117"/>
      <c r="FCW71" s="117"/>
      <c r="FCX71" s="117"/>
      <c r="FCY71" s="117"/>
      <c r="FCZ71" s="117"/>
      <c r="FDA71" s="117"/>
      <c r="FDB71" s="117"/>
      <c r="FDC71" s="117"/>
      <c r="FDD71" s="117"/>
      <c r="FDE71" s="117"/>
      <c r="FDF71" s="117"/>
      <c r="FDG71" s="117"/>
      <c r="FDH71" s="117"/>
      <c r="FDI71" s="117"/>
      <c r="FDJ71" s="117"/>
      <c r="FDK71" s="117"/>
      <c r="FDL71" s="117"/>
      <c r="FDM71" s="117"/>
      <c r="FDN71" s="117"/>
      <c r="FDO71" s="117"/>
      <c r="FDP71" s="117"/>
      <c r="FDQ71" s="117"/>
      <c r="FDR71" s="117"/>
      <c r="FDS71" s="117"/>
      <c r="FDT71" s="117"/>
      <c r="FDU71" s="117"/>
      <c r="FDV71" s="117"/>
      <c r="FDW71" s="117"/>
      <c r="FDX71" s="117"/>
      <c r="FDY71" s="117"/>
      <c r="FDZ71" s="117"/>
      <c r="FEA71" s="117"/>
      <c r="FEB71" s="117"/>
      <c r="FEC71" s="117"/>
      <c r="FED71" s="117"/>
      <c r="FEE71" s="117"/>
      <c r="FEF71" s="117"/>
      <c r="FEG71" s="117"/>
      <c r="FEH71" s="117"/>
      <c r="FEI71" s="117"/>
      <c r="FEJ71" s="117"/>
      <c r="FEK71" s="117"/>
      <c r="FEL71" s="117"/>
      <c r="FEM71" s="117"/>
      <c r="FEN71" s="117"/>
      <c r="FEO71" s="117"/>
      <c r="FEP71" s="117"/>
      <c r="FEQ71" s="117"/>
      <c r="FER71" s="117"/>
      <c r="FES71" s="117"/>
      <c r="FET71" s="117"/>
      <c r="FEU71" s="117"/>
      <c r="FEV71" s="117"/>
      <c r="FEW71" s="117"/>
      <c r="FEX71" s="117"/>
      <c r="FEY71" s="117"/>
      <c r="FEZ71" s="117"/>
      <c r="FFA71" s="117"/>
      <c r="FFB71" s="117"/>
      <c r="FFC71" s="117"/>
      <c r="FFD71" s="117"/>
      <c r="FFE71" s="117"/>
      <c r="FFF71" s="117"/>
      <c r="FFG71" s="117"/>
      <c r="FFH71" s="117"/>
      <c r="FFI71" s="117"/>
      <c r="FFJ71" s="117"/>
      <c r="FFK71" s="117"/>
      <c r="FFL71" s="117"/>
      <c r="FFM71" s="117"/>
      <c r="FFN71" s="117"/>
      <c r="FFO71" s="117"/>
      <c r="FFP71" s="117"/>
      <c r="FFQ71" s="117"/>
      <c r="FFR71" s="117"/>
      <c r="FFS71" s="117"/>
      <c r="FFT71" s="117"/>
      <c r="FFU71" s="117"/>
      <c r="FFV71" s="117"/>
      <c r="FFW71" s="117"/>
      <c r="FFX71" s="117"/>
      <c r="FFY71" s="117"/>
      <c r="FFZ71" s="117"/>
      <c r="FGA71" s="117"/>
      <c r="FGB71" s="117"/>
      <c r="FGC71" s="117"/>
      <c r="FGD71" s="117"/>
      <c r="FGE71" s="117"/>
      <c r="FGF71" s="117"/>
      <c r="FGG71" s="117"/>
      <c r="FGH71" s="117"/>
      <c r="FGI71" s="117"/>
      <c r="FGJ71" s="117"/>
      <c r="FGK71" s="117"/>
      <c r="FGL71" s="117"/>
      <c r="FGM71" s="117"/>
      <c r="FGN71" s="117"/>
      <c r="FGO71" s="117"/>
      <c r="FGP71" s="117"/>
      <c r="FGQ71" s="117"/>
      <c r="FGR71" s="117"/>
      <c r="FGS71" s="117"/>
      <c r="FGT71" s="117"/>
      <c r="FGU71" s="117"/>
      <c r="FGV71" s="117"/>
      <c r="FGW71" s="117"/>
      <c r="FGX71" s="117"/>
      <c r="FGY71" s="117"/>
      <c r="FGZ71" s="117"/>
      <c r="FHA71" s="117"/>
      <c r="FHB71" s="117"/>
      <c r="FHC71" s="117"/>
      <c r="FHD71" s="117"/>
      <c r="FHE71" s="117"/>
      <c r="FHF71" s="117"/>
      <c r="FHG71" s="117"/>
      <c r="FHH71" s="117"/>
      <c r="FHI71" s="117"/>
      <c r="FHJ71" s="117"/>
      <c r="FHK71" s="117"/>
      <c r="FHL71" s="117"/>
      <c r="FHM71" s="117"/>
      <c r="FHN71" s="117"/>
      <c r="FHO71" s="117"/>
      <c r="FHP71" s="117"/>
      <c r="FHQ71" s="117"/>
      <c r="FHR71" s="117"/>
      <c r="FHS71" s="117"/>
      <c r="FHT71" s="117"/>
      <c r="FHU71" s="117"/>
      <c r="FHV71" s="117"/>
      <c r="FHW71" s="117"/>
      <c r="FHX71" s="117"/>
      <c r="FHY71" s="117"/>
      <c r="FHZ71" s="117"/>
      <c r="FIA71" s="117"/>
      <c r="FIB71" s="117"/>
      <c r="FIC71" s="117"/>
      <c r="FID71" s="117"/>
      <c r="FIE71" s="117"/>
      <c r="FIF71" s="117"/>
      <c r="FIG71" s="117"/>
      <c r="FIH71" s="117"/>
      <c r="FII71" s="117"/>
      <c r="FIJ71" s="117"/>
      <c r="FIK71" s="117"/>
      <c r="FIL71" s="117"/>
      <c r="FIM71" s="117"/>
      <c r="FIN71" s="117"/>
      <c r="FIO71" s="117"/>
      <c r="FIP71" s="117"/>
      <c r="FIQ71" s="117"/>
      <c r="FIR71" s="117"/>
      <c r="FIS71" s="117"/>
      <c r="FIT71" s="117"/>
      <c r="FIU71" s="117"/>
      <c r="FIV71" s="117"/>
      <c r="FIW71" s="117"/>
      <c r="FIX71" s="117"/>
      <c r="FIY71" s="117"/>
      <c r="FIZ71" s="117"/>
      <c r="FJA71" s="117"/>
      <c r="FJB71" s="117"/>
      <c r="FJC71" s="117"/>
      <c r="FJD71" s="117"/>
      <c r="FJE71" s="117"/>
      <c r="FJF71" s="117"/>
      <c r="FJG71" s="117"/>
      <c r="FJH71" s="117"/>
      <c r="FJI71" s="117"/>
      <c r="FJJ71" s="117"/>
      <c r="FJK71" s="117"/>
      <c r="FJL71" s="117"/>
      <c r="FJM71" s="117"/>
      <c r="FJN71" s="117"/>
      <c r="FJO71" s="117"/>
      <c r="FJP71" s="117"/>
      <c r="FJQ71" s="117"/>
      <c r="FJR71" s="117"/>
      <c r="FJS71" s="117"/>
      <c r="FJT71" s="117"/>
      <c r="FJU71" s="117"/>
      <c r="FJV71" s="117"/>
      <c r="FJW71" s="117"/>
      <c r="FJX71" s="117"/>
      <c r="FJY71" s="117"/>
      <c r="FJZ71" s="117"/>
      <c r="FKA71" s="117"/>
      <c r="FKB71" s="117"/>
      <c r="FKC71" s="117"/>
      <c r="FKD71" s="117"/>
      <c r="FKE71" s="117"/>
      <c r="FKF71" s="117"/>
      <c r="FKG71" s="117"/>
      <c r="FKH71" s="117"/>
      <c r="FKI71" s="117"/>
      <c r="FKJ71" s="117"/>
      <c r="FKK71" s="117"/>
      <c r="FKL71" s="117"/>
      <c r="FKM71" s="117"/>
      <c r="FKN71" s="117"/>
      <c r="FKO71" s="117"/>
      <c r="FKP71" s="117"/>
      <c r="FKQ71" s="117"/>
      <c r="FKR71" s="117"/>
      <c r="FKS71" s="117"/>
      <c r="FKT71" s="117"/>
      <c r="FKU71" s="117"/>
      <c r="FKV71" s="117"/>
      <c r="FKW71" s="117"/>
      <c r="FKX71" s="117"/>
      <c r="FKY71" s="117"/>
      <c r="FKZ71" s="117"/>
      <c r="FLA71" s="117"/>
      <c r="FLB71" s="117"/>
      <c r="FLC71" s="117"/>
      <c r="FLD71" s="117"/>
      <c r="FLE71" s="117"/>
      <c r="FLF71" s="117"/>
      <c r="FLG71" s="117"/>
      <c r="FLH71" s="117"/>
      <c r="FLI71" s="117"/>
      <c r="FLJ71" s="117"/>
      <c r="FLK71" s="117"/>
      <c r="FLL71" s="117"/>
      <c r="FLM71" s="117"/>
      <c r="FLN71" s="117"/>
      <c r="FLO71" s="117"/>
      <c r="FLP71" s="117"/>
      <c r="FLQ71" s="117"/>
      <c r="FLR71" s="117"/>
      <c r="FLS71" s="117"/>
      <c r="FLT71" s="117"/>
      <c r="FLU71" s="117"/>
      <c r="FLV71" s="117"/>
      <c r="FLW71" s="117"/>
      <c r="FLX71" s="117"/>
      <c r="FLY71" s="117"/>
      <c r="FLZ71" s="117"/>
      <c r="FMA71" s="117"/>
      <c r="FMB71" s="117"/>
      <c r="FMC71" s="117"/>
      <c r="FMD71" s="117"/>
      <c r="FME71" s="117"/>
      <c r="FMF71" s="117"/>
      <c r="FMG71" s="117"/>
      <c r="FMH71" s="117"/>
      <c r="FMI71" s="117"/>
      <c r="FMJ71" s="117"/>
      <c r="FMK71" s="117"/>
      <c r="FML71" s="117"/>
      <c r="FMM71" s="117"/>
      <c r="FMN71" s="117"/>
      <c r="FMO71" s="117"/>
      <c r="FMP71" s="117"/>
      <c r="FMQ71" s="117"/>
      <c r="FMR71" s="117"/>
      <c r="FMS71" s="117"/>
      <c r="FMT71" s="117"/>
      <c r="FMU71" s="117"/>
      <c r="FMV71" s="117"/>
      <c r="FMW71" s="117"/>
      <c r="FMX71" s="117"/>
      <c r="FMY71" s="117"/>
      <c r="FMZ71" s="117"/>
      <c r="FNA71" s="117"/>
      <c r="FNB71" s="117"/>
      <c r="FNC71" s="117"/>
      <c r="FND71" s="117"/>
      <c r="FNE71" s="117"/>
      <c r="FNF71" s="117"/>
      <c r="FNG71" s="117"/>
      <c r="FNH71" s="117"/>
      <c r="FNI71" s="117"/>
      <c r="FNJ71" s="117"/>
      <c r="FNK71" s="117"/>
      <c r="FNL71" s="117"/>
      <c r="FNM71" s="117"/>
      <c r="FNN71" s="117"/>
      <c r="FNO71" s="117"/>
      <c r="FNP71" s="117"/>
      <c r="FNQ71" s="117"/>
      <c r="FNR71" s="117"/>
      <c r="FNS71" s="117"/>
      <c r="FNT71" s="117"/>
      <c r="FNU71" s="117"/>
      <c r="FNV71" s="117"/>
      <c r="FNW71" s="117"/>
      <c r="FNX71" s="117"/>
      <c r="FNY71" s="117"/>
      <c r="FNZ71" s="117"/>
      <c r="FOA71" s="117"/>
      <c r="FOB71" s="117"/>
      <c r="FOC71" s="117"/>
      <c r="FOD71" s="117"/>
      <c r="FOE71" s="117"/>
      <c r="FOF71" s="117"/>
      <c r="FOG71" s="117"/>
      <c r="FOH71" s="117"/>
      <c r="FOI71" s="117"/>
      <c r="FOJ71" s="117"/>
      <c r="FOK71" s="117"/>
      <c r="FOL71" s="117"/>
      <c r="FOM71" s="117"/>
      <c r="FON71" s="117"/>
      <c r="FOO71" s="117"/>
      <c r="FOP71" s="117"/>
      <c r="FOQ71" s="117"/>
      <c r="FOR71" s="117"/>
      <c r="FOS71" s="117"/>
      <c r="FOT71" s="117"/>
      <c r="FOU71" s="117"/>
      <c r="FOV71" s="117"/>
      <c r="FOW71" s="117"/>
      <c r="FOX71" s="117"/>
      <c r="FOY71" s="117"/>
      <c r="FOZ71" s="117"/>
      <c r="FPA71" s="117"/>
      <c r="FPB71" s="117"/>
      <c r="FPC71" s="117"/>
      <c r="FPD71" s="117"/>
      <c r="FPE71" s="117"/>
      <c r="FPF71" s="117"/>
      <c r="FPG71" s="117"/>
      <c r="FPH71" s="117"/>
      <c r="FPI71" s="117"/>
      <c r="FPJ71" s="117"/>
      <c r="FPK71" s="117"/>
      <c r="FPL71" s="117"/>
      <c r="FPM71" s="117"/>
      <c r="FPN71" s="117"/>
      <c r="FPO71" s="117"/>
      <c r="FPP71" s="117"/>
      <c r="FPQ71" s="117"/>
      <c r="FPR71" s="117"/>
      <c r="FPS71" s="117"/>
      <c r="FPT71" s="117"/>
      <c r="FPU71" s="117"/>
      <c r="FPV71" s="117"/>
      <c r="FPW71" s="117"/>
      <c r="FPX71" s="117"/>
      <c r="FPY71" s="117"/>
      <c r="FPZ71" s="117"/>
      <c r="FQA71" s="117"/>
      <c r="FQB71" s="117"/>
      <c r="FQC71" s="117"/>
      <c r="FQD71" s="117"/>
      <c r="FQE71" s="117"/>
      <c r="FQF71" s="117"/>
      <c r="FQG71" s="117"/>
      <c r="FQH71" s="117"/>
      <c r="FQI71" s="117"/>
      <c r="FQJ71" s="117"/>
      <c r="FQK71" s="117"/>
      <c r="FQL71" s="117"/>
      <c r="FQM71" s="117"/>
      <c r="FQN71" s="117"/>
      <c r="FQO71" s="117"/>
      <c r="FQP71" s="117"/>
      <c r="FQQ71" s="117"/>
      <c r="FQR71" s="117"/>
      <c r="FQS71" s="117"/>
      <c r="FQT71" s="117"/>
      <c r="FQU71" s="117"/>
      <c r="FQV71" s="117"/>
      <c r="FQW71" s="117"/>
      <c r="FQX71" s="117"/>
      <c r="FQY71" s="117"/>
      <c r="FQZ71" s="117"/>
      <c r="FRA71" s="117"/>
      <c r="FRB71" s="117"/>
      <c r="FRC71" s="117"/>
      <c r="FRD71" s="117"/>
      <c r="FRE71" s="117"/>
      <c r="FRF71" s="117"/>
      <c r="FRG71" s="117"/>
      <c r="FRH71" s="117"/>
      <c r="FRI71" s="117"/>
      <c r="FRJ71" s="117"/>
      <c r="FRK71" s="117"/>
      <c r="FRL71" s="117"/>
      <c r="FRM71" s="117"/>
      <c r="FRN71" s="117"/>
      <c r="FRO71" s="117"/>
      <c r="FRP71" s="117"/>
      <c r="FRQ71" s="117"/>
      <c r="FRR71" s="117"/>
      <c r="FRS71" s="117"/>
      <c r="FRT71" s="117"/>
      <c r="FRU71" s="117"/>
      <c r="FRV71" s="117"/>
      <c r="FRW71" s="117"/>
      <c r="FRX71" s="117"/>
      <c r="FRY71" s="117"/>
      <c r="FRZ71" s="117"/>
      <c r="FSA71" s="117"/>
      <c r="FSB71" s="117"/>
      <c r="FSC71" s="117"/>
      <c r="FSD71" s="117"/>
      <c r="FSE71" s="117"/>
      <c r="FSF71" s="117"/>
      <c r="FSG71" s="117"/>
      <c r="FSH71" s="117"/>
      <c r="FSI71" s="117"/>
      <c r="FSJ71" s="117"/>
      <c r="FSK71" s="117"/>
      <c r="FSL71" s="117"/>
      <c r="FSM71" s="117"/>
      <c r="FSN71" s="117"/>
      <c r="FSO71" s="117"/>
      <c r="FSP71" s="117"/>
      <c r="FSQ71" s="117"/>
      <c r="FSR71" s="117"/>
      <c r="FSS71" s="117"/>
      <c r="FST71" s="117"/>
      <c r="FSU71" s="117"/>
      <c r="FSV71" s="117"/>
      <c r="FSW71" s="117"/>
      <c r="FSX71" s="117"/>
      <c r="FSY71" s="117"/>
      <c r="FSZ71" s="117"/>
      <c r="FTA71" s="117"/>
      <c r="FTB71" s="117"/>
      <c r="FTC71" s="117"/>
      <c r="FTD71" s="117"/>
      <c r="FTE71" s="117"/>
      <c r="FTF71" s="117"/>
      <c r="FTG71" s="117"/>
      <c r="FTH71" s="117"/>
      <c r="FTI71" s="117"/>
      <c r="FTJ71" s="117"/>
      <c r="FTK71" s="117"/>
      <c r="FTL71" s="117"/>
      <c r="FTM71" s="117"/>
      <c r="FTN71" s="117"/>
      <c r="FTO71" s="117"/>
      <c r="FTP71" s="117"/>
      <c r="FTQ71" s="117"/>
      <c r="FTR71" s="117"/>
      <c r="FTS71" s="117"/>
      <c r="FTT71" s="117"/>
      <c r="FTU71" s="117"/>
      <c r="FTV71" s="117"/>
      <c r="FTW71" s="117"/>
      <c r="FTX71" s="117"/>
      <c r="FTY71" s="117"/>
      <c r="FTZ71" s="117"/>
      <c r="FUA71" s="117"/>
      <c r="FUB71" s="117"/>
      <c r="FUC71" s="117"/>
      <c r="FUD71" s="117"/>
      <c r="FUE71" s="117"/>
      <c r="FUF71" s="117"/>
      <c r="FUG71" s="117"/>
      <c r="FUH71" s="117"/>
      <c r="FUI71" s="117"/>
      <c r="FUJ71" s="117"/>
      <c r="FUK71" s="117"/>
      <c r="FUL71" s="117"/>
      <c r="FUM71" s="117"/>
      <c r="FUN71" s="117"/>
      <c r="FUO71" s="117"/>
      <c r="FUP71" s="117"/>
      <c r="FUQ71" s="117"/>
      <c r="FUR71" s="117"/>
      <c r="FUS71" s="117"/>
      <c r="FUT71" s="117"/>
      <c r="FUU71" s="117"/>
      <c r="FUV71" s="117"/>
      <c r="FUW71" s="117"/>
      <c r="FUX71" s="117"/>
      <c r="FUY71" s="117"/>
      <c r="FUZ71" s="117"/>
      <c r="FVA71" s="117"/>
      <c r="FVB71" s="117"/>
      <c r="FVC71" s="117"/>
      <c r="FVD71" s="117"/>
      <c r="FVE71" s="117"/>
      <c r="FVF71" s="117"/>
      <c r="FVG71" s="117"/>
      <c r="FVH71" s="117"/>
      <c r="FVI71" s="117"/>
      <c r="FVJ71" s="117"/>
      <c r="FVK71" s="117"/>
      <c r="FVL71" s="117"/>
      <c r="FVM71" s="117"/>
      <c r="FVN71" s="117"/>
      <c r="FVO71" s="117"/>
      <c r="FVP71" s="117"/>
      <c r="FVQ71" s="117"/>
      <c r="FVR71" s="117"/>
      <c r="FVS71" s="117"/>
      <c r="FVT71" s="117"/>
      <c r="FVU71" s="117"/>
      <c r="FVV71" s="117"/>
      <c r="FVW71" s="117"/>
      <c r="FVX71" s="117"/>
      <c r="FVY71" s="117"/>
      <c r="FVZ71" s="117"/>
      <c r="FWA71" s="117"/>
      <c r="FWB71" s="117"/>
      <c r="FWC71" s="117"/>
      <c r="FWD71" s="117"/>
      <c r="FWE71" s="117"/>
      <c r="FWF71" s="117"/>
      <c r="FWG71" s="117"/>
      <c r="FWH71" s="117"/>
      <c r="FWI71" s="117"/>
      <c r="FWJ71" s="117"/>
      <c r="FWK71" s="117"/>
      <c r="FWL71" s="117"/>
      <c r="FWM71" s="117"/>
      <c r="FWN71" s="117"/>
      <c r="FWO71" s="117"/>
      <c r="FWP71" s="117"/>
      <c r="FWQ71" s="117"/>
      <c r="FWR71" s="117"/>
      <c r="FWS71" s="117"/>
      <c r="FWT71" s="117"/>
      <c r="FWU71" s="117"/>
      <c r="FWV71" s="117"/>
      <c r="FWW71" s="117"/>
      <c r="FWX71" s="117"/>
      <c r="FWY71" s="117"/>
      <c r="FWZ71" s="117"/>
      <c r="FXA71" s="117"/>
      <c r="FXB71" s="117"/>
      <c r="FXC71" s="117"/>
      <c r="FXD71" s="117"/>
      <c r="FXE71" s="117"/>
      <c r="FXF71" s="117"/>
      <c r="FXG71" s="117"/>
      <c r="FXH71" s="117"/>
      <c r="FXI71" s="117"/>
      <c r="FXJ71" s="117"/>
      <c r="FXK71" s="117"/>
      <c r="FXL71" s="117"/>
      <c r="FXM71" s="117"/>
      <c r="FXN71" s="117"/>
      <c r="FXO71" s="117"/>
      <c r="FXP71" s="117"/>
      <c r="FXQ71" s="117"/>
      <c r="FXR71" s="117"/>
      <c r="FXS71" s="117"/>
      <c r="FXT71" s="117"/>
      <c r="FXU71" s="117"/>
      <c r="FXV71" s="117"/>
      <c r="FXW71" s="117"/>
      <c r="FXX71" s="117"/>
      <c r="FXY71" s="117"/>
      <c r="FXZ71" s="117"/>
      <c r="FYA71" s="117"/>
      <c r="FYB71" s="117"/>
      <c r="FYC71" s="117"/>
      <c r="FYD71" s="117"/>
      <c r="FYE71" s="117"/>
      <c r="FYF71" s="117"/>
      <c r="FYG71" s="117"/>
      <c r="FYH71" s="117"/>
      <c r="FYI71" s="117"/>
      <c r="FYJ71" s="117"/>
      <c r="FYK71" s="117"/>
      <c r="FYL71" s="117"/>
      <c r="FYM71" s="117"/>
      <c r="FYN71" s="117"/>
      <c r="FYO71" s="117"/>
      <c r="FYP71" s="117"/>
      <c r="FYQ71" s="117"/>
      <c r="FYR71" s="117"/>
      <c r="FYS71" s="117"/>
      <c r="FYT71" s="117"/>
      <c r="FYU71" s="117"/>
      <c r="FYV71" s="117"/>
      <c r="FYW71" s="117"/>
      <c r="FYX71" s="117"/>
      <c r="FYY71" s="117"/>
      <c r="FYZ71" s="117"/>
      <c r="FZA71" s="117"/>
      <c r="FZB71" s="117"/>
      <c r="FZC71" s="117"/>
      <c r="FZD71" s="117"/>
      <c r="FZE71" s="117"/>
      <c r="FZF71" s="117"/>
      <c r="FZG71" s="117"/>
      <c r="FZH71" s="117"/>
      <c r="FZI71" s="117"/>
      <c r="FZJ71" s="117"/>
      <c r="FZK71" s="117"/>
      <c r="FZL71" s="117"/>
      <c r="FZM71" s="117"/>
      <c r="FZN71" s="117"/>
      <c r="FZO71" s="117"/>
      <c r="FZP71" s="117"/>
      <c r="FZQ71" s="117"/>
      <c r="FZR71" s="117"/>
      <c r="FZS71" s="117"/>
      <c r="FZT71" s="117"/>
      <c r="FZU71" s="117"/>
      <c r="FZV71" s="117"/>
      <c r="FZW71" s="117"/>
      <c r="FZX71" s="117"/>
      <c r="FZY71" s="117"/>
      <c r="FZZ71" s="117"/>
      <c r="GAA71" s="117"/>
      <c r="GAB71" s="117"/>
      <c r="GAC71" s="117"/>
      <c r="GAD71" s="117"/>
      <c r="GAE71" s="117"/>
      <c r="GAF71" s="117"/>
      <c r="GAG71" s="117"/>
      <c r="GAH71" s="117"/>
      <c r="GAI71" s="117"/>
      <c r="GAJ71" s="117"/>
      <c r="GAK71" s="117"/>
      <c r="GAL71" s="117"/>
      <c r="GAM71" s="117"/>
      <c r="GAN71" s="117"/>
      <c r="GAO71" s="117"/>
      <c r="GAP71" s="117"/>
      <c r="GAQ71" s="117"/>
      <c r="GAR71" s="117"/>
      <c r="GAS71" s="117"/>
      <c r="GAT71" s="117"/>
      <c r="GAU71" s="117"/>
      <c r="GAV71" s="117"/>
      <c r="GAW71" s="117"/>
      <c r="GAX71" s="117"/>
      <c r="GAY71" s="117"/>
      <c r="GAZ71" s="117"/>
      <c r="GBA71" s="117"/>
      <c r="GBB71" s="117"/>
      <c r="GBC71" s="117"/>
      <c r="GBD71" s="117"/>
      <c r="GBE71" s="117"/>
      <c r="GBF71" s="117"/>
      <c r="GBG71" s="117"/>
      <c r="GBH71" s="117"/>
      <c r="GBI71" s="117"/>
      <c r="GBJ71" s="117"/>
      <c r="GBK71" s="117"/>
      <c r="GBL71" s="117"/>
      <c r="GBM71" s="117"/>
      <c r="GBN71" s="117"/>
      <c r="GBO71" s="117"/>
      <c r="GBP71" s="117"/>
      <c r="GBQ71" s="117"/>
      <c r="GBR71" s="117"/>
      <c r="GBS71" s="117"/>
      <c r="GBT71" s="117"/>
      <c r="GBU71" s="117"/>
      <c r="GBV71" s="117"/>
      <c r="GBW71" s="117"/>
      <c r="GBX71" s="117"/>
      <c r="GBY71" s="117"/>
      <c r="GBZ71" s="117"/>
      <c r="GCA71" s="117"/>
      <c r="GCB71" s="117"/>
      <c r="GCC71" s="117"/>
      <c r="GCD71" s="117"/>
      <c r="GCE71" s="117"/>
      <c r="GCF71" s="117"/>
      <c r="GCG71" s="117"/>
      <c r="GCH71" s="117"/>
      <c r="GCI71" s="117"/>
      <c r="GCJ71" s="117"/>
      <c r="GCK71" s="117"/>
      <c r="GCL71" s="117"/>
      <c r="GCM71" s="117"/>
      <c r="GCN71" s="117"/>
      <c r="GCO71" s="117"/>
      <c r="GCP71" s="117"/>
      <c r="GCQ71" s="117"/>
      <c r="GCR71" s="117"/>
      <c r="GCS71" s="117"/>
      <c r="GCT71" s="117"/>
      <c r="GCU71" s="117"/>
      <c r="GCV71" s="117"/>
      <c r="GCW71" s="117"/>
      <c r="GCX71" s="117"/>
      <c r="GCY71" s="117"/>
      <c r="GCZ71" s="117"/>
      <c r="GDA71" s="117"/>
      <c r="GDB71" s="117"/>
      <c r="GDC71" s="117"/>
      <c r="GDD71" s="117"/>
      <c r="GDE71" s="117"/>
      <c r="GDF71" s="117"/>
      <c r="GDG71" s="117"/>
      <c r="GDH71" s="117"/>
      <c r="GDI71" s="117"/>
      <c r="GDJ71" s="117"/>
      <c r="GDK71" s="117"/>
      <c r="GDL71" s="117"/>
      <c r="GDM71" s="117"/>
      <c r="GDN71" s="117"/>
      <c r="GDO71" s="117"/>
      <c r="GDP71" s="117"/>
      <c r="GDQ71" s="117"/>
      <c r="GDR71" s="117"/>
      <c r="GDS71" s="117"/>
      <c r="GDT71" s="117"/>
      <c r="GDU71" s="117"/>
      <c r="GDV71" s="117"/>
      <c r="GDW71" s="117"/>
      <c r="GDX71" s="117"/>
      <c r="GDY71" s="117"/>
      <c r="GDZ71" s="117"/>
      <c r="GEA71" s="117"/>
      <c r="GEB71" s="117"/>
      <c r="GEC71" s="117"/>
      <c r="GED71" s="117"/>
      <c r="GEE71" s="117"/>
      <c r="GEF71" s="117"/>
      <c r="GEG71" s="117"/>
      <c r="GEH71" s="117"/>
      <c r="GEI71" s="117"/>
      <c r="GEJ71" s="117"/>
      <c r="GEK71" s="117"/>
      <c r="GEL71" s="117"/>
      <c r="GEM71" s="117"/>
      <c r="GEN71" s="117"/>
      <c r="GEO71" s="117"/>
      <c r="GEP71" s="117"/>
      <c r="GEQ71" s="117"/>
      <c r="GER71" s="117"/>
      <c r="GES71" s="117"/>
      <c r="GET71" s="117"/>
      <c r="GEU71" s="117"/>
      <c r="GEV71" s="117"/>
      <c r="GEW71" s="117"/>
      <c r="GEX71" s="117"/>
      <c r="GEY71" s="117"/>
      <c r="GEZ71" s="117"/>
      <c r="GFA71" s="117"/>
      <c r="GFB71" s="117"/>
      <c r="GFC71" s="117"/>
      <c r="GFD71" s="117"/>
      <c r="GFE71" s="117"/>
      <c r="GFF71" s="117"/>
      <c r="GFG71" s="117"/>
      <c r="GFH71" s="117"/>
      <c r="GFI71" s="117"/>
      <c r="GFJ71" s="117"/>
      <c r="GFK71" s="117"/>
      <c r="GFL71" s="117"/>
      <c r="GFM71" s="117"/>
      <c r="GFN71" s="117"/>
      <c r="GFO71" s="117"/>
      <c r="GFP71" s="117"/>
      <c r="GFQ71" s="117"/>
      <c r="GFR71" s="117"/>
      <c r="GFS71" s="117"/>
      <c r="GFT71" s="117"/>
      <c r="GFU71" s="117"/>
      <c r="GFV71" s="117"/>
      <c r="GFW71" s="117"/>
      <c r="GFX71" s="117"/>
      <c r="GFY71" s="117"/>
      <c r="GFZ71" s="117"/>
      <c r="GGA71" s="117"/>
      <c r="GGB71" s="117"/>
      <c r="GGC71" s="117"/>
      <c r="GGD71" s="117"/>
      <c r="GGE71" s="117"/>
      <c r="GGF71" s="117"/>
      <c r="GGG71" s="117"/>
      <c r="GGH71" s="117"/>
      <c r="GGI71" s="117"/>
      <c r="GGJ71" s="117"/>
      <c r="GGK71" s="117"/>
      <c r="GGL71" s="117"/>
      <c r="GGM71" s="117"/>
      <c r="GGN71" s="117"/>
      <c r="GGO71" s="117"/>
      <c r="GGP71" s="117"/>
      <c r="GGQ71" s="117"/>
      <c r="GGR71" s="117"/>
      <c r="GGS71" s="117"/>
      <c r="GGT71" s="117"/>
      <c r="GGU71" s="117"/>
      <c r="GGV71" s="117"/>
      <c r="GGW71" s="117"/>
      <c r="GGX71" s="117"/>
      <c r="GGY71" s="117"/>
      <c r="GGZ71" s="117"/>
      <c r="GHA71" s="117"/>
      <c r="GHB71" s="117"/>
      <c r="GHC71" s="117"/>
      <c r="GHD71" s="117"/>
      <c r="GHE71" s="117"/>
      <c r="GHF71" s="117"/>
      <c r="GHG71" s="117"/>
      <c r="GHH71" s="117"/>
      <c r="GHI71" s="117"/>
      <c r="GHJ71" s="117"/>
      <c r="GHK71" s="117"/>
      <c r="GHL71" s="117"/>
      <c r="GHM71" s="117"/>
      <c r="GHN71" s="117"/>
      <c r="GHO71" s="117"/>
      <c r="GHP71" s="117"/>
      <c r="GHQ71" s="117"/>
      <c r="GHR71" s="117"/>
      <c r="GHS71" s="117"/>
      <c r="GHT71" s="117"/>
      <c r="GHU71" s="117"/>
      <c r="GHV71" s="117"/>
      <c r="GHW71" s="117"/>
      <c r="GHX71" s="117"/>
      <c r="GHY71" s="117"/>
      <c r="GHZ71" s="117"/>
      <c r="GIA71" s="117"/>
      <c r="GIB71" s="117"/>
      <c r="GIC71" s="117"/>
      <c r="GID71" s="117"/>
      <c r="GIE71" s="117"/>
      <c r="GIF71" s="117"/>
      <c r="GIG71" s="117"/>
      <c r="GIH71" s="117"/>
      <c r="GII71" s="117"/>
      <c r="GIJ71" s="117"/>
      <c r="GIK71" s="117"/>
      <c r="GIL71" s="117"/>
      <c r="GIM71" s="117"/>
      <c r="GIN71" s="117"/>
      <c r="GIO71" s="117"/>
      <c r="GIP71" s="117"/>
      <c r="GIQ71" s="117"/>
      <c r="GIR71" s="117"/>
      <c r="GIS71" s="117"/>
      <c r="GIT71" s="117"/>
      <c r="GIU71" s="117"/>
      <c r="GIV71" s="117"/>
      <c r="GIW71" s="117"/>
      <c r="GIX71" s="117"/>
      <c r="GIY71" s="117"/>
      <c r="GIZ71" s="117"/>
      <c r="GJA71" s="117"/>
      <c r="GJB71" s="117"/>
      <c r="GJC71" s="117"/>
      <c r="GJD71" s="117"/>
      <c r="GJE71" s="117"/>
      <c r="GJF71" s="117"/>
      <c r="GJG71" s="117"/>
      <c r="GJH71" s="117"/>
      <c r="GJI71" s="117"/>
      <c r="GJJ71" s="117"/>
      <c r="GJK71" s="117"/>
      <c r="GJL71" s="117"/>
      <c r="GJM71" s="117"/>
      <c r="GJN71" s="117"/>
      <c r="GJO71" s="117"/>
      <c r="GJP71" s="117"/>
      <c r="GJQ71" s="117"/>
      <c r="GJR71" s="117"/>
      <c r="GJS71" s="117"/>
      <c r="GJT71" s="117"/>
      <c r="GJU71" s="117"/>
      <c r="GJV71" s="117"/>
      <c r="GJW71" s="117"/>
      <c r="GJX71" s="117"/>
      <c r="GJY71" s="117"/>
      <c r="GJZ71" s="117"/>
      <c r="GKA71" s="117"/>
      <c r="GKB71" s="117"/>
      <c r="GKC71" s="117"/>
      <c r="GKD71" s="117"/>
      <c r="GKE71" s="117"/>
      <c r="GKF71" s="117"/>
      <c r="GKG71" s="117"/>
      <c r="GKH71" s="117"/>
      <c r="GKI71" s="117"/>
      <c r="GKJ71" s="117"/>
      <c r="GKK71" s="117"/>
      <c r="GKL71" s="117"/>
      <c r="GKM71" s="117"/>
      <c r="GKN71" s="117"/>
      <c r="GKO71" s="117"/>
      <c r="GKP71" s="117"/>
      <c r="GKQ71" s="117"/>
      <c r="GKR71" s="117"/>
      <c r="GKS71" s="117"/>
      <c r="GKT71" s="117"/>
      <c r="GKU71" s="117"/>
      <c r="GKV71" s="117"/>
      <c r="GKW71" s="117"/>
      <c r="GKX71" s="117"/>
      <c r="GKY71" s="117"/>
      <c r="GKZ71" s="117"/>
      <c r="GLA71" s="117"/>
      <c r="GLB71" s="117"/>
      <c r="GLC71" s="117"/>
      <c r="GLD71" s="117"/>
      <c r="GLE71" s="117"/>
      <c r="GLF71" s="117"/>
      <c r="GLG71" s="117"/>
      <c r="GLH71" s="117"/>
      <c r="GLI71" s="117"/>
      <c r="GLJ71" s="117"/>
      <c r="GLK71" s="117"/>
      <c r="GLL71" s="117"/>
      <c r="GLM71" s="117"/>
      <c r="GLN71" s="117"/>
      <c r="GLO71" s="117"/>
      <c r="GLP71" s="117"/>
      <c r="GLQ71" s="117"/>
      <c r="GLR71" s="117"/>
      <c r="GLS71" s="117"/>
      <c r="GLT71" s="117"/>
      <c r="GLU71" s="117"/>
      <c r="GLV71" s="117"/>
      <c r="GLW71" s="117"/>
      <c r="GLX71" s="117"/>
      <c r="GLY71" s="117"/>
      <c r="GLZ71" s="117"/>
      <c r="GMA71" s="117"/>
      <c r="GMB71" s="117"/>
      <c r="GMC71" s="117"/>
      <c r="GMD71" s="117"/>
      <c r="GME71" s="117"/>
      <c r="GMF71" s="117"/>
      <c r="GMG71" s="117"/>
      <c r="GMH71" s="117"/>
      <c r="GMI71" s="117"/>
      <c r="GMJ71" s="117"/>
      <c r="GMK71" s="117"/>
      <c r="GML71" s="117"/>
      <c r="GMM71" s="117"/>
      <c r="GMN71" s="117"/>
      <c r="GMO71" s="117"/>
      <c r="GMP71" s="117"/>
      <c r="GMQ71" s="117"/>
      <c r="GMR71" s="117"/>
      <c r="GMS71" s="117"/>
      <c r="GMT71" s="117"/>
      <c r="GMU71" s="117"/>
      <c r="GMV71" s="117"/>
      <c r="GMW71" s="117"/>
      <c r="GMX71" s="117"/>
      <c r="GMY71" s="117"/>
      <c r="GMZ71" s="117"/>
      <c r="GNA71" s="117"/>
      <c r="GNB71" s="117"/>
      <c r="GNC71" s="117"/>
      <c r="GND71" s="117"/>
      <c r="GNE71" s="117"/>
      <c r="GNF71" s="117"/>
      <c r="GNG71" s="117"/>
      <c r="GNH71" s="117"/>
      <c r="GNI71" s="117"/>
      <c r="GNJ71" s="117"/>
      <c r="GNK71" s="117"/>
      <c r="GNL71" s="117"/>
      <c r="GNM71" s="117"/>
      <c r="GNN71" s="117"/>
      <c r="GNO71" s="117"/>
      <c r="GNP71" s="117"/>
      <c r="GNQ71" s="117"/>
      <c r="GNR71" s="117"/>
      <c r="GNS71" s="117"/>
      <c r="GNT71" s="117"/>
      <c r="GNU71" s="117"/>
      <c r="GNV71" s="117"/>
      <c r="GNW71" s="117"/>
      <c r="GNX71" s="117"/>
      <c r="GNY71" s="117"/>
      <c r="GNZ71" s="117"/>
      <c r="GOA71" s="117"/>
      <c r="GOB71" s="117"/>
      <c r="GOC71" s="117"/>
      <c r="GOD71" s="117"/>
      <c r="GOE71" s="117"/>
      <c r="GOF71" s="117"/>
      <c r="GOG71" s="117"/>
      <c r="GOH71" s="117"/>
      <c r="GOI71" s="117"/>
      <c r="GOJ71" s="117"/>
      <c r="GOK71" s="117"/>
      <c r="GOL71" s="117"/>
      <c r="GOM71" s="117"/>
      <c r="GON71" s="117"/>
      <c r="GOO71" s="117"/>
      <c r="GOP71" s="117"/>
      <c r="GOQ71" s="117"/>
      <c r="GOR71" s="117"/>
      <c r="GOS71" s="117"/>
      <c r="GOT71" s="117"/>
      <c r="GOU71" s="117"/>
      <c r="GOV71" s="117"/>
      <c r="GOW71" s="117"/>
      <c r="GOX71" s="117"/>
      <c r="GOY71" s="117"/>
      <c r="GOZ71" s="117"/>
      <c r="GPA71" s="117"/>
      <c r="GPB71" s="117"/>
      <c r="GPC71" s="117"/>
      <c r="GPD71" s="117"/>
      <c r="GPE71" s="117"/>
      <c r="GPF71" s="117"/>
      <c r="GPG71" s="117"/>
      <c r="GPH71" s="117"/>
      <c r="GPI71" s="117"/>
      <c r="GPJ71" s="117"/>
      <c r="GPK71" s="117"/>
      <c r="GPL71" s="117"/>
      <c r="GPM71" s="117"/>
      <c r="GPN71" s="117"/>
      <c r="GPO71" s="117"/>
      <c r="GPP71" s="117"/>
      <c r="GPQ71" s="117"/>
      <c r="GPR71" s="117"/>
      <c r="GPS71" s="117"/>
      <c r="GPT71" s="117"/>
      <c r="GPU71" s="117"/>
      <c r="GPV71" s="117"/>
      <c r="GPW71" s="117"/>
      <c r="GPX71" s="117"/>
      <c r="GPY71" s="117"/>
      <c r="GPZ71" s="117"/>
      <c r="GQA71" s="117"/>
      <c r="GQB71" s="117"/>
      <c r="GQC71" s="117"/>
      <c r="GQD71" s="117"/>
      <c r="GQE71" s="117"/>
      <c r="GQF71" s="117"/>
      <c r="GQG71" s="117"/>
      <c r="GQH71" s="117"/>
      <c r="GQI71" s="117"/>
      <c r="GQJ71" s="117"/>
      <c r="GQK71" s="117"/>
      <c r="GQL71" s="117"/>
      <c r="GQM71" s="117"/>
      <c r="GQN71" s="117"/>
      <c r="GQO71" s="117"/>
      <c r="GQP71" s="117"/>
      <c r="GQQ71" s="117"/>
      <c r="GQR71" s="117"/>
      <c r="GQS71" s="117"/>
      <c r="GQT71" s="117"/>
      <c r="GQU71" s="117"/>
      <c r="GQV71" s="117"/>
      <c r="GQW71" s="117"/>
      <c r="GQX71" s="117"/>
      <c r="GQY71" s="117"/>
      <c r="GQZ71" s="117"/>
      <c r="GRA71" s="117"/>
      <c r="GRB71" s="117"/>
      <c r="GRC71" s="117"/>
      <c r="GRD71" s="117"/>
      <c r="GRE71" s="117"/>
      <c r="GRF71" s="117"/>
      <c r="GRG71" s="117"/>
      <c r="GRH71" s="117"/>
      <c r="GRI71" s="117"/>
      <c r="GRJ71" s="117"/>
      <c r="GRK71" s="117"/>
      <c r="GRL71" s="117"/>
      <c r="GRM71" s="117"/>
      <c r="GRN71" s="117"/>
      <c r="GRO71" s="117"/>
      <c r="GRP71" s="117"/>
      <c r="GRQ71" s="117"/>
      <c r="GRR71" s="117"/>
      <c r="GRS71" s="117"/>
      <c r="GRT71" s="117"/>
      <c r="GRU71" s="117"/>
      <c r="GRV71" s="117"/>
      <c r="GRW71" s="117"/>
      <c r="GRX71" s="117"/>
      <c r="GRY71" s="117"/>
      <c r="GRZ71" s="117"/>
      <c r="GSA71" s="117"/>
      <c r="GSB71" s="117"/>
      <c r="GSC71" s="117"/>
      <c r="GSD71" s="117"/>
      <c r="GSE71" s="117"/>
      <c r="GSF71" s="117"/>
      <c r="GSG71" s="117"/>
      <c r="GSH71" s="117"/>
      <c r="GSI71" s="117"/>
      <c r="GSJ71" s="117"/>
      <c r="GSK71" s="117"/>
      <c r="GSL71" s="117"/>
      <c r="GSM71" s="117"/>
      <c r="GSN71" s="117"/>
      <c r="GSO71" s="117"/>
      <c r="GSP71" s="117"/>
      <c r="GSQ71" s="117"/>
      <c r="GSR71" s="117"/>
      <c r="GSS71" s="117"/>
      <c r="GST71" s="117"/>
      <c r="GSU71" s="117"/>
      <c r="GSV71" s="117"/>
      <c r="GSW71" s="117"/>
      <c r="GSX71" s="117"/>
      <c r="GSY71" s="117"/>
      <c r="GSZ71" s="117"/>
      <c r="GTA71" s="117"/>
      <c r="GTB71" s="117"/>
      <c r="GTC71" s="117"/>
      <c r="GTD71" s="117"/>
      <c r="GTE71" s="117"/>
      <c r="GTF71" s="117"/>
      <c r="GTG71" s="117"/>
      <c r="GTH71" s="117"/>
      <c r="GTI71" s="117"/>
      <c r="GTJ71" s="117"/>
      <c r="GTK71" s="117"/>
      <c r="GTL71" s="117"/>
      <c r="GTM71" s="117"/>
      <c r="GTN71" s="117"/>
      <c r="GTO71" s="117"/>
      <c r="GTP71" s="117"/>
      <c r="GTQ71" s="117"/>
      <c r="GTR71" s="117"/>
      <c r="GTS71" s="117"/>
      <c r="GTT71" s="117"/>
      <c r="GTU71" s="117"/>
      <c r="GTV71" s="117"/>
      <c r="GTW71" s="117"/>
      <c r="GTX71" s="117"/>
      <c r="GTY71" s="117"/>
      <c r="GTZ71" s="117"/>
      <c r="GUA71" s="117"/>
      <c r="GUB71" s="117"/>
      <c r="GUC71" s="117"/>
      <c r="GUD71" s="117"/>
      <c r="GUE71" s="117"/>
      <c r="GUF71" s="117"/>
      <c r="GUG71" s="117"/>
      <c r="GUH71" s="117"/>
      <c r="GUI71" s="117"/>
      <c r="GUJ71" s="117"/>
      <c r="GUK71" s="117"/>
      <c r="GUL71" s="117"/>
      <c r="GUM71" s="117"/>
      <c r="GUN71" s="117"/>
      <c r="GUO71" s="117"/>
      <c r="GUP71" s="117"/>
      <c r="GUQ71" s="117"/>
      <c r="GUR71" s="117"/>
      <c r="GUS71" s="117"/>
      <c r="GUT71" s="117"/>
      <c r="GUU71" s="117"/>
      <c r="GUV71" s="117"/>
      <c r="GUW71" s="117"/>
      <c r="GUX71" s="117"/>
      <c r="GUY71" s="117"/>
      <c r="GUZ71" s="117"/>
      <c r="GVA71" s="117"/>
      <c r="GVB71" s="117"/>
      <c r="GVC71" s="117"/>
      <c r="GVD71" s="117"/>
      <c r="GVE71" s="117"/>
      <c r="GVF71" s="117"/>
      <c r="GVG71" s="117"/>
      <c r="GVH71" s="117"/>
      <c r="GVI71" s="117"/>
      <c r="GVJ71" s="117"/>
      <c r="GVK71" s="117"/>
      <c r="GVL71" s="117"/>
      <c r="GVM71" s="117"/>
      <c r="GVN71" s="117"/>
      <c r="GVO71" s="117"/>
      <c r="GVP71" s="117"/>
      <c r="GVQ71" s="117"/>
      <c r="GVR71" s="117"/>
      <c r="GVS71" s="117"/>
      <c r="GVT71" s="117"/>
      <c r="GVU71" s="117"/>
      <c r="GVV71" s="117"/>
      <c r="GVW71" s="117"/>
      <c r="GVX71" s="117"/>
      <c r="GVY71" s="117"/>
      <c r="GVZ71" s="117"/>
      <c r="GWA71" s="117"/>
      <c r="GWB71" s="117"/>
      <c r="GWC71" s="117"/>
      <c r="GWD71" s="117"/>
      <c r="GWE71" s="117"/>
      <c r="GWF71" s="117"/>
      <c r="GWG71" s="117"/>
      <c r="GWH71" s="117"/>
      <c r="GWI71" s="117"/>
      <c r="GWJ71" s="117"/>
      <c r="GWK71" s="117"/>
      <c r="GWL71" s="117"/>
      <c r="GWM71" s="117"/>
      <c r="GWN71" s="117"/>
      <c r="GWO71" s="117"/>
      <c r="GWP71" s="117"/>
      <c r="GWQ71" s="117"/>
      <c r="GWR71" s="117"/>
      <c r="GWS71" s="117"/>
      <c r="GWT71" s="117"/>
      <c r="GWU71" s="117"/>
      <c r="GWV71" s="117"/>
      <c r="GWW71" s="117"/>
      <c r="GWX71" s="117"/>
      <c r="GWY71" s="117"/>
      <c r="GWZ71" s="117"/>
      <c r="GXA71" s="117"/>
      <c r="GXB71" s="117"/>
      <c r="GXC71" s="117"/>
      <c r="GXD71" s="117"/>
      <c r="GXE71" s="117"/>
      <c r="GXF71" s="117"/>
      <c r="GXG71" s="117"/>
      <c r="GXH71" s="117"/>
      <c r="GXI71" s="117"/>
      <c r="GXJ71" s="117"/>
      <c r="GXK71" s="117"/>
      <c r="GXL71" s="117"/>
      <c r="GXM71" s="117"/>
      <c r="GXN71" s="117"/>
      <c r="GXO71" s="117"/>
      <c r="GXP71" s="117"/>
      <c r="GXQ71" s="117"/>
      <c r="GXR71" s="117"/>
      <c r="GXS71" s="117"/>
      <c r="GXT71" s="117"/>
      <c r="GXU71" s="117"/>
      <c r="GXV71" s="117"/>
      <c r="GXW71" s="117"/>
      <c r="GXX71" s="117"/>
      <c r="GXY71" s="117"/>
      <c r="GXZ71" s="117"/>
      <c r="GYA71" s="117"/>
      <c r="GYB71" s="117"/>
      <c r="GYC71" s="117"/>
      <c r="GYD71" s="117"/>
      <c r="GYE71" s="117"/>
      <c r="GYF71" s="117"/>
      <c r="GYG71" s="117"/>
      <c r="GYH71" s="117"/>
      <c r="GYI71" s="117"/>
      <c r="GYJ71" s="117"/>
      <c r="GYK71" s="117"/>
      <c r="GYL71" s="117"/>
      <c r="GYM71" s="117"/>
      <c r="GYN71" s="117"/>
      <c r="GYO71" s="117"/>
      <c r="GYP71" s="117"/>
      <c r="GYQ71" s="117"/>
      <c r="GYR71" s="117"/>
      <c r="GYS71" s="117"/>
      <c r="GYT71" s="117"/>
      <c r="GYU71" s="117"/>
      <c r="GYV71" s="117"/>
      <c r="GYW71" s="117"/>
      <c r="GYX71" s="117"/>
      <c r="GYY71" s="117"/>
      <c r="GYZ71" s="117"/>
      <c r="GZA71" s="117"/>
      <c r="GZB71" s="117"/>
      <c r="GZC71" s="117"/>
      <c r="GZD71" s="117"/>
      <c r="GZE71" s="117"/>
      <c r="GZF71" s="117"/>
      <c r="GZG71" s="117"/>
      <c r="GZH71" s="117"/>
      <c r="GZI71" s="117"/>
      <c r="GZJ71" s="117"/>
      <c r="GZK71" s="117"/>
      <c r="GZL71" s="117"/>
      <c r="GZM71" s="117"/>
      <c r="GZN71" s="117"/>
      <c r="GZO71" s="117"/>
      <c r="GZP71" s="117"/>
      <c r="GZQ71" s="117"/>
      <c r="GZR71" s="117"/>
      <c r="GZS71" s="117"/>
      <c r="GZT71" s="117"/>
      <c r="GZU71" s="117"/>
      <c r="GZV71" s="117"/>
      <c r="GZW71" s="117"/>
      <c r="GZX71" s="117"/>
      <c r="GZY71" s="117"/>
      <c r="GZZ71" s="117"/>
      <c r="HAA71" s="117"/>
      <c r="HAB71" s="117"/>
      <c r="HAC71" s="117"/>
      <c r="HAD71" s="117"/>
      <c r="HAE71" s="117"/>
      <c r="HAF71" s="117"/>
      <c r="HAG71" s="117"/>
      <c r="HAH71" s="117"/>
      <c r="HAI71" s="117"/>
      <c r="HAJ71" s="117"/>
      <c r="HAK71" s="117"/>
      <c r="HAL71" s="117"/>
      <c r="HAM71" s="117"/>
      <c r="HAN71" s="117"/>
      <c r="HAO71" s="117"/>
      <c r="HAP71" s="117"/>
      <c r="HAQ71" s="117"/>
      <c r="HAR71" s="117"/>
      <c r="HAS71" s="117"/>
      <c r="HAT71" s="117"/>
      <c r="HAU71" s="117"/>
      <c r="HAV71" s="117"/>
      <c r="HAW71" s="117"/>
      <c r="HAX71" s="117"/>
      <c r="HAY71" s="117"/>
      <c r="HAZ71" s="117"/>
      <c r="HBA71" s="117"/>
      <c r="HBB71" s="117"/>
      <c r="HBC71" s="117"/>
      <c r="HBD71" s="117"/>
      <c r="HBE71" s="117"/>
      <c r="HBF71" s="117"/>
      <c r="HBG71" s="117"/>
      <c r="HBH71" s="117"/>
      <c r="HBI71" s="117"/>
      <c r="HBJ71" s="117"/>
      <c r="HBK71" s="117"/>
      <c r="HBL71" s="117"/>
      <c r="HBM71" s="117"/>
      <c r="HBN71" s="117"/>
      <c r="HBO71" s="117"/>
      <c r="HBP71" s="117"/>
      <c r="HBQ71" s="117"/>
      <c r="HBR71" s="117"/>
      <c r="HBS71" s="117"/>
      <c r="HBT71" s="117"/>
      <c r="HBU71" s="117"/>
      <c r="HBV71" s="117"/>
      <c r="HBW71" s="117"/>
      <c r="HBX71" s="117"/>
      <c r="HBY71" s="117"/>
      <c r="HBZ71" s="117"/>
      <c r="HCA71" s="117"/>
      <c r="HCB71" s="117"/>
      <c r="HCC71" s="117"/>
      <c r="HCD71" s="117"/>
      <c r="HCE71" s="117"/>
      <c r="HCF71" s="117"/>
      <c r="HCG71" s="117"/>
      <c r="HCH71" s="117"/>
      <c r="HCI71" s="117"/>
      <c r="HCJ71" s="117"/>
      <c r="HCK71" s="117"/>
      <c r="HCL71" s="117"/>
      <c r="HCM71" s="117"/>
      <c r="HCN71" s="117"/>
      <c r="HCO71" s="117"/>
      <c r="HCP71" s="117"/>
      <c r="HCQ71" s="117"/>
      <c r="HCR71" s="117"/>
      <c r="HCS71" s="117"/>
      <c r="HCT71" s="117"/>
      <c r="HCU71" s="117"/>
      <c r="HCV71" s="117"/>
      <c r="HCW71" s="117"/>
      <c r="HCX71" s="117"/>
      <c r="HCY71" s="117"/>
      <c r="HCZ71" s="117"/>
      <c r="HDA71" s="117"/>
      <c r="HDB71" s="117"/>
      <c r="HDC71" s="117"/>
      <c r="HDD71" s="117"/>
      <c r="HDE71" s="117"/>
      <c r="HDF71" s="117"/>
      <c r="HDG71" s="117"/>
      <c r="HDH71" s="117"/>
      <c r="HDI71" s="117"/>
      <c r="HDJ71" s="117"/>
      <c r="HDK71" s="117"/>
      <c r="HDL71" s="117"/>
      <c r="HDM71" s="117"/>
      <c r="HDN71" s="117"/>
      <c r="HDO71" s="117"/>
      <c r="HDP71" s="117"/>
      <c r="HDQ71" s="117"/>
      <c r="HDR71" s="117"/>
      <c r="HDS71" s="117"/>
      <c r="HDT71" s="117"/>
      <c r="HDU71" s="117"/>
      <c r="HDV71" s="117"/>
      <c r="HDW71" s="117"/>
      <c r="HDX71" s="117"/>
      <c r="HDY71" s="117"/>
      <c r="HDZ71" s="117"/>
      <c r="HEA71" s="117"/>
      <c r="HEB71" s="117"/>
      <c r="HEC71" s="117"/>
      <c r="HED71" s="117"/>
      <c r="HEE71" s="117"/>
      <c r="HEF71" s="117"/>
      <c r="HEG71" s="117"/>
      <c r="HEH71" s="117"/>
      <c r="HEI71" s="117"/>
      <c r="HEJ71" s="117"/>
      <c r="HEK71" s="117"/>
      <c r="HEL71" s="117"/>
      <c r="HEM71" s="117"/>
      <c r="HEN71" s="117"/>
      <c r="HEO71" s="117"/>
      <c r="HEP71" s="117"/>
      <c r="HEQ71" s="117"/>
      <c r="HER71" s="117"/>
      <c r="HES71" s="117"/>
      <c r="HET71" s="117"/>
      <c r="HEU71" s="117"/>
      <c r="HEV71" s="117"/>
      <c r="HEW71" s="117"/>
      <c r="HEX71" s="117"/>
      <c r="HEY71" s="117"/>
      <c r="HEZ71" s="117"/>
      <c r="HFA71" s="117"/>
      <c r="HFB71" s="117"/>
      <c r="HFC71" s="117"/>
      <c r="HFD71" s="117"/>
      <c r="HFE71" s="117"/>
      <c r="HFF71" s="117"/>
      <c r="HFG71" s="117"/>
      <c r="HFH71" s="117"/>
      <c r="HFI71" s="117"/>
      <c r="HFJ71" s="117"/>
      <c r="HFK71" s="117"/>
      <c r="HFL71" s="117"/>
      <c r="HFM71" s="117"/>
      <c r="HFN71" s="117"/>
      <c r="HFO71" s="117"/>
      <c r="HFP71" s="117"/>
      <c r="HFQ71" s="117"/>
      <c r="HFR71" s="117"/>
      <c r="HFS71" s="117"/>
      <c r="HFT71" s="117"/>
      <c r="HFU71" s="117"/>
      <c r="HFV71" s="117"/>
      <c r="HFW71" s="117"/>
      <c r="HFX71" s="117"/>
      <c r="HFY71" s="117"/>
      <c r="HFZ71" s="117"/>
      <c r="HGA71" s="117"/>
      <c r="HGB71" s="117"/>
      <c r="HGC71" s="117"/>
      <c r="HGD71" s="117"/>
      <c r="HGE71" s="117"/>
      <c r="HGF71" s="117"/>
      <c r="HGG71" s="117"/>
      <c r="HGH71" s="117"/>
      <c r="HGI71" s="117"/>
      <c r="HGJ71" s="117"/>
      <c r="HGK71" s="117"/>
      <c r="HGL71" s="117"/>
      <c r="HGM71" s="117"/>
      <c r="HGN71" s="117"/>
      <c r="HGO71" s="117"/>
      <c r="HGP71" s="117"/>
      <c r="HGQ71" s="117"/>
      <c r="HGR71" s="117"/>
      <c r="HGS71" s="117"/>
      <c r="HGT71" s="117"/>
      <c r="HGU71" s="117"/>
      <c r="HGV71" s="117"/>
      <c r="HGW71" s="117"/>
      <c r="HGX71" s="117"/>
      <c r="HGY71" s="117"/>
      <c r="HGZ71" s="117"/>
      <c r="HHA71" s="117"/>
      <c r="HHB71" s="117"/>
      <c r="HHC71" s="117"/>
      <c r="HHD71" s="117"/>
      <c r="HHE71" s="117"/>
      <c r="HHF71" s="117"/>
      <c r="HHG71" s="117"/>
      <c r="HHH71" s="117"/>
      <c r="HHI71" s="117"/>
      <c r="HHJ71" s="117"/>
      <c r="HHK71" s="117"/>
      <c r="HHL71" s="117"/>
      <c r="HHM71" s="117"/>
      <c r="HHN71" s="117"/>
      <c r="HHO71" s="117"/>
      <c r="HHP71" s="117"/>
      <c r="HHQ71" s="117"/>
      <c r="HHR71" s="117"/>
      <c r="HHS71" s="117"/>
      <c r="HHT71" s="117"/>
      <c r="HHU71" s="117"/>
      <c r="HHV71" s="117"/>
      <c r="HHW71" s="117"/>
      <c r="HHX71" s="117"/>
      <c r="HHY71" s="117"/>
      <c r="HHZ71" s="117"/>
      <c r="HIA71" s="117"/>
      <c r="HIB71" s="117"/>
      <c r="HIC71" s="117"/>
      <c r="HID71" s="117"/>
      <c r="HIE71" s="117"/>
      <c r="HIF71" s="117"/>
      <c r="HIG71" s="117"/>
      <c r="HIH71" s="117"/>
      <c r="HII71" s="117"/>
      <c r="HIJ71" s="117"/>
      <c r="HIK71" s="117"/>
      <c r="HIL71" s="117"/>
      <c r="HIM71" s="117"/>
      <c r="HIN71" s="117"/>
      <c r="HIO71" s="117"/>
      <c r="HIP71" s="117"/>
      <c r="HIQ71" s="117"/>
      <c r="HIR71" s="117"/>
      <c r="HIS71" s="117"/>
      <c r="HIT71" s="117"/>
      <c r="HIU71" s="117"/>
      <c r="HIV71" s="117"/>
      <c r="HIW71" s="117"/>
      <c r="HIX71" s="117"/>
      <c r="HIY71" s="117"/>
      <c r="HIZ71" s="117"/>
      <c r="HJA71" s="117"/>
      <c r="HJB71" s="117"/>
      <c r="HJC71" s="117"/>
      <c r="HJD71" s="117"/>
      <c r="HJE71" s="117"/>
      <c r="HJF71" s="117"/>
      <c r="HJG71" s="117"/>
      <c r="HJH71" s="117"/>
      <c r="HJI71" s="117"/>
      <c r="HJJ71" s="117"/>
      <c r="HJK71" s="117"/>
      <c r="HJL71" s="117"/>
      <c r="HJM71" s="117"/>
      <c r="HJN71" s="117"/>
      <c r="HJO71" s="117"/>
      <c r="HJP71" s="117"/>
      <c r="HJQ71" s="117"/>
      <c r="HJR71" s="117"/>
      <c r="HJS71" s="117"/>
      <c r="HJT71" s="117"/>
      <c r="HJU71" s="117"/>
      <c r="HJV71" s="117"/>
      <c r="HJW71" s="117"/>
      <c r="HJX71" s="117"/>
      <c r="HJY71" s="117"/>
      <c r="HJZ71" s="117"/>
      <c r="HKA71" s="117"/>
      <c r="HKB71" s="117"/>
      <c r="HKC71" s="117"/>
      <c r="HKD71" s="117"/>
      <c r="HKE71" s="117"/>
      <c r="HKF71" s="117"/>
      <c r="HKG71" s="117"/>
      <c r="HKH71" s="117"/>
      <c r="HKI71" s="117"/>
      <c r="HKJ71" s="117"/>
      <c r="HKK71" s="117"/>
      <c r="HKL71" s="117"/>
      <c r="HKM71" s="117"/>
      <c r="HKN71" s="117"/>
      <c r="HKO71" s="117"/>
      <c r="HKP71" s="117"/>
      <c r="HKQ71" s="117"/>
      <c r="HKR71" s="117"/>
      <c r="HKS71" s="117"/>
      <c r="HKT71" s="117"/>
      <c r="HKU71" s="117"/>
      <c r="HKV71" s="117"/>
      <c r="HKW71" s="117"/>
      <c r="HKX71" s="117"/>
      <c r="HKY71" s="117"/>
      <c r="HKZ71" s="117"/>
      <c r="HLA71" s="117"/>
      <c r="HLB71" s="117"/>
      <c r="HLC71" s="117"/>
      <c r="HLD71" s="117"/>
      <c r="HLE71" s="117"/>
      <c r="HLF71" s="117"/>
      <c r="HLG71" s="117"/>
      <c r="HLH71" s="117"/>
      <c r="HLI71" s="117"/>
      <c r="HLJ71" s="117"/>
      <c r="HLK71" s="117"/>
      <c r="HLL71" s="117"/>
      <c r="HLM71" s="117"/>
      <c r="HLN71" s="117"/>
      <c r="HLO71" s="117"/>
      <c r="HLP71" s="117"/>
      <c r="HLQ71" s="117"/>
      <c r="HLR71" s="117"/>
      <c r="HLS71" s="117"/>
      <c r="HLT71" s="117"/>
      <c r="HLU71" s="117"/>
      <c r="HLV71" s="117"/>
      <c r="HLW71" s="117"/>
      <c r="HLX71" s="117"/>
      <c r="HLY71" s="117"/>
      <c r="HLZ71" s="117"/>
      <c r="HMA71" s="117"/>
      <c r="HMB71" s="117"/>
      <c r="HMC71" s="117"/>
      <c r="HMD71" s="117"/>
      <c r="HME71" s="117"/>
      <c r="HMF71" s="117"/>
      <c r="HMG71" s="117"/>
      <c r="HMH71" s="117"/>
      <c r="HMI71" s="117"/>
      <c r="HMJ71" s="117"/>
      <c r="HMK71" s="117"/>
      <c r="HML71" s="117"/>
      <c r="HMM71" s="117"/>
      <c r="HMN71" s="117"/>
      <c r="HMO71" s="117"/>
      <c r="HMP71" s="117"/>
      <c r="HMQ71" s="117"/>
      <c r="HMR71" s="117"/>
      <c r="HMS71" s="117"/>
      <c r="HMT71" s="117"/>
      <c r="HMU71" s="117"/>
      <c r="HMV71" s="117"/>
      <c r="HMW71" s="117"/>
      <c r="HMX71" s="117"/>
      <c r="HMY71" s="117"/>
      <c r="HMZ71" s="117"/>
      <c r="HNA71" s="117"/>
      <c r="HNB71" s="117"/>
      <c r="HNC71" s="117"/>
      <c r="HND71" s="117"/>
      <c r="HNE71" s="117"/>
      <c r="HNF71" s="117"/>
      <c r="HNG71" s="117"/>
      <c r="HNH71" s="117"/>
      <c r="HNI71" s="117"/>
      <c r="HNJ71" s="117"/>
      <c r="HNK71" s="117"/>
      <c r="HNL71" s="117"/>
      <c r="HNM71" s="117"/>
      <c r="HNN71" s="117"/>
      <c r="HNO71" s="117"/>
      <c r="HNP71" s="117"/>
      <c r="HNQ71" s="117"/>
      <c r="HNR71" s="117"/>
      <c r="HNS71" s="117"/>
      <c r="HNT71" s="117"/>
      <c r="HNU71" s="117"/>
      <c r="HNV71" s="117"/>
      <c r="HNW71" s="117"/>
      <c r="HNX71" s="117"/>
      <c r="HNY71" s="117"/>
      <c r="HNZ71" s="117"/>
      <c r="HOA71" s="117"/>
      <c r="HOB71" s="117"/>
      <c r="HOC71" s="117"/>
      <c r="HOD71" s="117"/>
      <c r="HOE71" s="117"/>
      <c r="HOF71" s="117"/>
      <c r="HOG71" s="117"/>
      <c r="HOH71" s="117"/>
      <c r="HOI71" s="117"/>
      <c r="HOJ71" s="117"/>
      <c r="HOK71" s="117"/>
      <c r="HOL71" s="117"/>
      <c r="HOM71" s="117"/>
      <c r="HON71" s="117"/>
      <c r="HOO71" s="117"/>
      <c r="HOP71" s="117"/>
      <c r="HOQ71" s="117"/>
      <c r="HOR71" s="117"/>
      <c r="HOS71" s="117"/>
      <c r="HOT71" s="117"/>
      <c r="HOU71" s="117"/>
      <c r="HOV71" s="117"/>
      <c r="HOW71" s="117"/>
      <c r="HOX71" s="117"/>
      <c r="HOY71" s="117"/>
      <c r="HOZ71" s="117"/>
      <c r="HPA71" s="117"/>
      <c r="HPB71" s="117"/>
      <c r="HPC71" s="117"/>
      <c r="HPD71" s="117"/>
      <c r="HPE71" s="117"/>
      <c r="HPF71" s="117"/>
      <c r="HPG71" s="117"/>
      <c r="HPH71" s="117"/>
      <c r="HPI71" s="117"/>
      <c r="HPJ71" s="117"/>
      <c r="HPK71" s="117"/>
      <c r="HPL71" s="117"/>
      <c r="HPM71" s="117"/>
      <c r="HPN71" s="117"/>
      <c r="HPO71" s="117"/>
      <c r="HPP71" s="117"/>
      <c r="HPQ71" s="117"/>
      <c r="HPR71" s="117"/>
      <c r="HPS71" s="117"/>
      <c r="HPT71" s="117"/>
      <c r="HPU71" s="117"/>
      <c r="HPV71" s="117"/>
      <c r="HPW71" s="117"/>
      <c r="HPX71" s="117"/>
      <c r="HPY71" s="117"/>
      <c r="HPZ71" s="117"/>
      <c r="HQA71" s="117"/>
      <c r="HQB71" s="117"/>
      <c r="HQC71" s="117"/>
      <c r="HQD71" s="117"/>
      <c r="HQE71" s="117"/>
      <c r="HQF71" s="117"/>
      <c r="HQG71" s="117"/>
      <c r="HQH71" s="117"/>
      <c r="HQI71" s="117"/>
      <c r="HQJ71" s="117"/>
      <c r="HQK71" s="117"/>
      <c r="HQL71" s="117"/>
      <c r="HQM71" s="117"/>
      <c r="HQN71" s="117"/>
      <c r="HQO71" s="117"/>
      <c r="HQP71" s="117"/>
      <c r="HQQ71" s="117"/>
      <c r="HQR71" s="117"/>
      <c r="HQS71" s="117"/>
      <c r="HQT71" s="117"/>
      <c r="HQU71" s="117"/>
      <c r="HQV71" s="117"/>
      <c r="HQW71" s="117"/>
      <c r="HQX71" s="117"/>
      <c r="HQY71" s="117"/>
      <c r="HQZ71" s="117"/>
      <c r="HRA71" s="117"/>
      <c r="HRB71" s="117"/>
      <c r="HRC71" s="117"/>
      <c r="HRD71" s="117"/>
      <c r="HRE71" s="117"/>
      <c r="HRF71" s="117"/>
      <c r="HRG71" s="117"/>
      <c r="HRH71" s="117"/>
      <c r="HRI71" s="117"/>
      <c r="HRJ71" s="117"/>
      <c r="HRK71" s="117"/>
      <c r="HRL71" s="117"/>
      <c r="HRM71" s="117"/>
      <c r="HRN71" s="117"/>
      <c r="HRO71" s="117"/>
      <c r="HRP71" s="117"/>
      <c r="HRQ71" s="117"/>
      <c r="HRR71" s="117"/>
      <c r="HRS71" s="117"/>
      <c r="HRT71" s="117"/>
      <c r="HRU71" s="117"/>
      <c r="HRV71" s="117"/>
      <c r="HRW71" s="117"/>
      <c r="HRX71" s="117"/>
      <c r="HRY71" s="117"/>
      <c r="HRZ71" s="117"/>
      <c r="HSA71" s="117"/>
      <c r="HSB71" s="117"/>
      <c r="HSC71" s="117"/>
      <c r="HSD71" s="117"/>
      <c r="HSE71" s="117"/>
      <c r="HSF71" s="117"/>
      <c r="HSG71" s="117"/>
      <c r="HSH71" s="117"/>
      <c r="HSI71" s="117"/>
      <c r="HSJ71" s="117"/>
      <c r="HSK71" s="117"/>
      <c r="HSL71" s="117"/>
      <c r="HSM71" s="117"/>
      <c r="HSN71" s="117"/>
      <c r="HSO71" s="117"/>
      <c r="HSP71" s="117"/>
      <c r="HSQ71" s="117"/>
      <c r="HSR71" s="117"/>
      <c r="HSS71" s="117"/>
      <c r="HST71" s="117"/>
      <c r="HSU71" s="117"/>
      <c r="HSV71" s="117"/>
      <c r="HSW71" s="117"/>
      <c r="HSX71" s="117"/>
      <c r="HSY71" s="117"/>
      <c r="HSZ71" s="117"/>
      <c r="HTA71" s="117"/>
      <c r="HTB71" s="117"/>
      <c r="HTC71" s="117"/>
      <c r="HTD71" s="117"/>
      <c r="HTE71" s="117"/>
      <c r="HTF71" s="117"/>
      <c r="HTG71" s="117"/>
      <c r="HTH71" s="117"/>
      <c r="HTI71" s="117"/>
      <c r="HTJ71" s="117"/>
      <c r="HTK71" s="117"/>
      <c r="HTL71" s="117"/>
      <c r="HTM71" s="117"/>
      <c r="HTN71" s="117"/>
      <c r="HTO71" s="117"/>
      <c r="HTP71" s="117"/>
      <c r="HTQ71" s="117"/>
      <c r="HTR71" s="117"/>
      <c r="HTS71" s="117"/>
      <c r="HTT71" s="117"/>
      <c r="HTU71" s="117"/>
      <c r="HTV71" s="117"/>
      <c r="HTW71" s="117"/>
      <c r="HTX71" s="117"/>
      <c r="HTY71" s="117"/>
      <c r="HTZ71" s="117"/>
      <c r="HUA71" s="117"/>
      <c r="HUB71" s="117"/>
      <c r="HUC71" s="117"/>
      <c r="HUD71" s="117"/>
      <c r="HUE71" s="117"/>
      <c r="HUF71" s="117"/>
      <c r="HUG71" s="117"/>
      <c r="HUH71" s="117"/>
      <c r="HUI71" s="117"/>
      <c r="HUJ71" s="117"/>
      <c r="HUK71" s="117"/>
      <c r="HUL71" s="117"/>
      <c r="HUM71" s="117"/>
      <c r="HUN71" s="117"/>
      <c r="HUO71" s="117"/>
      <c r="HUP71" s="117"/>
      <c r="HUQ71" s="117"/>
      <c r="HUR71" s="117"/>
      <c r="HUS71" s="117"/>
      <c r="HUT71" s="117"/>
      <c r="HUU71" s="117"/>
      <c r="HUV71" s="117"/>
      <c r="HUW71" s="117"/>
      <c r="HUX71" s="117"/>
      <c r="HUY71" s="117"/>
      <c r="HUZ71" s="117"/>
      <c r="HVA71" s="117"/>
      <c r="HVB71" s="117"/>
      <c r="HVC71" s="117"/>
      <c r="HVD71" s="117"/>
      <c r="HVE71" s="117"/>
      <c r="HVF71" s="117"/>
      <c r="HVG71" s="117"/>
      <c r="HVH71" s="117"/>
      <c r="HVI71" s="117"/>
      <c r="HVJ71" s="117"/>
      <c r="HVK71" s="117"/>
      <c r="HVL71" s="117"/>
      <c r="HVM71" s="117"/>
      <c r="HVN71" s="117"/>
      <c r="HVO71" s="117"/>
      <c r="HVP71" s="117"/>
      <c r="HVQ71" s="117"/>
      <c r="HVR71" s="117"/>
      <c r="HVS71" s="117"/>
      <c r="HVT71" s="117"/>
      <c r="HVU71" s="117"/>
      <c r="HVV71" s="117"/>
      <c r="HVW71" s="117"/>
      <c r="HVX71" s="117"/>
      <c r="HVY71" s="117"/>
      <c r="HVZ71" s="117"/>
      <c r="HWA71" s="117"/>
      <c r="HWB71" s="117"/>
      <c r="HWC71" s="117"/>
      <c r="HWD71" s="117"/>
      <c r="HWE71" s="117"/>
      <c r="HWF71" s="117"/>
      <c r="HWG71" s="117"/>
      <c r="HWH71" s="117"/>
      <c r="HWI71" s="117"/>
      <c r="HWJ71" s="117"/>
      <c r="HWK71" s="117"/>
      <c r="HWL71" s="117"/>
      <c r="HWM71" s="117"/>
      <c r="HWN71" s="117"/>
      <c r="HWO71" s="117"/>
      <c r="HWP71" s="117"/>
      <c r="HWQ71" s="117"/>
      <c r="HWR71" s="117"/>
      <c r="HWS71" s="117"/>
      <c r="HWT71" s="117"/>
      <c r="HWU71" s="117"/>
      <c r="HWV71" s="117"/>
      <c r="HWW71" s="117"/>
      <c r="HWX71" s="117"/>
      <c r="HWY71" s="117"/>
      <c r="HWZ71" s="117"/>
      <c r="HXA71" s="117"/>
      <c r="HXB71" s="117"/>
      <c r="HXC71" s="117"/>
      <c r="HXD71" s="117"/>
      <c r="HXE71" s="117"/>
      <c r="HXF71" s="117"/>
      <c r="HXG71" s="117"/>
      <c r="HXH71" s="117"/>
      <c r="HXI71" s="117"/>
      <c r="HXJ71" s="117"/>
      <c r="HXK71" s="117"/>
      <c r="HXL71" s="117"/>
      <c r="HXM71" s="117"/>
      <c r="HXN71" s="117"/>
      <c r="HXO71" s="117"/>
      <c r="HXP71" s="117"/>
      <c r="HXQ71" s="117"/>
      <c r="HXR71" s="117"/>
      <c r="HXS71" s="117"/>
      <c r="HXT71" s="117"/>
      <c r="HXU71" s="117"/>
      <c r="HXV71" s="117"/>
      <c r="HXW71" s="117"/>
      <c r="HXX71" s="117"/>
      <c r="HXY71" s="117"/>
      <c r="HXZ71" s="117"/>
      <c r="HYA71" s="117"/>
      <c r="HYB71" s="117"/>
      <c r="HYC71" s="117"/>
      <c r="HYD71" s="117"/>
      <c r="HYE71" s="117"/>
      <c r="HYF71" s="117"/>
      <c r="HYG71" s="117"/>
      <c r="HYH71" s="117"/>
      <c r="HYI71" s="117"/>
      <c r="HYJ71" s="117"/>
      <c r="HYK71" s="117"/>
      <c r="HYL71" s="117"/>
      <c r="HYM71" s="117"/>
      <c r="HYN71" s="117"/>
      <c r="HYO71" s="117"/>
      <c r="HYP71" s="117"/>
      <c r="HYQ71" s="117"/>
      <c r="HYR71" s="117"/>
      <c r="HYS71" s="117"/>
      <c r="HYT71" s="117"/>
      <c r="HYU71" s="117"/>
      <c r="HYV71" s="117"/>
      <c r="HYW71" s="117"/>
      <c r="HYX71" s="117"/>
      <c r="HYY71" s="117"/>
      <c r="HYZ71" s="117"/>
      <c r="HZA71" s="117"/>
      <c r="HZB71" s="117"/>
      <c r="HZC71" s="117"/>
      <c r="HZD71" s="117"/>
      <c r="HZE71" s="117"/>
      <c r="HZF71" s="117"/>
      <c r="HZG71" s="117"/>
      <c r="HZH71" s="117"/>
      <c r="HZI71" s="117"/>
      <c r="HZJ71" s="117"/>
      <c r="HZK71" s="117"/>
      <c r="HZL71" s="117"/>
      <c r="HZM71" s="117"/>
      <c r="HZN71" s="117"/>
      <c r="HZO71" s="117"/>
      <c r="HZP71" s="117"/>
      <c r="HZQ71" s="117"/>
      <c r="HZR71" s="117"/>
      <c r="HZS71" s="117"/>
      <c r="HZT71" s="117"/>
      <c r="HZU71" s="117"/>
      <c r="HZV71" s="117"/>
      <c r="HZW71" s="117"/>
      <c r="HZX71" s="117"/>
      <c r="HZY71" s="117"/>
      <c r="HZZ71" s="117"/>
      <c r="IAA71" s="117"/>
      <c r="IAB71" s="117"/>
      <c r="IAC71" s="117"/>
      <c r="IAD71" s="117"/>
      <c r="IAE71" s="117"/>
      <c r="IAF71" s="117"/>
      <c r="IAG71" s="117"/>
      <c r="IAH71" s="117"/>
      <c r="IAI71" s="117"/>
      <c r="IAJ71" s="117"/>
      <c r="IAK71" s="117"/>
      <c r="IAL71" s="117"/>
      <c r="IAM71" s="117"/>
      <c r="IAN71" s="117"/>
      <c r="IAO71" s="117"/>
      <c r="IAP71" s="117"/>
      <c r="IAQ71" s="117"/>
      <c r="IAR71" s="117"/>
      <c r="IAS71" s="117"/>
      <c r="IAT71" s="117"/>
      <c r="IAU71" s="117"/>
      <c r="IAV71" s="117"/>
      <c r="IAW71" s="117"/>
      <c r="IAX71" s="117"/>
      <c r="IAY71" s="117"/>
      <c r="IAZ71" s="117"/>
      <c r="IBA71" s="117"/>
      <c r="IBB71" s="117"/>
      <c r="IBC71" s="117"/>
      <c r="IBD71" s="117"/>
      <c r="IBE71" s="117"/>
      <c r="IBF71" s="117"/>
      <c r="IBG71" s="117"/>
      <c r="IBH71" s="117"/>
      <c r="IBI71" s="117"/>
      <c r="IBJ71" s="117"/>
      <c r="IBK71" s="117"/>
      <c r="IBL71" s="117"/>
      <c r="IBM71" s="117"/>
      <c r="IBN71" s="117"/>
      <c r="IBO71" s="117"/>
      <c r="IBP71" s="117"/>
      <c r="IBQ71" s="117"/>
      <c r="IBR71" s="117"/>
      <c r="IBS71" s="117"/>
      <c r="IBT71" s="117"/>
      <c r="IBU71" s="117"/>
      <c r="IBV71" s="117"/>
      <c r="IBW71" s="117"/>
      <c r="IBX71" s="117"/>
      <c r="IBY71" s="117"/>
      <c r="IBZ71" s="117"/>
      <c r="ICA71" s="117"/>
      <c r="ICB71" s="117"/>
      <c r="ICC71" s="117"/>
      <c r="ICD71" s="117"/>
      <c r="ICE71" s="117"/>
      <c r="ICF71" s="117"/>
      <c r="ICG71" s="117"/>
      <c r="ICH71" s="117"/>
      <c r="ICI71" s="117"/>
      <c r="ICJ71" s="117"/>
      <c r="ICK71" s="117"/>
      <c r="ICL71" s="117"/>
      <c r="ICM71" s="117"/>
      <c r="ICN71" s="117"/>
      <c r="ICO71" s="117"/>
      <c r="ICP71" s="117"/>
      <c r="ICQ71" s="117"/>
      <c r="ICR71" s="117"/>
      <c r="ICS71" s="117"/>
      <c r="ICT71" s="117"/>
      <c r="ICU71" s="117"/>
      <c r="ICV71" s="117"/>
      <c r="ICW71" s="117"/>
      <c r="ICX71" s="117"/>
      <c r="ICY71" s="117"/>
      <c r="ICZ71" s="117"/>
      <c r="IDA71" s="117"/>
      <c r="IDB71" s="117"/>
      <c r="IDC71" s="117"/>
      <c r="IDD71" s="117"/>
      <c r="IDE71" s="117"/>
      <c r="IDF71" s="117"/>
      <c r="IDG71" s="117"/>
      <c r="IDH71" s="117"/>
      <c r="IDI71" s="117"/>
      <c r="IDJ71" s="117"/>
      <c r="IDK71" s="117"/>
      <c r="IDL71" s="117"/>
      <c r="IDM71" s="117"/>
      <c r="IDN71" s="117"/>
      <c r="IDO71" s="117"/>
      <c r="IDP71" s="117"/>
      <c r="IDQ71" s="117"/>
      <c r="IDR71" s="117"/>
      <c r="IDS71" s="117"/>
      <c r="IDT71" s="117"/>
      <c r="IDU71" s="117"/>
      <c r="IDV71" s="117"/>
      <c r="IDW71" s="117"/>
      <c r="IDX71" s="117"/>
      <c r="IDY71" s="117"/>
      <c r="IDZ71" s="117"/>
      <c r="IEA71" s="117"/>
      <c r="IEB71" s="117"/>
      <c r="IEC71" s="117"/>
      <c r="IED71" s="117"/>
      <c r="IEE71" s="117"/>
      <c r="IEF71" s="117"/>
      <c r="IEG71" s="117"/>
      <c r="IEH71" s="117"/>
      <c r="IEI71" s="117"/>
      <c r="IEJ71" s="117"/>
      <c r="IEK71" s="117"/>
      <c r="IEL71" s="117"/>
      <c r="IEM71" s="117"/>
      <c r="IEN71" s="117"/>
      <c r="IEO71" s="117"/>
      <c r="IEP71" s="117"/>
      <c r="IEQ71" s="117"/>
      <c r="IER71" s="117"/>
      <c r="IES71" s="117"/>
      <c r="IET71" s="117"/>
      <c r="IEU71" s="117"/>
      <c r="IEV71" s="117"/>
      <c r="IEW71" s="117"/>
      <c r="IEX71" s="117"/>
      <c r="IEY71" s="117"/>
      <c r="IEZ71" s="117"/>
      <c r="IFA71" s="117"/>
      <c r="IFB71" s="117"/>
      <c r="IFC71" s="117"/>
      <c r="IFD71" s="117"/>
      <c r="IFE71" s="117"/>
      <c r="IFF71" s="117"/>
      <c r="IFG71" s="117"/>
      <c r="IFH71" s="117"/>
      <c r="IFI71" s="117"/>
      <c r="IFJ71" s="117"/>
      <c r="IFK71" s="117"/>
      <c r="IFL71" s="117"/>
      <c r="IFM71" s="117"/>
      <c r="IFN71" s="117"/>
      <c r="IFO71" s="117"/>
      <c r="IFP71" s="117"/>
      <c r="IFQ71" s="117"/>
      <c r="IFR71" s="117"/>
      <c r="IFS71" s="117"/>
      <c r="IFT71" s="117"/>
      <c r="IFU71" s="117"/>
      <c r="IFV71" s="117"/>
      <c r="IFW71" s="117"/>
      <c r="IFX71" s="117"/>
      <c r="IFY71" s="117"/>
      <c r="IFZ71" s="117"/>
      <c r="IGA71" s="117"/>
      <c r="IGB71" s="117"/>
      <c r="IGC71" s="117"/>
      <c r="IGD71" s="117"/>
      <c r="IGE71" s="117"/>
      <c r="IGF71" s="117"/>
      <c r="IGG71" s="117"/>
      <c r="IGH71" s="117"/>
      <c r="IGI71" s="117"/>
      <c r="IGJ71" s="117"/>
      <c r="IGK71" s="117"/>
      <c r="IGL71" s="117"/>
      <c r="IGM71" s="117"/>
      <c r="IGN71" s="117"/>
      <c r="IGO71" s="117"/>
      <c r="IGP71" s="117"/>
      <c r="IGQ71" s="117"/>
      <c r="IGR71" s="117"/>
      <c r="IGS71" s="117"/>
      <c r="IGT71" s="117"/>
      <c r="IGU71" s="117"/>
      <c r="IGV71" s="117"/>
      <c r="IGW71" s="117"/>
      <c r="IGX71" s="117"/>
      <c r="IGY71" s="117"/>
      <c r="IGZ71" s="117"/>
      <c r="IHA71" s="117"/>
      <c r="IHB71" s="117"/>
      <c r="IHC71" s="117"/>
      <c r="IHD71" s="117"/>
      <c r="IHE71" s="117"/>
      <c r="IHF71" s="117"/>
      <c r="IHG71" s="117"/>
      <c r="IHH71" s="117"/>
      <c r="IHI71" s="117"/>
      <c r="IHJ71" s="117"/>
      <c r="IHK71" s="117"/>
      <c r="IHL71" s="117"/>
      <c r="IHM71" s="117"/>
      <c r="IHN71" s="117"/>
      <c r="IHO71" s="117"/>
      <c r="IHP71" s="117"/>
      <c r="IHQ71" s="117"/>
      <c r="IHR71" s="117"/>
      <c r="IHS71" s="117"/>
      <c r="IHT71" s="117"/>
      <c r="IHU71" s="117"/>
      <c r="IHV71" s="117"/>
      <c r="IHW71" s="117"/>
      <c r="IHX71" s="117"/>
      <c r="IHY71" s="117"/>
      <c r="IHZ71" s="117"/>
      <c r="IIA71" s="117"/>
      <c r="IIB71" s="117"/>
      <c r="IIC71" s="117"/>
      <c r="IID71" s="117"/>
      <c r="IIE71" s="117"/>
      <c r="IIF71" s="117"/>
      <c r="IIG71" s="117"/>
      <c r="IIH71" s="117"/>
      <c r="III71" s="117"/>
      <c r="IIJ71" s="117"/>
      <c r="IIK71" s="117"/>
      <c r="IIL71" s="117"/>
      <c r="IIM71" s="117"/>
      <c r="IIN71" s="117"/>
      <c r="IIO71" s="117"/>
      <c r="IIP71" s="117"/>
      <c r="IIQ71" s="117"/>
      <c r="IIR71" s="117"/>
      <c r="IIS71" s="117"/>
      <c r="IIT71" s="117"/>
      <c r="IIU71" s="117"/>
      <c r="IIV71" s="117"/>
      <c r="IIW71" s="117"/>
      <c r="IIX71" s="117"/>
      <c r="IIY71" s="117"/>
      <c r="IIZ71" s="117"/>
      <c r="IJA71" s="117"/>
      <c r="IJB71" s="117"/>
      <c r="IJC71" s="117"/>
      <c r="IJD71" s="117"/>
      <c r="IJE71" s="117"/>
      <c r="IJF71" s="117"/>
      <c r="IJG71" s="117"/>
      <c r="IJH71" s="117"/>
      <c r="IJI71" s="117"/>
      <c r="IJJ71" s="117"/>
      <c r="IJK71" s="117"/>
      <c r="IJL71" s="117"/>
      <c r="IJM71" s="117"/>
      <c r="IJN71" s="117"/>
      <c r="IJO71" s="117"/>
      <c r="IJP71" s="117"/>
      <c r="IJQ71" s="117"/>
      <c r="IJR71" s="117"/>
      <c r="IJS71" s="117"/>
      <c r="IJT71" s="117"/>
      <c r="IJU71" s="117"/>
      <c r="IJV71" s="117"/>
      <c r="IJW71" s="117"/>
      <c r="IJX71" s="117"/>
      <c r="IJY71" s="117"/>
      <c r="IJZ71" s="117"/>
      <c r="IKA71" s="117"/>
      <c r="IKB71" s="117"/>
      <c r="IKC71" s="117"/>
      <c r="IKD71" s="117"/>
      <c r="IKE71" s="117"/>
      <c r="IKF71" s="117"/>
      <c r="IKG71" s="117"/>
      <c r="IKH71" s="117"/>
      <c r="IKI71" s="117"/>
      <c r="IKJ71" s="117"/>
      <c r="IKK71" s="117"/>
      <c r="IKL71" s="117"/>
      <c r="IKM71" s="117"/>
      <c r="IKN71" s="117"/>
      <c r="IKO71" s="117"/>
      <c r="IKP71" s="117"/>
      <c r="IKQ71" s="117"/>
      <c r="IKR71" s="117"/>
      <c r="IKS71" s="117"/>
      <c r="IKT71" s="117"/>
      <c r="IKU71" s="117"/>
      <c r="IKV71" s="117"/>
      <c r="IKW71" s="117"/>
      <c r="IKX71" s="117"/>
      <c r="IKY71" s="117"/>
      <c r="IKZ71" s="117"/>
      <c r="ILA71" s="117"/>
      <c r="ILB71" s="117"/>
      <c r="ILC71" s="117"/>
      <c r="ILD71" s="117"/>
      <c r="ILE71" s="117"/>
      <c r="ILF71" s="117"/>
      <c r="ILG71" s="117"/>
      <c r="ILH71" s="117"/>
      <c r="ILI71" s="117"/>
      <c r="ILJ71" s="117"/>
      <c r="ILK71" s="117"/>
      <c r="ILL71" s="117"/>
      <c r="ILM71" s="117"/>
      <c r="ILN71" s="117"/>
      <c r="ILO71" s="117"/>
      <c r="ILP71" s="117"/>
      <c r="ILQ71" s="117"/>
      <c r="ILR71" s="117"/>
      <c r="ILS71" s="117"/>
      <c r="ILT71" s="117"/>
      <c r="ILU71" s="117"/>
      <c r="ILV71" s="117"/>
      <c r="ILW71" s="117"/>
      <c r="ILX71" s="117"/>
      <c r="ILY71" s="117"/>
      <c r="ILZ71" s="117"/>
      <c r="IMA71" s="117"/>
      <c r="IMB71" s="117"/>
      <c r="IMC71" s="117"/>
      <c r="IMD71" s="117"/>
      <c r="IME71" s="117"/>
      <c r="IMF71" s="117"/>
      <c r="IMG71" s="117"/>
      <c r="IMH71" s="117"/>
      <c r="IMI71" s="117"/>
      <c r="IMJ71" s="117"/>
      <c r="IMK71" s="117"/>
      <c r="IML71" s="117"/>
      <c r="IMM71" s="117"/>
      <c r="IMN71" s="117"/>
      <c r="IMO71" s="117"/>
      <c r="IMP71" s="117"/>
      <c r="IMQ71" s="117"/>
      <c r="IMR71" s="117"/>
      <c r="IMS71" s="117"/>
      <c r="IMT71" s="117"/>
      <c r="IMU71" s="117"/>
      <c r="IMV71" s="117"/>
      <c r="IMW71" s="117"/>
      <c r="IMX71" s="117"/>
      <c r="IMY71" s="117"/>
      <c r="IMZ71" s="117"/>
      <c r="INA71" s="117"/>
      <c r="INB71" s="117"/>
      <c r="INC71" s="117"/>
      <c r="IND71" s="117"/>
      <c r="INE71" s="117"/>
      <c r="INF71" s="117"/>
      <c r="ING71" s="117"/>
      <c r="INH71" s="117"/>
      <c r="INI71" s="117"/>
      <c r="INJ71" s="117"/>
      <c r="INK71" s="117"/>
      <c r="INL71" s="117"/>
      <c r="INM71" s="117"/>
      <c r="INN71" s="117"/>
      <c r="INO71" s="117"/>
      <c r="INP71" s="117"/>
      <c r="INQ71" s="117"/>
      <c r="INR71" s="117"/>
      <c r="INS71" s="117"/>
      <c r="INT71" s="117"/>
      <c r="INU71" s="117"/>
      <c r="INV71" s="117"/>
      <c r="INW71" s="117"/>
      <c r="INX71" s="117"/>
      <c r="INY71" s="117"/>
      <c r="INZ71" s="117"/>
      <c r="IOA71" s="117"/>
      <c r="IOB71" s="117"/>
      <c r="IOC71" s="117"/>
      <c r="IOD71" s="117"/>
      <c r="IOE71" s="117"/>
      <c r="IOF71" s="117"/>
      <c r="IOG71" s="117"/>
      <c r="IOH71" s="117"/>
      <c r="IOI71" s="117"/>
      <c r="IOJ71" s="117"/>
      <c r="IOK71" s="117"/>
      <c r="IOL71" s="117"/>
      <c r="IOM71" s="117"/>
      <c r="ION71" s="117"/>
      <c r="IOO71" s="117"/>
      <c r="IOP71" s="117"/>
      <c r="IOQ71" s="117"/>
      <c r="IOR71" s="117"/>
      <c r="IOS71" s="117"/>
      <c r="IOT71" s="117"/>
      <c r="IOU71" s="117"/>
      <c r="IOV71" s="117"/>
      <c r="IOW71" s="117"/>
      <c r="IOX71" s="117"/>
      <c r="IOY71" s="117"/>
      <c r="IOZ71" s="117"/>
      <c r="IPA71" s="117"/>
      <c r="IPB71" s="117"/>
      <c r="IPC71" s="117"/>
      <c r="IPD71" s="117"/>
      <c r="IPE71" s="117"/>
      <c r="IPF71" s="117"/>
      <c r="IPG71" s="117"/>
      <c r="IPH71" s="117"/>
      <c r="IPI71" s="117"/>
      <c r="IPJ71" s="117"/>
      <c r="IPK71" s="117"/>
      <c r="IPL71" s="117"/>
      <c r="IPM71" s="117"/>
      <c r="IPN71" s="117"/>
      <c r="IPO71" s="117"/>
      <c r="IPP71" s="117"/>
      <c r="IPQ71" s="117"/>
      <c r="IPR71" s="117"/>
      <c r="IPS71" s="117"/>
      <c r="IPT71" s="117"/>
      <c r="IPU71" s="117"/>
      <c r="IPV71" s="117"/>
      <c r="IPW71" s="117"/>
      <c r="IPX71" s="117"/>
      <c r="IPY71" s="117"/>
      <c r="IPZ71" s="117"/>
      <c r="IQA71" s="117"/>
      <c r="IQB71" s="117"/>
      <c r="IQC71" s="117"/>
      <c r="IQD71" s="117"/>
      <c r="IQE71" s="117"/>
      <c r="IQF71" s="117"/>
      <c r="IQG71" s="117"/>
      <c r="IQH71" s="117"/>
      <c r="IQI71" s="117"/>
      <c r="IQJ71" s="117"/>
      <c r="IQK71" s="117"/>
      <c r="IQL71" s="117"/>
      <c r="IQM71" s="117"/>
      <c r="IQN71" s="117"/>
      <c r="IQO71" s="117"/>
      <c r="IQP71" s="117"/>
      <c r="IQQ71" s="117"/>
      <c r="IQR71" s="117"/>
      <c r="IQS71" s="117"/>
      <c r="IQT71" s="117"/>
      <c r="IQU71" s="117"/>
      <c r="IQV71" s="117"/>
      <c r="IQW71" s="117"/>
      <c r="IQX71" s="117"/>
      <c r="IQY71" s="117"/>
      <c r="IQZ71" s="117"/>
      <c r="IRA71" s="117"/>
      <c r="IRB71" s="117"/>
      <c r="IRC71" s="117"/>
      <c r="IRD71" s="117"/>
      <c r="IRE71" s="117"/>
      <c r="IRF71" s="117"/>
      <c r="IRG71" s="117"/>
      <c r="IRH71" s="117"/>
      <c r="IRI71" s="117"/>
      <c r="IRJ71" s="117"/>
      <c r="IRK71" s="117"/>
      <c r="IRL71" s="117"/>
      <c r="IRM71" s="117"/>
      <c r="IRN71" s="117"/>
      <c r="IRO71" s="117"/>
      <c r="IRP71" s="117"/>
      <c r="IRQ71" s="117"/>
      <c r="IRR71" s="117"/>
      <c r="IRS71" s="117"/>
      <c r="IRT71" s="117"/>
      <c r="IRU71" s="117"/>
      <c r="IRV71" s="117"/>
      <c r="IRW71" s="117"/>
      <c r="IRX71" s="117"/>
      <c r="IRY71" s="117"/>
      <c r="IRZ71" s="117"/>
      <c r="ISA71" s="117"/>
      <c r="ISB71" s="117"/>
      <c r="ISC71" s="117"/>
      <c r="ISD71" s="117"/>
      <c r="ISE71" s="117"/>
      <c r="ISF71" s="117"/>
      <c r="ISG71" s="117"/>
      <c r="ISH71" s="117"/>
      <c r="ISI71" s="117"/>
      <c r="ISJ71" s="117"/>
      <c r="ISK71" s="117"/>
      <c r="ISL71" s="117"/>
      <c r="ISM71" s="117"/>
      <c r="ISN71" s="117"/>
      <c r="ISO71" s="117"/>
      <c r="ISP71" s="117"/>
      <c r="ISQ71" s="117"/>
      <c r="ISR71" s="117"/>
      <c r="ISS71" s="117"/>
      <c r="IST71" s="117"/>
      <c r="ISU71" s="117"/>
      <c r="ISV71" s="117"/>
      <c r="ISW71" s="117"/>
      <c r="ISX71" s="117"/>
      <c r="ISY71" s="117"/>
      <c r="ISZ71" s="117"/>
      <c r="ITA71" s="117"/>
      <c r="ITB71" s="117"/>
      <c r="ITC71" s="117"/>
      <c r="ITD71" s="117"/>
      <c r="ITE71" s="117"/>
      <c r="ITF71" s="117"/>
      <c r="ITG71" s="117"/>
      <c r="ITH71" s="117"/>
      <c r="ITI71" s="117"/>
      <c r="ITJ71" s="117"/>
      <c r="ITK71" s="117"/>
      <c r="ITL71" s="117"/>
      <c r="ITM71" s="117"/>
      <c r="ITN71" s="117"/>
      <c r="ITO71" s="117"/>
      <c r="ITP71" s="117"/>
      <c r="ITQ71" s="117"/>
      <c r="ITR71" s="117"/>
      <c r="ITS71" s="117"/>
      <c r="ITT71" s="117"/>
      <c r="ITU71" s="117"/>
      <c r="ITV71" s="117"/>
      <c r="ITW71" s="117"/>
      <c r="ITX71" s="117"/>
      <c r="ITY71" s="117"/>
      <c r="ITZ71" s="117"/>
      <c r="IUA71" s="117"/>
      <c r="IUB71" s="117"/>
      <c r="IUC71" s="117"/>
      <c r="IUD71" s="117"/>
      <c r="IUE71" s="117"/>
      <c r="IUF71" s="117"/>
      <c r="IUG71" s="117"/>
      <c r="IUH71" s="117"/>
      <c r="IUI71" s="117"/>
      <c r="IUJ71" s="117"/>
      <c r="IUK71" s="117"/>
      <c r="IUL71" s="117"/>
      <c r="IUM71" s="117"/>
      <c r="IUN71" s="117"/>
      <c r="IUO71" s="117"/>
      <c r="IUP71" s="117"/>
      <c r="IUQ71" s="117"/>
      <c r="IUR71" s="117"/>
      <c r="IUS71" s="117"/>
      <c r="IUT71" s="117"/>
      <c r="IUU71" s="117"/>
      <c r="IUV71" s="117"/>
      <c r="IUW71" s="117"/>
      <c r="IUX71" s="117"/>
      <c r="IUY71" s="117"/>
      <c r="IUZ71" s="117"/>
      <c r="IVA71" s="117"/>
      <c r="IVB71" s="117"/>
      <c r="IVC71" s="117"/>
      <c r="IVD71" s="117"/>
      <c r="IVE71" s="117"/>
      <c r="IVF71" s="117"/>
      <c r="IVG71" s="117"/>
      <c r="IVH71" s="117"/>
      <c r="IVI71" s="117"/>
      <c r="IVJ71" s="117"/>
      <c r="IVK71" s="117"/>
      <c r="IVL71" s="117"/>
      <c r="IVM71" s="117"/>
      <c r="IVN71" s="117"/>
      <c r="IVO71" s="117"/>
      <c r="IVP71" s="117"/>
      <c r="IVQ71" s="117"/>
      <c r="IVR71" s="117"/>
      <c r="IVS71" s="117"/>
      <c r="IVT71" s="117"/>
      <c r="IVU71" s="117"/>
      <c r="IVV71" s="117"/>
      <c r="IVW71" s="117"/>
      <c r="IVX71" s="117"/>
      <c r="IVY71" s="117"/>
      <c r="IVZ71" s="117"/>
      <c r="IWA71" s="117"/>
      <c r="IWB71" s="117"/>
      <c r="IWC71" s="117"/>
      <c r="IWD71" s="117"/>
      <c r="IWE71" s="117"/>
      <c r="IWF71" s="117"/>
      <c r="IWG71" s="117"/>
      <c r="IWH71" s="117"/>
      <c r="IWI71" s="117"/>
      <c r="IWJ71" s="117"/>
      <c r="IWK71" s="117"/>
      <c r="IWL71" s="117"/>
      <c r="IWM71" s="117"/>
      <c r="IWN71" s="117"/>
      <c r="IWO71" s="117"/>
      <c r="IWP71" s="117"/>
      <c r="IWQ71" s="117"/>
      <c r="IWR71" s="117"/>
      <c r="IWS71" s="117"/>
      <c r="IWT71" s="117"/>
      <c r="IWU71" s="117"/>
      <c r="IWV71" s="117"/>
      <c r="IWW71" s="117"/>
      <c r="IWX71" s="117"/>
      <c r="IWY71" s="117"/>
      <c r="IWZ71" s="117"/>
      <c r="IXA71" s="117"/>
      <c r="IXB71" s="117"/>
      <c r="IXC71" s="117"/>
      <c r="IXD71" s="117"/>
      <c r="IXE71" s="117"/>
      <c r="IXF71" s="117"/>
      <c r="IXG71" s="117"/>
      <c r="IXH71" s="117"/>
      <c r="IXI71" s="117"/>
      <c r="IXJ71" s="117"/>
      <c r="IXK71" s="117"/>
      <c r="IXL71" s="117"/>
      <c r="IXM71" s="117"/>
      <c r="IXN71" s="117"/>
      <c r="IXO71" s="117"/>
      <c r="IXP71" s="117"/>
      <c r="IXQ71" s="117"/>
      <c r="IXR71" s="117"/>
      <c r="IXS71" s="117"/>
      <c r="IXT71" s="117"/>
      <c r="IXU71" s="117"/>
      <c r="IXV71" s="117"/>
      <c r="IXW71" s="117"/>
      <c r="IXX71" s="117"/>
      <c r="IXY71" s="117"/>
      <c r="IXZ71" s="117"/>
      <c r="IYA71" s="117"/>
      <c r="IYB71" s="117"/>
      <c r="IYC71" s="117"/>
      <c r="IYD71" s="117"/>
      <c r="IYE71" s="117"/>
      <c r="IYF71" s="117"/>
      <c r="IYG71" s="117"/>
      <c r="IYH71" s="117"/>
      <c r="IYI71" s="117"/>
      <c r="IYJ71" s="117"/>
      <c r="IYK71" s="117"/>
      <c r="IYL71" s="117"/>
      <c r="IYM71" s="117"/>
      <c r="IYN71" s="117"/>
      <c r="IYO71" s="117"/>
      <c r="IYP71" s="117"/>
      <c r="IYQ71" s="117"/>
      <c r="IYR71" s="117"/>
      <c r="IYS71" s="117"/>
      <c r="IYT71" s="117"/>
      <c r="IYU71" s="117"/>
      <c r="IYV71" s="117"/>
      <c r="IYW71" s="117"/>
      <c r="IYX71" s="117"/>
      <c r="IYY71" s="117"/>
      <c r="IYZ71" s="117"/>
      <c r="IZA71" s="117"/>
      <c r="IZB71" s="117"/>
      <c r="IZC71" s="117"/>
      <c r="IZD71" s="117"/>
      <c r="IZE71" s="117"/>
      <c r="IZF71" s="117"/>
      <c r="IZG71" s="117"/>
      <c r="IZH71" s="117"/>
      <c r="IZI71" s="117"/>
      <c r="IZJ71" s="117"/>
      <c r="IZK71" s="117"/>
      <c r="IZL71" s="117"/>
      <c r="IZM71" s="117"/>
      <c r="IZN71" s="117"/>
      <c r="IZO71" s="117"/>
      <c r="IZP71" s="117"/>
      <c r="IZQ71" s="117"/>
      <c r="IZR71" s="117"/>
      <c r="IZS71" s="117"/>
      <c r="IZT71" s="117"/>
      <c r="IZU71" s="117"/>
      <c r="IZV71" s="117"/>
      <c r="IZW71" s="117"/>
      <c r="IZX71" s="117"/>
      <c r="IZY71" s="117"/>
      <c r="IZZ71" s="117"/>
      <c r="JAA71" s="117"/>
      <c r="JAB71" s="117"/>
      <c r="JAC71" s="117"/>
      <c r="JAD71" s="117"/>
      <c r="JAE71" s="117"/>
      <c r="JAF71" s="117"/>
      <c r="JAG71" s="117"/>
      <c r="JAH71" s="117"/>
      <c r="JAI71" s="117"/>
      <c r="JAJ71" s="117"/>
      <c r="JAK71" s="117"/>
      <c r="JAL71" s="117"/>
      <c r="JAM71" s="117"/>
      <c r="JAN71" s="117"/>
      <c r="JAO71" s="117"/>
      <c r="JAP71" s="117"/>
      <c r="JAQ71" s="117"/>
      <c r="JAR71" s="117"/>
      <c r="JAS71" s="117"/>
      <c r="JAT71" s="117"/>
      <c r="JAU71" s="117"/>
      <c r="JAV71" s="117"/>
      <c r="JAW71" s="117"/>
      <c r="JAX71" s="117"/>
      <c r="JAY71" s="117"/>
      <c r="JAZ71" s="117"/>
      <c r="JBA71" s="117"/>
      <c r="JBB71" s="117"/>
      <c r="JBC71" s="117"/>
      <c r="JBD71" s="117"/>
      <c r="JBE71" s="117"/>
      <c r="JBF71" s="117"/>
      <c r="JBG71" s="117"/>
      <c r="JBH71" s="117"/>
      <c r="JBI71" s="117"/>
      <c r="JBJ71" s="117"/>
      <c r="JBK71" s="117"/>
      <c r="JBL71" s="117"/>
      <c r="JBM71" s="117"/>
      <c r="JBN71" s="117"/>
      <c r="JBO71" s="117"/>
      <c r="JBP71" s="117"/>
      <c r="JBQ71" s="117"/>
      <c r="JBR71" s="117"/>
      <c r="JBS71" s="117"/>
      <c r="JBT71" s="117"/>
      <c r="JBU71" s="117"/>
      <c r="JBV71" s="117"/>
      <c r="JBW71" s="117"/>
      <c r="JBX71" s="117"/>
      <c r="JBY71" s="117"/>
      <c r="JBZ71" s="117"/>
      <c r="JCA71" s="117"/>
      <c r="JCB71" s="117"/>
      <c r="JCC71" s="117"/>
      <c r="JCD71" s="117"/>
      <c r="JCE71" s="117"/>
      <c r="JCF71" s="117"/>
      <c r="JCG71" s="117"/>
      <c r="JCH71" s="117"/>
      <c r="JCI71" s="117"/>
      <c r="JCJ71" s="117"/>
      <c r="JCK71" s="117"/>
      <c r="JCL71" s="117"/>
      <c r="JCM71" s="117"/>
      <c r="JCN71" s="117"/>
      <c r="JCO71" s="117"/>
      <c r="JCP71" s="117"/>
      <c r="JCQ71" s="117"/>
      <c r="JCR71" s="117"/>
      <c r="JCS71" s="117"/>
      <c r="JCT71" s="117"/>
      <c r="JCU71" s="117"/>
      <c r="JCV71" s="117"/>
      <c r="JCW71" s="117"/>
      <c r="JCX71" s="117"/>
      <c r="JCY71" s="117"/>
      <c r="JCZ71" s="117"/>
      <c r="JDA71" s="117"/>
      <c r="JDB71" s="117"/>
      <c r="JDC71" s="117"/>
      <c r="JDD71" s="117"/>
      <c r="JDE71" s="117"/>
      <c r="JDF71" s="117"/>
      <c r="JDG71" s="117"/>
      <c r="JDH71" s="117"/>
      <c r="JDI71" s="117"/>
      <c r="JDJ71" s="117"/>
      <c r="JDK71" s="117"/>
      <c r="JDL71" s="117"/>
      <c r="JDM71" s="117"/>
      <c r="JDN71" s="117"/>
      <c r="JDO71" s="117"/>
      <c r="JDP71" s="117"/>
      <c r="JDQ71" s="117"/>
      <c r="JDR71" s="117"/>
      <c r="JDS71" s="117"/>
      <c r="JDT71" s="117"/>
      <c r="JDU71" s="117"/>
      <c r="JDV71" s="117"/>
      <c r="JDW71" s="117"/>
      <c r="JDX71" s="117"/>
      <c r="JDY71" s="117"/>
      <c r="JDZ71" s="117"/>
      <c r="JEA71" s="117"/>
      <c r="JEB71" s="117"/>
      <c r="JEC71" s="117"/>
      <c r="JED71" s="117"/>
      <c r="JEE71" s="117"/>
      <c r="JEF71" s="117"/>
      <c r="JEG71" s="117"/>
      <c r="JEH71" s="117"/>
      <c r="JEI71" s="117"/>
      <c r="JEJ71" s="117"/>
      <c r="JEK71" s="117"/>
      <c r="JEL71" s="117"/>
      <c r="JEM71" s="117"/>
      <c r="JEN71" s="117"/>
      <c r="JEO71" s="117"/>
      <c r="JEP71" s="117"/>
      <c r="JEQ71" s="117"/>
      <c r="JER71" s="117"/>
      <c r="JES71" s="117"/>
      <c r="JET71" s="117"/>
      <c r="JEU71" s="117"/>
      <c r="JEV71" s="117"/>
      <c r="JEW71" s="117"/>
      <c r="JEX71" s="117"/>
      <c r="JEY71" s="117"/>
      <c r="JEZ71" s="117"/>
      <c r="JFA71" s="117"/>
      <c r="JFB71" s="117"/>
      <c r="JFC71" s="117"/>
      <c r="JFD71" s="117"/>
      <c r="JFE71" s="117"/>
      <c r="JFF71" s="117"/>
      <c r="JFG71" s="117"/>
      <c r="JFH71" s="117"/>
      <c r="JFI71" s="117"/>
      <c r="JFJ71" s="117"/>
      <c r="JFK71" s="117"/>
      <c r="JFL71" s="117"/>
      <c r="JFM71" s="117"/>
      <c r="JFN71" s="117"/>
      <c r="JFO71" s="117"/>
      <c r="JFP71" s="117"/>
      <c r="JFQ71" s="117"/>
      <c r="JFR71" s="117"/>
      <c r="JFS71" s="117"/>
      <c r="JFT71" s="117"/>
      <c r="JFU71" s="117"/>
      <c r="JFV71" s="117"/>
      <c r="JFW71" s="117"/>
      <c r="JFX71" s="117"/>
      <c r="JFY71" s="117"/>
      <c r="JFZ71" s="117"/>
      <c r="JGA71" s="117"/>
      <c r="JGB71" s="117"/>
      <c r="JGC71" s="117"/>
      <c r="JGD71" s="117"/>
      <c r="JGE71" s="117"/>
      <c r="JGF71" s="117"/>
      <c r="JGG71" s="117"/>
      <c r="JGH71" s="117"/>
      <c r="JGI71" s="117"/>
      <c r="JGJ71" s="117"/>
      <c r="JGK71" s="117"/>
      <c r="JGL71" s="117"/>
      <c r="JGM71" s="117"/>
      <c r="JGN71" s="117"/>
      <c r="JGO71" s="117"/>
      <c r="JGP71" s="117"/>
      <c r="JGQ71" s="117"/>
      <c r="JGR71" s="117"/>
      <c r="JGS71" s="117"/>
      <c r="JGT71" s="117"/>
      <c r="JGU71" s="117"/>
      <c r="JGV71" s="117"/>
      <c r="JGW71" s="117"/>
      <c r="JGX71" s="117"/>
      <c r="JGY71" s="117"/>
      <c r="JGZ71" s="117"/>
      <c r="JHA71" s="117"/>
      <c r="JHB71" s="117"/>
      <c r="JHC71" s="117"/>
      <c r="JHD71" s="117"/>
      <c r="JHE71" s="117"/>
      <c r="JHF71" s="117"/>
      <c r="JHG71" s="117"/>
      <c r="JHH71" s="117"/>
      <c r="JHI71" s="117"/>
      <c r="JHJ71" s="117"/>
      <c r="JHK71" s="117"/>
      <c r="JHL71" s="117"/>
      <c r="JHM71" s="117"/>
      <c r="JHN71" s="117"/>
      <c r="JHO71" s="117"/>
      <c r="JHP71" s="117"/>
      <c r="JHQ71" s="117"/>
      <c r="JHR71" s="117"/>
      <c r="JHS71" s="117"/>
      <c r="JHT71" s="117"/>
      <c r="JHU71" s="117"/>
      <c r="JHV71" s="117"/>
      <c r="JHW71" s="117"/>
      <c r="JHX71" s="117"/>
      <c r="JHY71" s="117"/>
      <c r="JHZ71" s="117"/>
      <c r="JIA71" s="117"/>
      <c r="JIB71" s="117"/>
      <c r="JIC71" s="117"/>
      <c r="JID71" s="117"/>
      <c r="JIE71" s="117"/>
      <c r="JIF71" s="117"/>
      <c r="JIG71" s="117"/>
      <c r="JIH71" s="117"/>
      <c r="JII71" s="117"/>
      <c r="JIJ71" s="117"/>
      <c r="JIK71" s="117"/>
      <c r="JIL71" s="117"/>
      <c r="JIM71" s="117"/>
      <c r="JIN71" s="117"/>
      <c r="JIO71" s="117"/>
      <c r="JIP71" s="117"/>
      <c r="JIQ71" s="117"/>
      <c r="JIR71" s="117"/>
      <c r="JIS71" s="117"/>
      <c r="JIT71" s="117"/>
      <c r="JIU71" s="117"/>
      <c r="JIV71" s="117"/>
      <c r="JIW71" s="117"/>
      <c r="JIX71" s="117"/>
      <c r="JIY71" s="117"/>
      <c r="JIZ71" s="117"/>
      <c r="JJA71" s="117"/>
      <c r="JJB71" s="117"/>
      <c r="JJC71" s="117"/>
      <c r="JJD71" s="117"/>
      <c r="JJE71" s="117"/>
      <c r="JJF71" s="117"/>
      <c r="JJG71" s="117"/>
      <c r="JJH71" s="117"/>
      <c r="JJI71" s="117"/>
      <c r="JJJ71" s="117"/>
      <c r="JJK71" s="117"/>
      <c r="JJL71" s="117"/>
      <c r="JJM71" s="117"/>
      <c r="JJN71" s="117"/>
      <c r="JJO71" s="117"/>
      <c r="JJP71" s="117"/>
      <c r="JJQ71" s="117"/>
      <c r="JJR71" s="117"/>
      <c r="JJS71" s="117"/>
      <c r="JJT71" s="117"/>
      <c r="JJU71" s="117"/>
      <c r="JJV71" s="117"/>
      <c r="JJW71" s="117"/>
      <c r="JJX71" s="117"/>
      <c r="JJY71" s="117"/>
      <c r="JJZ71" s="117"/>
      <c r="JKA71" s="117"/>
      <c r="JKB71" s="117"/>
      <c r="JKC71" s="117"/>
      <c r="JKD71" s="117"/>
      <c r="JKE71" s="117"/>
      <c r="JKF71" s="117"/>
      <c r="JKG71" s="117"/>
      <c r="JKH71" s="117"/>
      <c r="JKI71" s="117"/>
      <c r="JKJ71" s="117"/>
      <c r="JKK71" s="117"/>
      <c r="JKL71" s="117"/>
      <c r="JKM71" s="117"/>
      <c r="JKN71" s="117"/>
      <c r="JKO71" s="117"/>
      <c r="JKP71" s="117"/>
      <c r="JKQ71" s="117"/>
      <c r="JKR71" s="117"/>
      <c r="JKS71" s="117"/>
      <c r="JKT71" s="117"/>
      <c r="JKU71" s="117"/>
      <c r="JKV71" s="117"/>
      <c r="JKW71" s="117"/>
      <c r="JKX71" s="117"/>
      <c r="JKY71" s="117"/>
      <c r="JKZ71" s="117"/>
      <c r="JLA71" s="117"/>
      <c r="JLB71" s="117"/>
      <c r="JLC71" s="117"/>
      <c r="JLD71" s="117"/>
      <c r="JLE71" s="117"/>
      <c r="JLF71" s="117"/>
      <c r="JLG71" s="117"/>
      <c r="JLH71" s="117"/>
      <c r="JLI71" s="117"/>
      <c r="JLJ71" s="117"/>
      <c r="JLK71" s="117"/>
      <c r="JLL71" s="117"/>
      <c r="JLM71" s="117"/>
      <c r="JLN71" s="117"/>
      <c r="JLO71" s="117"/>
      <c r="JLP71" s="117"/>
      <c r="JLQ71" s="117"/>
      <c r="JLR71" s="117"/>
      <c r="JLS71" s="117"/>
      <c r="JLT71" s="117"/>
      <c r="JLU71" s="117"/>
      <c r="JLV71" s="117"/>
      <c r="JLW71" s="117"/>
      <c r="JLX71" s="117"/>
      <c r="JLY71" s="117"/>
      <c r="JLZ71" s="117"/>
      <c r="JMA71" s="117"/>
      <c r="JMB71" s="117"/>
      <c r="JMC71" s="117"/>
      <c r="JMD71" s="117"/>
      <c r="JME71" s="117"/>
      <c r="JMF71" s="117"/>
      <c r="JMG71" s="117"/>
      <c r="JMH71" s="117"/>
      <c r="JMI71" s="117"/>
      <c r="JMJ71" s="117"/>
      <c r="JMK71" s="117"/>
      <c r="JML71" s="117"/>
      <c r="JMM71" s="117"/>
      <c r="JMN71" s="117"/>
      <c r="JMO71" s="117"/>
      <c r="JMP71" s="117"/>
      <c r="JMQ71" s="117"/>
      <c r="JMR71" s="117"/>
      <c r="JMS71" s="117"/>
      <c r="JMT71" s="117"/>
      <c r="JMU71" s="117"/>
      <c r="JMV71" s="117"/>
      <c r="JMW71" s="117"/>
      <c r="JMX71" s="117"/>
      <c r="JMY71" s="117"/>
      <c r="JMZ71" s="117"/>
      <c r="JNA71" s="117"/>
      <c r="JNB71" s="117"/>
      <c r="JNC71" s="117"/>
      <c r="JND71" s="117"/>
      <c r="JNE71" s="117"/>
      <c r="JNF71" s="117"/>
      <c r="JNG71" s="117"/>
      <c r="JNH71" s="117"/>
      <c r="JNI71" s="117"/>
      <c r="JNJ71" s="117"/>
      <c r="JNK71" s="117"/>
      <c r="JNL71" s="117"/>
      <c r="JNM71" s="117"/>
      <c r="JNN71" s="117"/>
      <c r="JNO71" s="117"/>
      <c r="JNP71" s="117"/>
      <c r="JNQ71" s="117"/>
      <c r="JNR71" s="117"/>
      <c r="JNS71" s="117"/>
      <c r="JNT71" s="117"/>
      <c r="JNU71" s="117"/>
      <c r="JNV71" s="117"/>
      <c r="JNW71" s="117"/>
      <c r="JNX71" s="117"/>
      <c r="JNY71" s="117"/>
      <c r="JNZ71" s="117"/>
      <c r="JOA71" s="117"/>
      <c r="JOB71" s="117"/>
      <c r="JOC71" s="117"/>
      <c r="JOD71" s="117"/>
      <c r="JOE71" s="117"/>
      <c r="JOF71" s="117"/>
      <c r="JOG71" s="117"/>
      <c r="JOH71" s="117"/>
      <c r="JOI71" s="117"/>
      <c r="JOJ71" s="117"/>
      <c r="JOK71" s="117"/>
      <c r="JOL71" s="117"/>
      <c r="JOM71" s="117"/>
      <c r="JON71" s="117"/>
      <c r="JOO71" s="117"/>
      <c r="JOP71" s="117"/>
      <c r="JOQ71" s="117"/>
      <c r="JOR71" s="117"/>
      <c r="JOS71" s="117"/>
      <c r="JOT71" s="117"/>
      <c r="JOU71" s="117"/>
      <c r="JOV71" s="117"/>
      <c r="JOW71" s="117"/>
      <c r="JOX71" s="117"/>
      <c r="JOY71" s="117"/>
      <c r="JOZ71" s="117"/>
      <c r="JPA71" s="117"/>
      <c r="JPB71" s="117"/>
      <c r="JPC71" s="117"/>
      <c r="JPD71" s="117"/>
      <c r="JPE71" s="117"/>
      <c r="JPF71" s="117"/>
      <c r="JPG71" s="117"/>
      <c r="JPH71" s="117"/>
      <c r="JPI71" s="117"/>
      <c r="JPJ71" s="117"/>
      <c r="JPK71" s="117"/>
      <c r="JPL71" s="117"/>
      <c r="JPM71" s="117"/>
      <c r="JPN71" s="117"/>
      <c r="JPO71" s="117"/>
      <c r="JPP71" s="117"/>
      <c r="JPQ71" s="117"/>
      <c r="JPR71" s="117"/>
      <c r="JPS71" s="117"/>
      <c r="JPT71" s="117"/>
      <c r="JPU71" s="117"/>
      <c r="JPV71" s="117"/>
      <c r="JPW71" s="117"/>
      <c r="JPX71" s="117"/>
      <c r="JPY71" s="117"/>
      <c r="JPZ71" s="117"/>
      <c r="JQA71" s="117"/>
      <c r="JQB71" s="117"/>
      <c r="JQC71" s="117"/>
      <c r="JQD71" s="117"/>
      <c r="JQE71" s="117"/>
      <c r="JQF71" s="117"/>
      <c r="JQG71" s="117"/>
      <c r="JQH71" s="117"/>
      <c r="JQI71" s="117"/>
      <c r="JQJ71" s="117"/>
      <c r="JQK71" s="117"/>
      <c r="JQL71" s="117"/>
      <c r="JQM71" s="117"/>
      <c r="JQN71" s="117"/>
      <c r="JQO71" s="117"/>
      <c r="JQP71" s="117"/>
      <c r="JQQ71" s="117"/>
      <c r="JQR71" s="117"/>
      <c r="JQS71" s="117"/>
      <c r="JQT71" s="117"/>
      <c r="JQU71" s="117"/>
      <c r="JQV71" s="117"/>
      <c r="JQW71" s="117"/>
      <c r="JQX71" s="117"/>
      <c r="JQY71" s="117"/>
      <c r="JQZ71" s="117"/>
      <c r="JRA71" s="117"/>
      <c r="JRB71" s="117"/>
      <c r="JRC71" s="117"/>
      <c r="JRD71" s="117"/>
      <c r="JRE71" s="117"/>
      <c r="JRF71" s="117"/>
      <c r="JRG71" s="117"/>
      <c r="JRH71" s="117"/>
      <c r="JRI71" s="117"/>
      <c r="JRJ71" s="117"/>
      <c r="JRK71" s="117"/>
      <c r="JRL71" s="117"/>
      <c r="JRM71" s="117"/>
      <c r="JRN71" s="117"/>
      <c r="JRO71" s="117"/>
      <c r="JRP71" s="117"/>
      <c r="JRQ71" s="117"/>
      <c r="JRR71" s="117"/>
      <c r="JRS71" s="117"/>
      <c r="JRT71" s="117"/>
      <c r="JRU71" s="117"/>
      <c r="JRV71" s="117"/>
      <c r="JRW71" s="117"/>
      <c r="JRX71" s="117"/>
      <c r="JRY71" s="117"/>
      <c r="JRZ71" s="117"/>
      <c r="JSA71" s="117"/>
      <c r="JSB71" s="117"/>
      <c r="JSC71" s="117"/>
      <c r="JSD71" s="117"/>
      <c r="JSE71" s="117"/>
      <c r="JSF71" s="117"/>
      <c r="JSG71" s="117"/>
      <c r="JSH71" s="117"/>
      <c r="JSI71" s="117"/>
      <c r="JSJ71" s="117"/>
      <c r="JSK71" s="117"/>
      <c r="JSL71" s="117"/>
      <c r="JSM71" s="117"/>
      <c r="JSN71" s="117"/>
      <c r="JSO71" s="117"/>
      <c r="JSP71" s="117"/>
      <c r="JSQ71" s="117"/>
      <c r="JSR71" s="117"/>
      <c r="JSS71" s="117"/>
      <c r="JST71" s="117"/>
      <c r="JSU71" s="117"/>
      <c r="JSV71" s="117"/>
      <c r="JSW71" s="117"/>
      <c r="JSX71" s="117"/>
      <c r="JSY71" s="117"/>
      <c r="JSZ71" s="117"/>
      <c r="JTA71" s="117"/>
      <c r="JTB71" s="117"/>
      <c r="JTC71" s="117"/>
      <c r="JTD71" s="117"/>
      <c r="JTE71" s="117"/>
      <c r="JTF71" s="117"/>
      <c r="JTG71" s="117"/>
      <c r="JTH71" s="117"/>
      <c r="JTI71" s="117"/>
      <c r="JTJ71" s="117"/>
      <c r="JTK71" s="117"/>
      <c r="JTL71" s="117"/>
      <c r="JTM71" s="117"/>
      <c r="JTN71" s="117"/>
      <c r="JTO71" s="117"/>
      <c r="JTP71" s="117"/>
      <c r="JTQ71" s="117"/>
      <c r="JTR71" s="117"/>
      <c r="JTS71" s="117"/>
      <c r="JTT71" s="117"/>
      <c r="JTU71" s="117"/>
      <c r="JTV71" s="117"/>
      <c r="JTW71" s="117"/>
      <c r="JTX71" s="117"/>
      <c r="JTY71" s="117"/>
      <c r="JTZ71" s="117"/>
      <c r="JUA71" s="117"/>
      <c r="JUB71" s="117"/>
      <c r="JUC71" s="117"/>
      <c r="JUD71" s="117"/>
      <c r="JUE71" s="117"/>
      <c r="JUF71" s="117"/>
      <c r="JUG71" s="117"/>
      <c r="JUH71" s="117"/>
      <c r="JUI71" s="117"/>
      <c r="JUJ71" s="117"/>
      <c r="JUK71" s="117"/>
      <c r="JUL71" s="117"/>
      <c r="JUM71" s="117"/>
      <c r="JUN71" s="117"/>
      <c r="JUO71" s="117"/>
      <c r="JUP71" s="117"/>
      <c r="JUQ71" s="117"/>
      <c r="JUR71" s="117"/>
      <c r="JUS71" s="117"/>
      <c r="JUT71" s="117"/>
      <c r="JUU71" s="117"/>
      <c r="JUV71" s="117"/>
      <c r="JUW71" s="117"/>
      <c r="JUX71" s="117"/>
      <c r="JUY71" s="117"/>
      <c r="JUZ71" s="117"/>
      <c r="JVA71" s="117"/>
      <c r="JVB71" s="117"/>
      <c r="JVC71" s="117"/>
      <c r="JVD71" s="117"/>
      <c r="JVE71" s="117"/>
      <c r="JVF71" s="117"/>
      <c r="JVG71" s="117"/>
      <c r="JVH71" s="117"/>
      <c r="JVI71" s="117"/>
      <c r="JVJ71" s="117"/>
      <c r="JVK71" s="117"/>
      <c r="JVL71" s="117"/>
      <c r="JVM71" s="117"/>
      <c r="JVN71" s="117"/>
      <c r="JVO71" s="117"/>
      <c r="JVP71" s="117"/>
      <c r="JVQ71" s="117"/>
      <c r="JVR71" s="117"/>
      <c r="JVS71" s="117"/>
      <c r="JVT71" s="117"/>
      <c r="JVU71" s="117"/>
      <c r="JVV71" s="117"/>
      <c r="JVW71" s="117"/>
      <c r="JVX71" s="117"/>
      <c r="JVY71" s="117"/>
      <c r="JVZ71" s="117"/>
      <c r="JWA71" s="117"/>
      <c r="JWB71" s="117"/>
      <c r="JWC71" s="117"/>
      <c r="JWD71" s="117"/>
      <c r="JWE71" s="117"/>
      <c r="JWF71" s="117"/>
      <c r="JWG71" s="117"/>
      <c r="JWH71" s="117"/>
      <c r="JWI71" s="117"/>
      <c r="JWJ71" s="117"/>
      <c r="JWK71" s="117"/>
      <c r="JWL71" s="117"/>
      <c r="JWM71" s="117"/>
      <c r="JWN71" s="117"/>
      <c r="JWO71" s="117"/>
      <c r="JWP71" s="117"/>
      <c r="JWQ71" s="117"/>
      <c r="JWR71" s="117"/>
      <c r="JWS71" s="117"/>
      <c r="JWT71" s="117"/>
      <c r="JWU71" s="117"/>
      <c r="JWV71" s="117"/>
      <c r="JWW71" s="117"/>
      <c r="JWX71" s="117"/>
      <c r="JWY71" s="117"/>
      <c r="JWZ71" s="117"/>
      <c r="JXA71" s="117"/>
      <c r="JXB71" s="117"/>
      <c r="JXC71" s="117"/>
      <c r="JXD71" s="117"/>
      <c r="JXE71" s="117"/>
      <c r="JXF71" s="117"/>
      <c r="JXG71" s="117"/>
      <c r="JXH71" s="117"/>
      <c r="JXI71" s="117"/>
      <c r="JXJ71" s="117"/>
      <c r="JXK71" s="117"/>
      <c r="JXL71" s="117"/>
      <c r="JXM71" s="117"/>
      <c r="JXN71" s="117"/>
      <c r="JXO71" s="117"/>
      <c r="JXP71" s="117"/>
      <c r="JXQ71" s="117"/>
      <c r="JXR71" s="117"/>
      <c r="JXS71" s="117"/>
      <c r="JXT71" s="117"/>
      <c r="JXU71" s="117"/>
      <c r="JXV71" s="117"/>
      <c r="JXW71" s="117"/>
      <c r="JXX71" s="117"/>
      <c r="JXY71" s="117"/>
      <c r="JXZ71" s="117"/>
      <c r="JYA71" s="117"/>
      <c r="JYB71" s="117"/>
      <c r="JYC71" s="117"/>
      <c r="JYD71" s="117"/>
      <c r="JYE71" s="117"/>
      <c r="JYF71" s="117"/>
      <c r="JYG71" s="117"/>
      <c r="JYH71" s="117"/>
      <c r="JYI71" s="117"/>
      <c r="JYJ71" s="117"/>
      <c r="JYK71" s="117"/>
      <c r="JYL71" s="117"/>
      <c r="JYM71" s="117"/>
      <c r="JYN71" s="117"/>
      <c r="JYO71" s="117"/>
      <c r="JYP71" s="117"/>
      <c r="JYQ71" s="117"/>
      <c r="JYR71" s="117"/>
      <c r="JYS71" s="117"/>
      <c r="JYT71" s="117"/>
      <c r="JYU71" s="117"/>
      <c r="JYV71" s="117"/>
      <c r="JYW71" s="117"/>
      <c r="JYX71" s="117"/>
      <c r="JYY71" s="117"/>
      <c r="JYZ71" s="117"/>
      <c r="JZA71" s="117"/>
      <c r="JZB71" s="117"/>
      <c r="JZC71" s="117"/>
      <c r="JZD71" s="117"/>
      <c r="JZE71" s="117"/>
      <c r="JZF71" s="117"/>
      <c r="JZG71" s="117"/>
      <c r="JZH71" s="117"/>
      <c r="JZI71" s="117"/>
      <c r="JZJ71" s="117"/>
      <c r="JZK71" s="117"/>
      <c r="JZL71" s="117"/>
      <c r="JZM71" s="117"/>
      <c r="JZN71" s="117"/>
      <c r="JZO71" s="117"/>
      <c r="JZP71" s="117"/>
      <c r="JZQ71" s="117"/>
      <c r="JZR71" s="117"/>
      <c r="JZS71" s="117"/>
      <c r="JZT71" s="117"/>
      <c r="JZU71" s="117"/>
      <c r="JZV71" s="117"/>
      <c r="JZW71" s="117"/>
      <c r="JZX71" s="117"/>
      <c r="JZY71" s="117"/>
      <c r="JZZ71" s="117"/>
      <c r="KAA71" s="117"/>
      <c r="KAB71" s="117"/>
      <c r="KAC71" s="117"/>
      <c r="KAD71" s="117"/>
      <c r="KAE71" s="117"/>
      <c r="KAF71" s="117"/>
      <c r="KAG71" s="117"/>
      <c r="KAH71" s="117"/>
      <c r="KAI71" s="117"/>
      <c r="KAJ71" s="117"/>
      <c r="KAK71" s="117"/>
      <c r="KAL71" s="117"/>
      <c r="KAM71" s="117"/>
      <c r="KAN71" s="117"/>
      <c r="KAO71" s="117"/>
      <c r="KAP71" s="117"/>
      <c r="KAQ71" s="117"/>
      <c r="KAR71" s="117"/>
      <c r="KAS71" s="117"/>
      <c r="KAT71" s="117"/>
      <c r="KAU71" s="117"/>
      <c r="KAV71" s="117"/>
      <c r="KAW71" s="117"/>
      <c r="KAX71" s="117"/>
      <c r="KAY71" s="117"/>
      <c r="KAZ71" s="117"/>
      <c r="KBA71" s="117"/>
      <c r="KBB71" s="117"/>
      <c r="KBC71" s="117"/>
      <c r="KBD71" s="117"/>
      <c r="KBE71" s="117"/>
      <c r="KBF71" s="117"/>
      <c r="KBG71" s="117"/>
      <c r="KBH71" s="117"/>
      <c r="KBI71" s="117"/>
      <c r="KBJ71" s="117"/>
      <c r="KBK71" s="117"/>
      <c r="KBL71" s="117"/>
      <c r="KBM71" s="117"/>
      <c r="KBN71" s="117"/>
      <c r="KBO71" s="117"/>
      <c r="KBP71" s="117"/>
      <c r="KBQ71" s="117"/>
      <c r="KBR71" s="117"/>
      <c r="KBS71" s="117"/>
      <c r="KBT71" s="117"/>
      <c r="KBU71" s="117"/>
      <c r="KBV71" s="117"/>
      <c r="KBW71" s="117"/>
      <c r="KBX71" s="117"/>
      <c r="KBY71" s="117"/>
      <c r="KBZ71" s="117"/>
      <c r="KCA71" s="117"/>
      <c r="KCB71" s="117"/>
      <c r="KCC71" s="117"/>
      <c r="KCD71" s="117"/>
      <c r="KCE71" s="117"/>
      <c r="KCF71" s="117"/>
      <c r="KCG71" s="117"/>
      <c r="KCH71" s="117"/>
      <c r="KCI71" s="117"/>
      <c r="KCJ71" s="117"/>
      <c r="KCK71" s="117"/>
      <c r="KCL71" s="117"/>
      <c r="KCM71" s="117"/>
      <c r="KCN71" s="117"/>
      <c r="KCO71" s="117"/>
      <c r="KCP71" s="117"/>
      <c r="KCQ71" s="117"/>
      <c r="KCR71" s="117"/>
      <c r="KCS71" s="117"/>
      <c r="KCT71" s="117"/>
      <c r="KCU71" s="117"/>
      <c r="KCV71" s="117"/>
      <c r="KCW71" s="117"/>
      <c r="KCX71" s="117"/>
      <c r="KCY71" s="117"/>
      <c r="KCZ71" s="117"/>
      <c r="KDA71" s="117"/>
      <c r="KDB71" s="117"/>
      <c r="KDC71" s="117"/>
      <c r="KDD71" s="117"/>
      <c r="KDE71" s="117"/>
      <c r="KDF71" s="117"/>
      <c r="KDG71" s="117"/>
      <c r="KDH71" s="117"/>
      <c r="KDI71" s="117"/>
      <c r="KDJ71" s="117"/>
      <c r="KDK71" s="117"/>
      <c r="KDL71" s="117"/>
      <c r="KDM71" s="117"/>
      <c r="KDN71" s="117"/>
      <c r="KDO71" s="117"/>
      <c r="KDP71" s="117"/>
      <c r="KDQ71" s="117"/>
      <c r="KDR71" s="117"/>
      <c r="KDS71" s="117"/>
      <c r="KDT71" s="117"/>
      <c r="KDU71" s="117"/>
      <c r="KDV71" s="117"/>
      <c r="KDW71" s="117"/>
      <c r="KDX71" s="117"/>
      <c r="KDY71" s="117"/>
      <c r="KDZ71" s="117"/>
      <c r="KEA71" s="117"/>
      <c r="KEB71" s="117"/>
      <c r="KEC71" s="117"/>
      <c r="KED71" s="117"/>
      <c r="KEE71" s="117"/>
      <c r="KEF71" s="117"/>
      <c r="KEG71" s="117"/>
      <c r="KEH71" s="117"/>
      <c r="KEI71" s="117"/>
      <c r="KEJ71" s="117"/>
      <c r="KEK71" s="117"/>
      <c r="KEL71" s="117"/>
      <c r="KEM71" s="117"/>
      <c r="KEN71" s="117"/>
      <c r="KEO71" s="117"/>
      <c r="KEP71" s="117"/>
      <c r="KEQ71" s="117"/>
      <c r="KER71" s="117"/>
      <c r="KES71" s="117"/>
      <c r="KET71" s="117"/>
      <c r="KEU71" s="117"/>
      <c r="KEV71" s="117"/>
      <c r="KEW71" s="117"/>
      <c r="KEX71" s="117"/>
      <c r="KEY71" s="117"/>
      <c r="KEZ71" s="117"/>
      <c r="KFA71" s="117"/>
      <c r="KFB71" s="117"/>
      <c r="KFC71" s="117"/>
      <c r="KFD71" s="117"/>
      <c r="KFE71" s="117"/>
      <c r="KFF71" s="117"/>
      <c r="KFG71" s="117"/>
      <c r="KFH71" s="117"/>
      <c r="KFI71" s="117"/>
      <c r="KFJ71" s="117"/>
      <c r="KFK71" s="117"/>
      <c r="KFL71" s="117"/>
      <c r="KFM71" s="117"/>
      <c r="KFN71" s="117"/>
      <c r="KFO71" s="117"/>
      <c r="KFP71" s="117"/>
      <c r="KFQ71" s="117"/>
      <c r="KFR71" s="117"/>
      <c r="KFS71" s="117"/>
      <c r="KFT71" s="117"/>
      <c r="KFU71" s="117"/>
      <c r="KFV71" s="117"/>
      <c r="KFW71" s="117"/>
      <c r="KFX71" s="117"/>
      <c r="KFY71" s="117"/>
      <c r="KFZ71" s="117"/>
      <c r="KGA71" s="117"/>
      <c r="KGB71" s="117"/>
      <c r="KGC71" s="117"/>
      <c r="KGD71" s="117"/>
      <c r="KGE71" s="117"/>
      <c r="KGF71" s="117"/>
      <c r="KGG71" s="117"/>
      <c r="KGH71" s="117"/>
      <c r="KGI71" s="117"/>
      <c r="KGJ71" s="117"/>
      <c r="KGK71" s="117"/>
      <c r="KGL71" s="117"/>
      <c r="KGM71" s="117"/>
      <c r="KGN71" s="117"/>
      <c r="KGO71" s="117"/>
      <c r="KGP71" s="117"/>
      <c r="KGQ71" s="117"/>
      <c r="KGR71" s="117"/>
      <c r="KGS71" s="117"/>
      <c r="KGT71" s="117"/>
      <c r="KGU71" s="117"/>
      <c r="KGV71" s="117"/>
      <c r="KGW71" s="117"/>
      <c r="KGX71" s="117"/>
      <c r="KGY71" s="117"/>
      <c r="KGZ71" s="117"/>
      <c r="KHA71" s="117"/>
      <c r="KHB71" s="117"/>
      <c r="KHC71" s="117"/>
      <c r="KHD71" s="117"/>
      <c r="KHE71" s="117"/>
      <c r="KHF71" s="117"/>
      <c r="KHG71" s="117"/>
      <c r="KHH71" s="117"/>
      <c r="KHI71" s="117"/>
      <c r="KHJ71" s="117"/>
      <c r="KHK71" s="117"/>
      <c r="KHL71" s="117"/>
      <c r="KHM71" s="117"/>
      <c r="KHN71" s="117"/>
      <c r="KHO71" s="117"/>
      <c r="KHP71" s="117"/>
      <c r="KHQ71" s="117"/>
      <c r="KHR71" s="117"/>
      <c r="KHS71" s="117"/>
      <c r="KHT71" s="117"/>
      <c r="KHU71" s="117"/>
      <c r="KHV71" s="117"/>
      <c r="KHW71" s="117"/>
      <c r="KHX71" s="117"/>
      <c r="KHY71" s="117"/>
      <c r="KHZ71" s="117"/>
      <c r="KIA71" s="117"/>
      <c r="KIB71" s="117"/>
      <c r="KIC71" s="117"/>
      <c r="KID71" s="117"/>
      <c r="KIE71" s="117"/>
      <c r="KIF71" s="117"/>
      <c r="KIG71" s="117"/>
      <c r="KIH71" s="117"/>
      <c r="KII71" s="117"/>
      <c r="KIJ71" s="117"/>
      <c r="KIK71" s="117"/>
      <c r="KIL71" s="117"/>
      <c r="KIM71" s="117"/>
      <c r="KIN71" s="117"/>
      <c r="KIO71" s="117"/>
      <c r="KIP71" s="117"/>
      <c r="KIQ71" s="117"/>
      <c r="KIR71" s="117"/>
      <c r="KIS71" s="117"/>
      <c r="KIT71" s="117"/>
      <c r="KIU71" s="117"/>
      <c r="KIV71" s="117"/>
      <c r="KIW71" s="117"/>
      <c r="KIX71" s="117"/>
      <c r="KIY71" s="117"/>
      <c r="KIZ71" s="117"/>
      <c r="KJA71" s="117"/>
      <c r="KJB71" s="117"/>
      <c r="KJC71" s="117"/>
      <c r="KJD71" s="117"/>
      <c r="KJE71" s="117"/>
      <c r="KJF71" s="117"/>
      <c r="KJG71" s="117"/>
      <c r="KJH71" s="117"/>
      <c r="KJI71" s="117"/>
      <c r="KJJ71" s="117"/>
      <c r="KJK71" s="117"/>
      <c r="KJL71" s="117"/>
      <c r="KJM71" s="117"/>
      <c r="KJN71" s="117"/>
      <c r="KJO71" s="117"/>
      <c r="KJP71" s="117"/>
      <c r="KJQ71" s="117"/>
      <c r="KJR71" s="117"/>
      <c r="KJS71" s="117"/>
      <c r="KJT71" s="117"/>
      <c r="KJU71" s="117"/>
      <c r="KJV71" s="117"/>
      <c r="KJW71" s="117"/>
      <c r="KJX71" s="117"/>
      <c r="KJY71" s="117"/>
      <c r="KJZ71" s="117"/>
      <c r="KKA71" s="117"/>
      <c r="KKB71" s="117"/>
      <c r="KKC71" s="117"/>
      <c r="KKD71" s="117"/>
      <c r="KKE71" s="117"/>
      <c r="KKF71" s="117"/>
      <c r="KKG71" s="117"/>
      <c r="KKH71" s="117"/>
      <c r="KKI71" s="117"/>
      <c r="KKJ71" s="117"/>
      <c r="KKK71" s="117"/>
      <c r="KKL71" s="117"/>
      <c r="KKM71" s="117"/>
      <c r="KKN71" s="117"/>
      <c r="KKO71" s="117"/>
      <c r="KKP71" s="117"/>
      <c r="KKQ71" s="117"/>
      <c r="KKR71" s="117"/>
      <c r="KKS71" s="117"/>
      <c r="KKT71" s="117"/>
      <c r="KKU71" s="117"/>
      <c r="KKV71" s="117"/>
      <c r="KKW71" s="117"/>
      <c r="KKX71" s="117"/>
      <c r="KKY71" s="117"/>
      <c r="KKZ71" s="117"/>
      <c r="KLA71" s="117"/>
      <c r="KLB71" s="117"/>
      <c r="KLC71" s="117"/>
      <c r="KLD71" s="117"/>
      <c r="KLE71" s="117"/>
      <c r="KLF71" s="117"/>
      <c r="KLG71" s="117"/>
      <c r="KLH71" s="117"/>
      <c r="KLI71" s="117"/>
      <c r="KLJ71" s="117"/>
      <c r="KLK71" s="117"/>
      <c r="KLL71" s="117"/>
      <c r="KLM71" s="117"/>
      <c r="KLN71" s="117"/>
      <c r="KLO71" s="117"/>
      <c r="KLP71" s="117"/>
      <c r="KLQ71" s="117"/>
      <c r="KLR71" s="117"/>
      <c r="KLS71" s="117"/>
      <c r="KLT71" s="117"/>
      <c r="KLU71" s="117"/>
      <c r="KLV71" s="117"/>
      <c r="KLW71" s="117"/>
      <c r="KLX71" s="117"/>
      <c r="KLY71" s="117"/>
      <c r="KLZ71" s="117"/>
      <c r="KMA71" s="117"/>
      <c r="KMB71" s="117"/>
      <c r="KMC71" s="117"/>
      <c r="KMD71" s="117"/>
      <c r="KME71" s="117"/>
      <c r="KMF71" s="117"/>
      <c r="KMG71" s="117"/>
      <c r="KMH71" s="117"/>
      <c r="KMI71" s="117"/>
      <c r="KMJ71" s="117"/>
      <c r="KMK71" s="117"/>
      <c r="KML71" s="117"/>
      <c r="KMM71" s="117"/>
      <c r="KMN71" s="117"/>
      <c r="KMO71" s="117"/>
      <c r="KMP71" s="117"/>
      <c r="KMQ71" s="117"/>
      <c r="KMR71" s="117"/>
      <c r="KMS71" s="117"/>
      <c r="KMT71" s="117"/>
      <c r="KMU71" s="117"/>
      <c r="KMV71" s="117"/>
      <c r="KMW71" s="117"/>
      <c r="KMX71" s="117"/>
      <c r="KMY71" s="117"/>
      <c r="KMZ71" s="117"/>
      <c r="KNA71" s="117"/>
      <c r="KNB71" s="117"/>
      <c r="KNC71" s="117"/>
      <c r="KND71" s="117"/>
      <c r="KNE71" s="117"/>
      <c r="KNF71" s="117"/>
      <c r="KNG71" s="117"/>
      <c r="KNH71" s="117"/>
      <c r="KNI71" s="117"/>
      <c r="KNJ71" s="117"/>
      <c r="KNK71" s="117"/>
      <c r="KNL71" s="117"/>
      <c r="KNM71" s="117"/>
      <c r="KNN71" s="117"/>
      <c r="KNO71" s="117"/>
      <c r="KNP71" s="117"/>
      <c r="KNQ71" s="117"/>
      <c r="KNR71" s="117"/>
      <c r="KNS71" s="117"/>
      <c r="KNT71" s="117"/>
      <c r="KNU71" s="117"/>
      <c r="KNV71" s="117"/>
      <c r="KNW71" s="117"/>
      <c r="KNX71" s="117"/>
      <c r="KNY71" s="117"/>
      <c r="KNZ71" s="117"/>
      <c r="KOA71" s="117"/>
      <c r="KOB71" s="117"/>
      <c r="KOC71" s="117"/>
      <c r="KOD71" s="117"/>
      <c r="KOE71" s="117"/>
      <c r="KOF71" s="117"/>
      <c r="KOG71" s="117"/>
      <c r="KOH71" s="117"/>
      <c r="KOI71" s="117"/>
      <c r="KOJ71" s="117"/>
      <c r="KOK71" s="117"/>
      <c r="KOL71" s="117"/>
      <c r="KOM71" s="117"/>
      <c r="KON71" s="117"/>
      <c r="KOO71" s="117"/>
      <c r="KOP71" s="117"/>
      <c r="KOQ71" s="117"/>
      <c r="KOR71" s="117"/>
      <c r="KOS71" s="117"/>
      <c r="KOT71" s="117"/>
      <c r="KOU71" s="117"/>
      <c r="KOV71" s="117"/>
      <c r="KOW71" s="117"/>
      <c r="KOX71" s="117"/>
      <c r="KOY71" s="117"/>
      <c r="KOZ71" s="117"/>
      <c r="KPA71" s="117"/>
      <c r="KPB71" s="117"/>
      <c r="KPC71" s="117"/>
      <c r="KPD71" s="117"/>
      <c r="KPE71" s="117"/>
      <c r="KPF71" s="117"/>
      <c r="KPG71" s="117"/>
      <c r="KPH71" s="117"/>
      <c r="KPI71" s="117"/>
      <c r="KPJ71" s="117"/>
      <c r="KPK71" s="117"/>
      <c r="KPL71" s="117"/>
      <c r="KPM71" s="117"/>
      <c r="KPN71" s="117"/>
      <c r="KPO71" s="117"/>
      <c r="KPP71" s="117"/>
      <c r="KPQ71" s="117"/>
      <c r="KPR71" s="117"/>
      <c r="KPS71" s="117"/>
      <c r="KPT71" s="117"/>
      <c r="KPU71" s="117"/>
      <c r="KPV71" s="117"/>
      <c r="KPW71" s="117"/>
      <c r="KPX71" s="117"/>
      <c r="KPY71" s="117"/>
      <c r="KPZ71" s="117"/>
      <c r="KQA71" s="117"/>
      <c r="KQB71" s="117"/>
      <c r="KQC71" s="117"/>
      <c r="KQD71" s="117"/>
      <c r="KQE71" s="117"/>
      <c r="KQF71" s="117"/>
      <c r="KQG71" s="117"/>
      <c r="KQH71" s="117"/>
      <c r="KQI71" s="117"/>
      <c r="KQJ71" s="117"/>
      <c r="KQK71" s="117"/>
      <c r="KQL71" s="117"/>
      <c r="KQM71" s="117"/>
      <c r="KQN71" s="117"/>
      <c r="KQO71" s="117"/>
      <c r="KQP71" s="117"/>
      <c r="KQQ71" s="117"/>
      <c r="KQR71" s="117"/>
      <c r="KQS71" s="117"/>
      <c r="KQT71" s="117"/>
      <c r="KQU71" s="117"/>
      <c r="KQV71" s="117"/>
      <c r="KQW71" s="117"/>
      <c r="KQX71" s="117"/>
      <c r="KQY71" s="117"/>
      <c r="KQZ71" s="117"/>
      <c r="KRA71" s="117"/>
      <c r="KRB71" s="117"/>
      <c r="KRC71" s="117"/>
      <c r="KRD71" s="117"/>
      <c r="KRE71" s="117"/>
      <c r="KRF71" s="117"/>
      <c r="KRG71" s="117"/>
      <c r="KRH71" s="117"/>
      <c r="KRI71" s="117"/>
      <c r="KRJ71" s="117"/>
      <c r="KRK71" s="117"/>
      <c r="KRL71" s="117"/>
      <c r="KRM71" s="117"/>
      <c r="KRN71" s="117"/>
      <c r="KRO71" s="117"/>
      <c r="KRP71" s="117"/>
      <c r="KRQ71" s="117"/>
      <c r="KRR71" s="117"/>
      <c r="KRS71" s="117"/>
      <c r="KRT71" s="117"/>
      <c r="KRU71" s="117"/>
      <c r="KRV71" s="117"/>
      <c r="KRW71" s="117"/>
      <c r="KRX71" s="117"/>
      <c r="KRY71" s="117"/>
      <c r="KRZ71" s="117"/>
      <c r="KSA71" s="117"/>
      <c r="KSB71" s="117"/>
      <c r="KSC71" s="117"/>
      <c r="KSD71" s="117"/>
      <c r="KSE71" s="117"/>
      <c r="KSF71" s="117"/>
      <c r="KSG71" s="117"/>
      <c r="KSH71" s="117"/>
      <c r="KSI71" s="117"/>
      <c r="KSJ71" s="117"/>
      <c r="KSK71" s="117"/>
      <c r="KSL71" s="117"/>
      <c r="KSM71" s="117"/>
      <c r="KSN71" s="117"/>
      <c r="KSO71" s="117"/>
      <c r="KSP71" s="117"/>
      <c r="KSQ71" s="117"/>
      <c r="KSR71" s="117"/>
      <c r="KSS71" s="117"/>
      <c r="KST71" s="117"/>
      <c r="KSU71" s="117"/>
      <c r="KSV71" s="117"/>
      <c r="KSW71" s="117"/>
      <c r="KSX71" s="117"/>
      <c r="KSY71" s="117"/>
      <c r="KSZ71" s="117"/>
      <c r="KTA71" s="117"/>
      <c r="KTB71" s="117"/>
      <c r="KTC71" s="117"/>
      <c r="KTD71" s="117"/>
      <c r="KTE71" s="117"/>
      <c r="KTF71" s="117"/>
      <c r="KTG71" s="117"/>
      <c r="KTH71" s="117"/>
      <c r="KTI71" s="117"/>
      <c r="KTJ71" s="117"/>
      <c r="KTK71" s="117"/>
      <c r="KTL71" s="117"/>
      <c r="KTM71" s="117"/>
      <c r="KTN71" s="117"/>
      <c r="KTO71" s="117"/>
      <c r="KTP71" s="117"/>
      <c r="KTQ71" s="117"/>
      <c r="KTR71" s="117"/>
      <c r="KTS71" s="117"/>
      <c r="KTT71" s="117"/>
      <c r="KTU71" s="117"/>
      <c r="KTV71" s="117"/>
      <c r="KTW71" s="117"/>
      <c r="KTX71" s="117"/>
      <c r="KTY71" s="117"/>
      <c r="KTZ71" s="117"/>
      <c r="KUA71" s="117"/>
      <c r="KUB71" s="117"/>
      <c r="KUC71" s="117"/>
      <c r="KUD71" s="117"/>
      <c r="KUE71" s="117"/>
      <c r="KUF71" s="117"/>
      <c r="KUG71" s="117"/>
      <c r="KUH71" s="117"/>
      <c r="KUI71" s="117"/>
      <c r="KUJ71" s="117"/>
      <c r="KUK71" s="117"/>
      <c r="KUL71" s="117"/>
      <c r="KUM71" s="117"/>
      <c r="KUN71" s="117"/>
      <c r="KUO71" s="117"/>
      <c r="KUP71" s="117"/>
      <c r="KUQ71" s="117"/>
      <c r="KUR71" s="117"/>
      <c r="KUS71" s="117"/>
      <c r="KUT71" s="117"/>
      <c r="KUU71" s="117"/>
      <c r="KUV71" s="117"/>
      <c r="KUW71" s="117"/>
      <c r="KUX71" s="117"/>
      <c r="KUY71" s="117"/>
      <c r="KUZ71" s="117"/>
      <c r="KVA71" s="117"/>
      <c r="KVB71" s="117"/>
      <c r="KVC71" s="117"/>
      <c r="KVD71" s="117"/>
      <c r="KVE71" s="117"/>
      <c r="KVF71" s="117"/>
      <c r="KVG71" s="117"/>
      <c r="KVH71" s="117"/>
      <c r="KVI71" s="117"/>
      <c r="KVJ71" s="117"/>
      <c r="KVK71" s="117"/>
      <c r="KVL71" s="117"/>
      <c r="KVM71" s="117"/>
      <c r="KVN71" s="117"/>
      <c r="KVO71" s="117"/>
      <c r="KVP71" s="117"/>
      <c r="KVQ71" s="117"/>
      <c r="KVR71" s="117"/>
      <c r="KVS71" s="117"/>
      <c r="KVT71" s="117"/>
      <c r="KVU71" s="117"/>
      <c r="KVV71" s="117"/>
      <c r="KVW71" s="117"/>
      <c r="KVX71" s="117"/>
      <c r="KVY71" s="117"/>
      <c r="KVZ71" s="117"/>
      <c r="KWA71" s="117"/>
      <c r="KWB71" s="117"/>
      <c r="KWC71" s="117"/>
      <c r="KWD71" s="117"/>
      <c r="KWE71" s="117"/>
      <c r="KWF71" s="117"/>
      <c r="KWG71" s="117"/>
      <c r="KWH71" s="117"/>
      <c r="KWI71" s="117"/>
      <c r="KWJ71" s="117"/>
      <c r="KWK71" s="117"/>
      <c r="KWL71" s="117"/>
      <c r="KWM71" s="117"/>
      <c r="KWN71" s="117"/>
      <c r="KWO71" s="117"/>
      <c r="KWP71" s="117"/>
      <c r="KWQ71" s="117"/>
      <c r="KWR71" s="117"/>
      <c r="KWS71" s="117"/>
      <c r="KWT71" s="117"/>
      <c r="KWU71" s="117"/>
      <c r="KWV71" s="117"/>
      <c r="KWW71" s="117"/>
      <c r="KWX71" s="117"/>
      <c r="KWY71" s="117"/>
      <c r="KWZ71" s="117"/>
      <c r="KXA71" s="117"/>
      <c r="KXB71" s="117"/>
      <c r="KXC71" s="117"/>
      <c r="KXD71" s="117"/>
      <c r="KXE71" s="117"/>
      <c r="KXF71" s="117"/>
      <c r="KXG71" s="117"/>
      <c r="KXH71" s="117"/>
      <c r="KXI71" s="117"/>
      <c r="KXJ71" s="117"/>
      <c r="KXK71" s="117"/>
      <c r="KXL71" s="117"/>
      <c r="KXM71" s="117"/>
      <c r="KXN71" s="117"/>
      <c r="KXO71" s="117"/>
      <c r="KXP71" s="117"/>
      <c r="KXQ71" s="117"/>
      <c r="KXR71" s="117"/>
      <c r="KXS71" s="117"/>
      <c r="KXT71" s="117"/>
      <c r="KXU71" s="117"/>
      <c r="KXV71" s="117"/>
      <c r="KXW71" s="117"/>
      <c r="KXX71" s="117"/>
      <c r="KXY71" s="117"/>
      <c r="KXZ71" s="117"/>
      <c r="KYA71" s="117"/>
      <c r="KYB71" s="117"/>
      <c r="KYC71" s="117"/>
      <c r="KYD71" s="117"/>
      <c r="KYE71" s="117"/>
      <c r="KYF71" s="117"/>
      <c r="KYG71" s="117"/>
      <c r="KYH71" s="117"/>
      <c r="KYI71" s="117"/>
      <c r="KYJ71" s="117"/>
      <c r="KYK71" s="117"/>
      <c r="KYL71" s="117"/>
      <c r="KYM71" s="117"/>
      <c r="KYN71" s="117"/>
      <c r="KYO71" s="117"/>
      <c r="KYP71" s="117"/>
      <c r="KYQ71" s="117"/>
      <c r="KYR71" s="117"/>
      <c r="KYS71" s="117"/>
      <c r="KYT71" s="117"/>
      <c r="KYU71" s="117"/>
      <c r="KYV71" s="117"/>
      <c r="KYW71" s="117"/>
      <c r="KYX71" s="117"/>
      <c r="KYY71" s="117"/>
      <c r="KYZ71" s="117"/>
      <c r="KZA71" s="117"/>
      <c r="KZB71" s="117"/>
      <c r="KZC71" s="117"/>
      <c r="KZD71" s="117"/>
      <c r="KZE71" s="117"/>
      <c r="KZF71" s="117"/>
      <c r="KZG71" s="117"/>
      <c r="KZH71" s="117"/>
      <c r="KZI71" s="117"/>
      <c r="KZJ71" s="117"/>
      <c r="KZK71" s="117"/>
      <c r="KZL71" s="117"/>
      <c r="KZM71" s="117"/>
      <c r="KZN71" s="117"/>
      <c r="KZO71" s="117"/>
      <c r="KZP71" s="117"/>
      <c r="KZQ71" s="117"/>
      <c r="KZR71" s="117"/>
      <c r="KZS71" s="117"/>
      <c r="KZT71" s="117"/>
      <c r="KZU71" s="117"/>
      <c r="KZV71" s="117"/>
      <c r="KZW71" s="117"/>
      <c r="KZX71" s="117"/>
      <c r="KZY71" s="117"/>
      <c r="KZZ71" s="117"/>
      <c r="LAA71" s="117"/>
      <c r="LAB71" s="117"/>
      <c r="LAC71" s="117"/>
      <c r="LAD71" s="117"/>
      <c r="LAE71" s="117"/>
      <c r="LAF71" s="117"/>
      <c r="LAG71" s="117"/>
      <c r="LAH71" s="117"/>
      <c r="LAI71" s="117"/>
      <c r="LAJ71" s="117"/>
      <c r="LAK71" s="117"/>
      <c r="LAL71" s="117"/>
      <c r="LAM71" s="117"/>
      <c r="LAN71" s="117"/>
      <c r="LAO71" s="117"/>
      <c r="LAP71" s="117"/>
      <c r="LAQ71" s="117"/>
      <c r="LAR71" s="117"/>
      <c r="LAS71" s="117"/>
      <c r="LAT71" s="117"/>
      <c r="LAU71" s="117"/>
      <c r="LAV71" s="117"/>
      <c r="LAW71" s="117"/>
      <c r="LAX71" s="117"/>
      <c r="LAY71" s="117"/>
      <c r="LAZ71" s="117"/>
      <c r="LBA71" s="117"/>
      <c r="LBB71" s="117"/>
      <c r="LBC71" s="117"/>
      <c r="LBD71" s="117"/>
      <c r="LBE71" s="117"/>
      <c r="LBF71" s="117"/>
      <c r="LBG71" s="117"/>
      <c r="LBH71" s="117"/>
      <c r="LBI71" s="117"/>
      <c r="LBJ71" s="117"/>
      <c r="LBK71" s="117"/>
      <c r="LBL71" s="117"/>
      <c r="LBM71" s="117"/>
      <c r="LBN71" s="117"/>
      <c r="LBO71" s="117"/>
      <c r="LBP71" s="117"/>
      <c r="LBQ71" s="117"/>
      <c r="LBR71" s="117"/>
      <c r="LBS71" s="117"/>
      <c r="LBT71" s="117"/>
      <c r="LBU71" s="117"/>
      <c r="LBV71" s="117"/>
      <c r="LBW71" s="117"/>
      <c r="LBX71" s="117"/>
      <c r="LBY71" s="117"/>
      <c r="LBZ71" s="117"/>
      <c r="LCA71" s="117"/>
      <c r="LCB71" s="117"/>
      <c r="LCC71" s="117"/>
      <c r="LCD71" s="117"/>
      <c r="LCE71" s="117"/>
      <c r="LCF71" s="117"/>
      <c r="LCG71" s="117"/>
      <c r="LCH71" s="117"/>
      <c r="LCI71" s="117"/>
      <c r="LCJ71" s="117"/>
      <c r="LCK71" s="117"/>
      <c r="LCL71" s="117"/>
      <c r="LCM71" s="117"/>
      <c r="LCN71" s="117"/>
      <c r="LCO71" s="117"/>
      <c r="LCP71" s="117"/>
      <c r="LCQ71" s="117"/>
      <c r="LCR71" s="117"/>
      <c r="LCS71" s="117"/>
      <c r="LCT71" s="117"/>
      <c r="LCU71" s="117"/>
      <c r="LCV71" s="117"/>
      <c r="LCW71" s="117"/>
      <c r="LCX71" s="117"/>
      <c r="LCY71" s="117"/>
      <c r="LCZ71" s="117"/>
      <c r="LDA71" s="117"/>
      <c r="LDB71" s="117"/>
      <c r="LDC71" s="117"/>
      <c r="LDD71" s="117"/>
      <c r="LDE71" s="117"/>
      <c r="LDF71" s="117"/>
      <c r="LDG71" s="117"/>
      <c r="LDH71" s="117"/>
      <c r="LDI71" s="117"/>
      <c r="LDJ71" s="117"/>
      <c r="LDK71" s="117"/>
      <c r="LDL71" s="117"/>
      <c r="LDM71" s="117"/>
      <c r="LDN71" s="117"/>
      <c r="LDO71" s="117"/>
      <c r="LDP71" s="117"/>
      <c r="LDQ71" s="117"/>
      <c r="LDR71" s="117"/>
      <c r="LDS71" s="117"/>
      <c r="LDT71" s="117"/>
      <c r="LDU71" s="117"/>
      <c r="LDV71" s="117"/>
      <c r="LDW71" s="117"/>
      <c r="LDX71" s="117"/>
      <c r="LDY71" s="117"/>
      <c r="LDZ71" s="117"/>
      <c r="LEA71" s="117"/>
      <c r="LEB71" s="117"/>
      <c r="LEC71" s="117"/>
      <c r="LED71" s="117"/>
      <c r="LEE71" s="117"/>
      <c r="LEF71" s="117"/>
      <c r="LEG71" s="117"/>
      <c r="LEH71" s="117"/>
      <c r="LEI71" s="117"/>
      <c r="LEJ71" s="117"/>
      <c r="LEK71" s="117"/>
      <c r="LEL71" s="117"/>
      <c r="LEM71" s="117"/>
      <c r="LEN71" s="117"/>
      <c r="LEO71" s="117"/>
      <c r="LEP71" s="117"/>
      <c r="LEQ71" s="117"/>
      <c r="LER71" s="117"/>
      <c r="LES71" s="117"/>
      <c r="LET71" s="117"/>
      <c r="LEU71" s="117"/>
      <c r="LEV71" s="117"/>
      <c r="LEW71" s="117"/>
      <c r="LEX71" s="117"/>
      <c r="LEY71" s="117"/>
      <c r="LEZ71" s="117"/>
      <c r="LFA71" s="117"/>
      <c r="LFB71" s="117"/>
      <c r="LFC71" s="117"/>
      <c r="LFD71" s="117"/>
      <c r="LFE71" s="117"/>
      <c r="LFF71" s="117"/>
      <c r="LFG71" s="117"/>
      <c r="LFH71" s="117"/>
      <c r="LFI71" s="117"/>
      <c r="LFJ71" s="117"/>
      <c r="LFK71" s="117"/>
      <c r="LFL71" s="117"/>
      <c r="LFM71" s="117"/>
      <c r="LFN71" s="117"/>
      <c r="LFO71" s="117"/>
      <c r="LFP71" s="117"/>
      <c r="LFQ71" s="117"/>
      <c r="LFR71" s="117"/>
      <c r="LFS71" s="117"/>
      <c r="LFT71" s="117"/>
      <c r="LFU71" s="117"/>
      <c r="LFV71" s="117"/>
      <c r="LFW71" s="117"/>
      <c r="LFX71" s="117"/>
      <c r="LFY71" s="117"/>
      <c r="LFZ71" s="117"/>
      <c r="LGA71" s="117"/>
      <c r="LGB71" s="117"/>
      <c r="LGC71" s="117"/>
      <c r="LGD71" s="117"/>
      <c r="LGE71" s="117"/>
      <c r="LGF71" s="117"/>
      <c r="LGG71" s="117"/>
      <c r="LGH71" s="117"/>
      <c r="LGI71" s="117"/>
      <c r="LGJ71" s="117"/>
      <c r="LGK71" s="117"/>
      <c r="LGL71" s="117"/>
      <c r="LGM71" s="117"/>
      <c r="LGN71" s="117"/>
      <c r="LGO71" s="117"/>
      <c r="LGP71" s="117"/>
      <c r="LGQ71" s="117"/>
      <c r="LGR71" s="117"/>
      <c r="LGS71" s="117"/>
      <c r="LGT71" s="117"/>
      <c r="LGU71" s="117"/>
      <c r="LGV71" s="117"/>
      <c r="LGW71" s="117"/>
      <c r="LGX71" s="117"/>
      <c r="LGY71" s="117"/>
      <c r="LGZ71" s="117"/>
      <c r="LHA71" s="117"/>
      <c r="LHB71" s="117"/>
      <c r="LHC71" s="117"/>
      <c r="LHD71" s="117"/>
      <c r="LHE71" s="117"/>
      <c r="LHF71" s="117"/>
      <c r="LHG71" s="117"/>
      <c r="LHH71" s="117"/>
      <c r="LHI71" s="117"/>
      <c r="LHJ71" s="117"/>
      <c r="LHK71" s="117"/>
      <c r="LHL71" s="117"/>
      <c r="LHM71" s="117"/>
      <c r="LHN71" s="117"/>
      <c r="LHO71" s="117"/>
      <c r="LHP71" s="117"/>
      <c r="LHQ71" s="117"/>
      <c r="LHR71" s="117"/>
      <c r="LHS71" s="117"/>
      <c r="LHT71" s="117"/>
      <c r="LHU71" s="117"/>
      <c r="LHV71" s="117"/>
      <c r="LHW71" s="117"/>
      <c r="LHX71" s="117"/>
      <c r="LHY71" s="117"/>
      <c r="LHZ71" s="117"/>
      <c r="LIA71" s="117"/>
      <c r="LIB71" s="117"/>
      <c r="LIC71" s="117"/>
      <c r="LID71" s="117"/>
      <c r="LIE71" s="117"/>
      <c r="LIF71" s="117"/>
      <c r="LIG71" s="117"/>
      <c r="LIH71" s="117"/>
      <c r="LII71" s="117"/>
      <c r="LIJ71" s="117"/>
      <c r="LIK71" s="117"/>
      <c r="LIL71" s="117"/>
      <c r="LIM71" s="117"/>
      <c r="LIN71" s="117"/>
      <c r="LIO71" s="117"/>
      <c r="LIP71" s="117"/>
      <c r="LIQ71" s="117"/>
      <c r="LIR71" s="117"/>
      <c r="LIS71" s="117"/>
      <c r="LIT71" s="117"/>
      <c r="LIU71" s="117"/>
      <c r="LIV71" s="117"/>
      <c r="LIW71" s="117"/>
      <c r="LIX71" s="117"/>
      <c r="LIY71" s="117"/>
      <c r="LIZ71" s="117"/>
      <c r="LJA71" s="117"/>
      <c r="LJB71" s="117"/>
      <c r="LJC71" s="117"/>
      <c r="LJD71" s="117"/>
      <c r="LJE71" s="117"/>
      <c r="LJF71" s="117"/>
      <c r="LJG71" s="117"/>
      <c r="LJH71" s="117"/>
      <c r="LJI71" s="117"/>
      <c r="LJJ71" s="117"/>
      <c r="LJK71" s="117"/>
      <c r="LJL71" s="117"/>
      <c r="LJM71" s="117"/>
      <c r="LJN71" s="117"/>
      <c r="LJO71" s="117"/>
      <c r="LJP71" s="117"/>
      <c r="LJQ71" s="117"/>
      <c r="LJR71" s="117"/>
      <c r="LJS71" s="117"/>
      <c r="LJT71" s="117"/>
      <c r="LJU71" s="117"/>
      <c r="LJV71" s="117"/>
      <c r="LJW71" s="117"/>
      <c r="LJX71" s="117"/>
      <c r="LJY71" s="117"/>
      <c r="LJZ71" s="117"/>
      <c r="LKA71" s="117"/>
      <c r="LKB71" s="117"/>
      <c r="LKC71" s="117"/>
      <c r="LKD71" s="117"/>
      <c r="LKE71" s="117"/>
      <c r="LKF71" s="117"/>
      <c r="LKG71" s="117"/>
      <c r="LKH71" s="117"/>
      <c r="LKI71" s="117"/>
      <c r="LKJ71" s="117"/>
      <c r="LKK71" s="117"/>
      <c r="LKL71" s="117"/>
      <c r="LKM71" s="117"/>
      <c r="LKN71" s="117"/>
      <c r="LKO71" s="117"/>
      <c r="LKP71" s="117"/>
      <c r="LKQ71" s="117"/>
      <c r="LKR71" s="117"/>
      <c r="LKS71" s="117"/>
      <c r="LKT71" s="117"/>
      <c r="LKU71" s="117"/>
      <c r="LKV71" s="117"/>
      <c r="LKW71" s="117"/>
      <c r="LKX71" s="117"/>
      <c r="LKY71" s="117"/>
      <c r="LKZ71" s="117"/>
      <c r="LLA71" s="117"/>
      <c r="LLB71" s="117"/>
      <c r="LLC71" s="117"/>
      <c r="LLD71" s="117"/>
      <c r="LLE71" s="117"/>
      <c r="LLF71" s="117"/>
      <c r="LLG71" s="117"/>
      <c r="LLH71" s="117"/>
      <c r="LLI71" s="117"/>
      <c r="LLJ71" s="117"/>
      <c r="LLK71" s="117"/>
      <c r="LLL71" s="117"/>
      <c r="LLM71" s="117"/>
      <c r="LLN71" s="117"/>
      <c r="LLO71" s="117"/>
      <c r="LLP71" s="117"/>
      <c r="LLQ71" s="117"/>
      <c r="LLR71" s="117"/>
      <c r="LLS71" s="117"/>
      <c r="LLT71" s="117"/>
      <c r="LLU71" s="117"/>
      <c r="LLV71" s="117"/>
      <c r="LLW71" s="117"/>
      <c r="LLX71" s="117"/>
      <c r="LLY71" s="117"/>
      <c r="LLZ71" s="117"/>
      <c r="LMA71" s="117"/>
      <c r="LMB71" s="117"/>
      <c r="LMC71" s="117"/>
      <c r="LMD71" s="117"/>
      <c r="LME71" s="117"/>
      <c r="LMF71" s="117"/>
      <c r="LMG71" s="117"/>
      <c r="LMH71" s="117"/>
      <c r="LMI71" s="117"/>
      <c r="LMJ71" s="117"/>
      <c r="LMK71" s="117"/>
      <c r="LML71" s="117"/>
      <c r="LMM71" s="117"/>
      <c r="LMN71" s="117"/>
      <c r="LMO71" s="117"/>
      <c r="LMP71" s="117"/>
      <c r="LMQ71" s="117"/>
      <c r="LMR71" s="117"/>
      <c r="LMS71" s="117"/>
      <c r="LMT71" s="117"/>
      <c r="LMU71" s="117"/>
      <c r="LMV71" s="117"/>
      <c r="LMW71" s="117"/>
      <c r="LMX71" s="117"/>
      <c r="LMY71" s="117"/>
      <c r="LMZ71" s="117"/>
      <c r="LNA71" s="117"/>
      <c r="LNB71" s="117"/>
      <c r="LNC71" s="117"/>
      <c r="LND71" s="117"/>
      <c r="LNE71" s="117"/>
      <c r="LNF71" s="117"/>
      <c r="LNG71" s="117"/>
      <c r="LNH71" s="117"/>
      <c r="LNI71" s="117"/>
      <c r="LNJ71" s="117"/>
      <c r="LNK71" s="117"/>
      <c r="LNL71" s="117"/>
      <c r="LNM71" s="117"/>
      <c r="LNN71" s="117"/>
      <c r="LNO71" s="117"/>
      <c r="LNP71" s="117"/>
      <c r="LNQ71" s="117"/>
      <c r="LNR71" s="117"/>
      <c r="LNS71" s="117"/>
      <c r="LNT71" s="117"/>
      <c r="LNU71" s="117"/>
      <c r="LNV71" s="117"/>
      <c r="LNW71" s="117"/>
      <c r="LNX71" s="117"/>
      <c r="LNY71" s="117"/>
      <c r="LNZ71" s="117"/>
      <c r="LOA71" s="117"/>
      <c r="LOB71" s="117"/>
      <c r="LOC71" s="117"/>
      <c r="LOD71" s="117"/>
      <c r="LOE71" s="117"/>
      <c r="LOF71" s="117"/>
      <c r="LOG71" s="117"/>
      <c r="LOH71" s="117"/>
      <c r="LOI71" s="117"/>
      <c r="LOJ71" s="117"/>
      <c r="LOK71" s="117"/>
      <c r="LOL71" s="117"/>
      <c r="LOM71" s="117"/>
      <c r="LON71" s="117"/>
      <c r="LOO71" s="117"/>
      <c r="LOP71" s="117"/>
      <c r="LOQ71" s="117"/>
      <c r="LOR71" s="117"/>
      <c r="LOS71" s="117"/>
      <c r="LOT71" s="117"/>
      <c r="LOU71" s="117"/>
      <c r="LOV71" s="117"/>
      <c r="LOW71" s="117"/>
      <c r="LOX71" s="117"/>
      <c r="LOY71" s="117"/>
      <c r="LOZ71" s="117"/>
      <c r="LPA71" s="117"/>
      <c r="LPB71" s="117"/>
      <c r="LPC71" s="117"/>
      <c r="LPD71" s="117"/>
      <c r="LPE71" s="117"/>
      <c r="LPF71" s="117"/>
      <c r="LPG71" s="117"/>
      <c r="LPH71" s="117"/>
      <c r="LPI71" s="117"/>
      <c r="LPJ71" s="117"/>
      <c r="LPK71" s="117"/>
      <c r="LPL71" s="117"/>
      <c r="LPM71" s="117"/>
      <c r="LPN71" s="117"/>
      <c r="LPO71" s="117"/>
      <c r="LPP71" s="117"/>
      <c r="LPQ71" s="117"/>
      <c r="LPR71" s="117"/>
      <c r="LPS71" s="117"/>
      <c r="LPT71" s="117"/>
      <c r="LPU71" s="117"/>
      <c r="LPV71" s="117"/>
      <c r="LPW71" s="117"/>
      <c r="LPX71" s="117"/>
      <c r="LPY71" s="117"/>
      <c r="LPZ71" s="117"/>
      <c r="LQA71" s="117"/>
      <c r="LQB71" s="117"/>
      <c r="LQC71" s="117"/>
      <c r="LQD71" s="117"/>
      <c r="LQE71" s="117"/>
      <c r="LQF71" s="117"/>
      <c r="LQG71" s="117"/>
      <c r="LQH71" s="117"/>
      <c r="LQI71" s="117"/>
      <c r="LQJ71" s="117"/>
      <c r="LQK71" s="117"/>
      <c r="LQL71" s="117"/>
      <c r="LQM71" s="117"/>
      <c r="LQN71" s="117"/>
      <c r="LQO71" s="117"/>
      <c r="LQP71" s="117"/>
      <c r="LQQ71" s="117"/>
      <c r="LQR71" s="117"/>
      <c r="LQS71" s="117"/>
      <c r="LQT71" s="117"/>
      <c r="LQU71" s="117"/>
      <c r="LQV71" s="117"/>
      <c r="LQW71" s="117"/>
      <c r="LQX71" s="117"/>
      <c r="LQY71" s="117"/>
      <c r="LQZ71" s="117"/>
      <c r="LRA71" s="117"/>
      <c r="LRB71" s="117"/>
      <c r="LRC71" s="117"/>
      <c r="LRD71" s="117"/>
      <c r="LRE71" s="117"/>
      <c r="LRF71" s="117"/>
      <c r="LRG71" s="117"/>
      <c r="LRH71" s="117"/>
      <c r="LRI71" s="117"/>
      <c r="LRJ71" s="117"/>
      <c r="LRK71" s="117"/>
      <c r="LRL71" s="117"/>
      <c r="LRM71" s="117"/>
      <c r="LRN71" s="117"/>
      <c r="LRO71" s="117"/>
      <c r="LRP71" s="117"/>
      <c r="LRQ71" s="117"/>
      <c r="LRR71" s="117"/>
      <c r="LRS71" s="117"/>
      <c r="LRT71" s="117"/>
      <c r="LRU71" s="117"/>
      <c r="LRV71" s="117"/>
      <c r="LRW71" s="117"/>
      <c r="LRX71" s="117"/>
      <c r="LRY71" s="117"/>
      <c r="LRZ71" s="117"/>
      <c r="LSA71" s="117"/>
      <c r="LSB71" s="117"/>
      <c r="LSC71" s="117"/>
      <c r="LSD71" s="117"/>
      <c r="LSE71" s="117"/>
      <c r="LSF71" s="117"/>
      <c r="LSG71" s="117"/>
      <c r="LSH71" s="117"/>
      <c r="LSI71" s="117"/>
      <c r="LSJ71" s="117"/>
      <c r="LSK71" s="117"/>
      <c r="LSL71" s="117"/>
      <c r="LSM71" s="117"/>
      <c r="LSN71" s="117"/>
      <c r="LSO71" s="117"/>
      <c r="LSP71" s="117"/>
      <c r="LSQ71" s="117"/>
      <c r="LSR71" s="117"/>
      <c r="LSS71" s="117"/>
      <c r="LST71" s="117"/>
      <c r="LSU71" s="117"/>
      <c r="LSV71" s="117"/>
      <c r="LSW71" s="117"/>
      <c r="LSX71" s="117"/>
      <c r="LSY71" s="117"/>
      <c r="LSZ71" s="117"/>
      <c r="LTA71" s="117"/>
      <c r="LTB71" s="117"/>
      <c r="LTC71" s="117"/>
      <c r="LTD71" s="117"/>
      <c r="LTE71" s="117"/>
      <c r="LTF71" s="117"/>
      <c r="LTG71" s="117"/>
      <c r="LTH71" s="117"/>
      <c r="LTI71" s="117"/>
      <c r="LTJ71" s="117"/>
      <c r="LTK71" s="117"/>
      <c r="LTL71" s="117"/>
      <c r="LTM71" s="117"/>
      <c r="LTN71" s="117"/>
      <c r="LTO71" s="117"/>
      <c r="LTP71" s="117"/>
      <c r="LTQ71" s="117"/>
      <c r="LTR71" s="117"/>
      <c r="LTS71" s="117"/>
      <c r="LTT71" s="117"/>
      <c r="LTU71" s="117"/>
      <c r="LTV71" s="117"/>
      <c r="LTW71" s="117"/>
      <c r="LTX71" s="117"/>
      <c r="LTY71" s="117"/>
      <c r="LTZ71" s="117"/>
      <c r="LUA71" s="117"/>
      <c r="LUB71" s="117"/>
      <c r="LUC71" s="117"/>
      <c r="LUD71" s="117"/>
      <c r="LUE71" s="117"/>
      <c r="LUF71" s="117"/>
      <c r="LUG71" s="117"/>
      <c r="LUH71" s="117"/>
      <c r="LUI71" s="117"/>
      <c r="LUJ71" s="117"/>
      <c r="LUK71" s="117"/>
      <c r="LUL71" s="117"/>
      <c r="LUM71" s="117"/>
      <c r="LUN71" s="117"/>
      <c r="LUO71" s="117"/>
      <c r="LUP71" s="117"/>
      <c r="LUQ71" s="117"/>
      <c r="LUR71" s="117"/>
      <c r="LUS71" s="117"/>
      <c r="LUT71" s="117"/>
      <c r="LUU71" s="117"/>
      <c r="LUV71" s="117"/>
      <c r="LUW71" s="117"/>
      <c r="LUX71" s="117"/>
      <c r="LUY71" s="117"/>
      <c r="LUZ71" s="117"/>
      <c r="LVA71" s="117"/>
      <c r="LVB71" s="117"/>
      <c r="LVC71" s="117"/>
      <c r="LVD71" s="117"/>
      <c r="LVE71" s="117"/>
      <c r="LVF71" s="117"/>
      <c r="LVG71" s="117"/>
      <c r="LVH71" s="117"/>
      <c r="LVI71" s="117"/>
      <c r="LVJ71" s="117"/>
      <c r="LVK71" s="117"/>
      <c r="LVL71" s="117"/>
      <c r="LVM71" s="117"/>
      <c r="LVN71" s="117"/>
      <c r="LVO71" s="117"/>
      <c r="LVP71" s="117"/>
      <c r="LVQ71" s="117"/>
      <c r="LVR71" s="117"/>
      <c r="LVS71" s="117"/>
      <c r="LVT71" s="117"/>
      <c r="LVU71" s="117"/>
      <c r="LVV71" s="117"/>
      <c r="LVW71" s="117"/>
      <c r="LVX71" s="117"/>
      <c r="LVY71" s="117"/>
      <c r="LVZ71" s="117"/>
      <c r="LWA71" s="117"/>
      <c r="LWB71" s="117"/>
      <c r="LWC71" s="117"/>
      <c r="LWD71" s="117"/>
      <c r="LWE71" s="117"/>
      <c r="LWF71" s="117"/>
      <c r="LWG71" s="117"/>
      <c r="LWH71" s="117"/>
      <c r="LWI71" s="117"/>
      <c r="LWJ71" s="117"/>
      <c r="LWK71" s="117"/>
      <c r="LWL71" s="117"/>
      <c r="LWM71" s="117"/>
      <c r="LWN71" s="117"/>
      <c r="LWO71" s="117"/>
      <c r="LWP71" s="117"/>
      <c r="LWQ71" s="117"/>
      <c r="LWR71" s="117"/>
      <c r="LWS71" s="117"/>
      <c r="LWT71" s="117"/>
      <c r="LWU71" s="117"/>
      <c r="LWV71" s="117"/>
      <c r="LWW71" s="117"/>
      <c r="LWX71" s="117"/>
      <c r="LWY71" s="117"/>
      <c r="LWZ71" s="117"/>
      <c r="LXA71" s="117"/>
      <c r="LXB71" s="117"/>
      <c r="LXC71" s="117"/>
      <c r="LXD71" s="117"/>
      <c r="LXE71" s="117"/>
      <c r="LXF71" s="117"/>
      <c r="LXG71" s="117"/>
      <c r="LXH71" s="117"/>
      <c r="LXI71" s="117"/>
      <c r="LXJ71" s="117"/>
      <c r="LXK71" s="117"/>
      <c r="LXL71" s="117"/>
      <c r="LXM71" s="117"/>
      <c r="LXN71" s="117"/>
      <c r="LXO71" s="117"/>
      <c r="LXP71" s="117"/>
      <c r="LXQ71" s="117"/>
      <c r="LXR71" s="117"/>
      <c r="LXS71" s="117"/>
      <c r="LXT71" s="117"/>
      <c r="LXU71" s="117"/>
      <c r="LXV71" s="117"/>
      <c r="LXW71" s="117"/>
      <c r="LXX71" s="117"/>
      <c r="LXY71" s="117"/>
      <c r="LXZ71" s="117"/>
      <c r="LYA71" s="117"/>
      <c r="LYB71" s="117"/>
      <c r="LYC71" s="117"/>
      <c r="LYD71" s="117"/>
      <c r="LYE71" s="117"/>
      <c r="LYF71" s="117"/>
      <c r="LYG71" s="117"/>
      <c r="LYH71" s="117"/>
      <c r="LYI71" s="117"/>
      <c r="LYJ71" s="117"/>
      <c r="LYK71" s="117"/>
      <c r="LYL71" s="117"/>
      <c r="LYM71" s="117"/>
      <c r="LYN71" s="117"/>
      <c r="LYO71" s="117"/>
      <c r="LYP71" s="117"/>
      <c r="LYQ71" s="117"/>
      <c r="LYR71" s="117"/>
      <c r="LYS71" s="117"/>
      <c r="LYT71" s="117"/>
      <c r="LYU71" s="117"/>
      <c r="LYV71" s="117"/>
      <c r="LYW71" s="117"/>
      <c r="LYX71" s="117"/>
      <c r="LYY71" s="117"/>
      <c r="LYZ71" s="117"/>
      <c r="LZA71" s="117"/>
      <c r="LZB71" s="117"/>
      <c r="LZC71" s="117"/>
      <c r="LZD71" s="117"/>
      <c r="LZE71" s="117"/>
      <c r="LZF71" s="117"/>
      <c r="LZG71" s="117"/>
      <c r="LZH71" s="117"/>
      <c r="LZI71" s="117"/>
      <c r="LZJ71" s="117"/>
      <c r="LZK71" s="117"/>
      <c r="LZL71" s="117"/>
      <c r="LZM71" s="117"/>
      <c r="LZN71" s="117"/>
      <c r="LZO71" s="117"/>
      <c r="LZP71" s="117"/>
      <c r="LZQ71" s="117"/>
      <c r="LZR71" s="117"/>
      <c r="LZS71" s="117"/>
      <c r="LZT71" s="117"/>
      <c r="LZU71" s="117"/>
      <c r="LZV71" s="117"/>
      <c r="LZW71" s="117"/>
      <c r="LZX71" s="117"/>
      <c r="LZY71" s="117"/>
      <c r="LZZ71" s="117"/>
      <c r="MAA71" s="117"/>
      <c r="MAB71" s="117"/>
      <c r="MAC71" s="117"/>
      <c r="MAD71" s="117"/>
      <c r="MAE71" s="117"/>
      <c r="MAF71" s="117"/>
      <c r="MAG71" s="117"/>
      <c r="MAH71" s="117"/>
      <c r="MAI71" s="117"/>
      <c r="MAJ71" s="117"/>
      <c r="MAK71" s="117"/>
      <c r="MAL71" s="117"/>
      <c r="MAM71" s="117"/>
      <c r="MAN71" s="117"/>
      <c r="MAO71" s="117"/>
      <c r="MAP71" s="117"/>
      <c r="MAQ71" s="117"/>
      <c r="MAR71" s="117"/>
      <c r="MAS71" s="117"/>
      <c r="MAT71" s="117"/>
      <c r="MAU71" s="117"/>
      <c r="MAV71" s="117"/>
      <c r="MAW71" s="117"/>
      <c r="MAX71" s="117"/>
      <c r="MAY71" s="117"/>
      <c r="MAZ71" s="117"/>
      <c r="MBA71" s="117"/>
      <c r="MBB71" s="117"/>
      <c r="MBC71" s="117"/>
      <c r="MBD71" s="117"/>
      <c r="MBE71" s="117"/>
      <c r="MBF71" s="117"/>
      <c r="MBG71" s="117"/>
      <c r="MBH71" s="117"/>
      <c r="MBI71" s="117"/>
      <c r="MBJ71" s="117"/>
      <c r="MBK71" s="117"/>
      <c r="MBL71" s="117"/>
      <c r="MBM71" s="117"/>
      <c r="MBN71" s="117"/>
      <c r="MBO71" s="117"/>
      <c r="MBP71" s="117"/>
      <c r="MBQ71" s="117"/>
      <c r="MBR71" s="117"/>
      <c r="MBS71" s="117"/>
      <c r="MBT71" s="117"/>
      <c r="MBU71" s="117"/>
      <c r="MBV71" s="117"/>
      <c r="MBW71" s="117"/>
      <c r="MBX71" s="117"/>
      <c r="MBY71" s="117"/>
      <c r="MBZ71" s="117"/>
      <c r="MCA71" s="117"/>
      <c r="MCB71" s="117"/>
      <c r="MCC71" s="117"/>
      <c r="MCD71" s="117"/>
      <c r="MCE71" s="117"/>
      <c r="MCF71" s="117"/>
      <c r="MCG71" s="117"/>
      <c r="MCH71" s="117"/>
      <c r="MCI71" s="117"/>
      <c r="MCJ71" s="117"/>
      <c r="MCK71" s="117"/>
      <c r="MCL71" s="117"/>
      <c r="MCM71" s="117"/>
      <c r="MCN71" s="117"/>
      <c r="MCO71" s="117"/>
      <c r="MCP71" s="117"/>
      <c r="MCQ71" s="117"/>
      <c r="MCR71" s="117"/>
      <c r="MCS71" s="117"/>
      <c r="MCT71" s="117"/>
      <c r="MCU71" s="117"/>
      <c r="MCV71" s="117"/>
      <c r="MCW71" s="117"/>
      <c r="MCX71" s="117"/>
      <c r="MCY71" s="117"/>
      <c r="MCZ71" s="117"/>
      <c r="MDA71" s="117"/>
      <c r="MDB71" s="117"/>
      <c r="MDC71" s="117"/>
      <c r="MDD71" s="117"/>
      <c r="MDE71" s="117"/>
      <c r="MDF71" s="117"/>
      <c r="MDG71" s="117"/>
      <c r="MDH71" s="117"/>
      <c r="MDI71" s="117"/>
      <c r="MDJ71" s="117"/>
      <c r="MDK71" s="117"/>
      <c r="MDL71" s="117"/>
      <c r="MDM71" s="117"/>
      <c r="MDN71" s="117"/>
      <c r="MDO71" s="117"/>
      <c r="MDP71" s="117"/>
      <c r="MDQ71" s="117"/>
      <c r="MDR71" s="117"/>
      <c r="MDS71" s="117"/>
      <c r="MDT71" s="117"/>
      <c r="MDU71" s="117"/>
      <c r="MDV71" s="117"/>
      <c r="MDW71" s="117"/>
      <c r="MDX71" s="117"/>
      <c r="MDY71" s="117"/>
      <c r="MDZ71" s="117"/>
      <c r="MEA71" s="117"/>
      <c r="MEB71" s="117"/>
      <c r="MEC71" s="117"/>
      <c r="MED71" s="117"/>
      <c r="MEE71" s="117"/>
      <c r="MEF71" s="117"/>
      <c r="MEG71" s="117"/>
      <c r="MEH71" s="117"/>
      <c r="MEI71" s="117"/>
      <c r="MEJ71" s="117"/>
      <c r="MEK71" s="117"/>
      <c r="MEL71" s="117"/>
      <c r="MEM71" s="117"/>
      <c r="MEN71" s="117"/>
      <c r="MEO71" s="117"/>
      <c r="MEP71" s="117"/>
      <c r="MEQ71" s="117"/>
      <c r="MER71" s="117"/>
      <c r="MES71" s="117"/>
      <c r="MET71" s="117"/>
      <c r="MEU71" s="117"/>
      <c r="MEV71" s="117"/>
      <c r="MEW71" s="117"/>
      <c r="MEX71" s="117"/>
      <c r="MEY71" s="117"/>
      <c r="MEZ71" s="117"/>
      <c r="MFA71" s="117"/>
      <c r="MFB71" s="117"/>
      <c r="MFC71" s="117"/>
      <c r="MFD71" s="117"/>
      <c r="MFE71" s="117"/>
      <c r="MFF71" s="117"/>
      <c r="MFG71" s="117"/>
      <c r="MFH71" s="117"/>
      <c r="MFI71" s="117"/>
      <c r="MFJ71" s="117"/>
      <c r="MFK71" s="117"/>
      <c r="MFL71" s="117"/>
      <c r="MFM71" s="117"/>
      <c r="MFN71" s="117"/>
      <c r="MFO71" s="117"/>
      <c r="MFP71" s="117"/>
      <c r="MFQ71" s="117"/>
      <c r="MFR71" s="117"/>
      <c r="MFS71" s="117"/>
      <c r="MFT71" s="117"/>
      <c r="MFU71" s="117"/>
      <c r="MFV71" s="117"/>
      <c r="MFW71" s="117"/>
      <c r="MFX71" s="117"/>
      <c r="MFY71" s="117"/>
      <c r="MFZ71" s="117"/>
      <c r="MGA71" s="117"/>
      <c r="MGB71" s="117"/>
      <c r="MGC71" s="117"/>
      <c r="MGD71" s="117"/>
      <c r="MGE71" s="117"/>
      <c r="MGF71" s="117"/>
      <c r="MGG71" s="117"/>
      <c r="MGH71" s="117"/>
      <c r="MGI71" s="117"/>
      <c r="MGJ71" s="117"/>
      <c r="MGK71" s="117"/>
      <c r="MGL71" s="117"/>
      <c r="MGM71" s="117"/>
      <c r="MGN71" s="117"/>
      <c r="MGO71" s="117"/>
      <c r="MGP71" s="117"/>
      <c r="MGQ71" s="117"/>
      <c r="MGR71" s="117"/>
      <c r="MGS71" s="117"/>
      <c r="MGT71" s="117"/>
      <c r="MGU71" s="117"/>
      <c r="MGV71" s="117"/>
      <c r="MGW71" s="117"/>
      <c r="MGX71" s="117"/>
      <c r="MGY71" s="117"/>
      <c r="MGZ71" s="117"/>
      <c r="MHA71" s="117"/>
      <c r="MHB71" s="117"/>
      <c r="MHC71" s="117"/>
      <c r="MHD71" s="117"/>
      <c r="MHE71" s="117"/>
      <c r="MHF71" s="117"/>
      <c r="MHG71" s="117"/>
      <c r="MHH71" s="117"/>
      <c r="MHI71" s="117"/>
      <c r="MHJ71" s="117"/>
      <c r="MHK71" s="117"/>
      <c r="MHL71" s="117"/>
      <c r="MHM71" s="117"/>
      <c r="MHN71" s="117"/>
      <c r="MHO71" s="117"/>
      <c r="MHP71" s="117"/>
      <c r="MHQ71" s="117"/>
      <c r="MHR71" s="117"/>
      <c r="MHS71" s="117"/>
      <c r="MHT71" s="117"/>
      <c r="MHU71" s="117"/>
      <c r="MHV71" s="117"/>
      <c r="MHW71" s="117"/>
      <c r="MHX71" s="117"/>
      <c r="MHY71" s="117"/>
      <c r="MHZ71" s="117"/>
      <c r="MIA71" s="117"/>
      <c r="MIB71" s="117"/>
      <c r="MIC71" s="117"/>
      <c r="MID71" s="117"/>
      <c r="MIE71" s="117"/>
      <c r="MIF71" s="117"/>
      <c r="MIG71" s="117"/>
      <c r="MIH71" s="117"/>
      <c r="MII71" s="117"/>
      <c r="MIJ71" s="117"/>
      <c r="MIK71" s="117"/>
      <c r="MIL71" s="117"/>
      <c r="MIM71" s="117"/>
      <c r="MIN71" s="117"/>
      <c r="MIO71" s="117"/>
      <c r="MIP71" s="117"/>
      <c r="MIQ71" s="117"/>
      <c r="MIR71" s="117"/>
      <c r="MIS71" s="117"/>
      <c r="MIT71" s="117"/>
      <c r="MIU71" s="117"/>
      <c r="MIV71" s="117"/>
      <c r="MIW71" s="117"/>
      <c r="MIX71" s="117"/>
      <c r="MIY71" s="117"/>
      <c r="MIZ71" s="117"/>
      <c r="MJA71" s="117"/>
      <c r="MJB71" s="117"/>
      <c r="MJC71" s="117"/>
      <c r="MJD71" s="117"/>
      <c r="MJE71" s="117"/>
      <c r="MJF71" s="117"/>
      <c r="MJG71" s="117"/>
      <c r="MJH71" s="117"/>
      <c r="MJI71" s="117"/>
      <c r="MJJ71" s="117"/>
      <c r="MJK71" s="117"/>
      <c r="MJL71" s="117"/>
      <c r="MJM71" s="117"/>
      <c r="MJN71" s="117"/>
      <c r="MJO71" s="117"/>
      <c r="MJP71" s="117"/>
      <c r="MJQ71" s="117"/>
      <c r="MJR71" s="117"/>
      <c r="MJS71" s="117"/>
      <c r="MJT71" s="117"/>
      <c r="MJU71" s="117"/>
      <c r="MJV71" s="117"/>
      <c r="MJW71" s="117"/>
      <c r="MJX71" s="117"/>
      <c r="MJY71" s="117"/>
      <c r="MJZ71" s="117"/>
      <c r="MKA71" s="117"/>
      <c r="MKB71" s="117"/>
      <c r="MKC71" s="117"/>
      <c r="MKD71" s="117"/>
      <c r="MKE71" s="117"/>
      <c r="MKF71" s="117"/>
      <c r="MKG71" s="117"/>
      <c r="MKH71" s="117"/>
      <c r="MKI71" s="117"/>
      <c r="MKJ71" s="117"/>
      <c r="MKK71" s="117"/>
      <c r="MKL71" s="117"/>
      <c r="MKM71" s="117"/>
      <c r="MKN71" s="117"/>
      <c r="MKO71" s="117"/>
      <c r="MKP71" s="117"/>
      <c r="MKQ71" s="117"/>
      <c r="MKR71" s="117"/>
      <c r="MKS71" s="117"/>
      <c r="MKT71" s="117"/>
      <c r="MKU71" s="117"/>
      <c r="MKV71" s="117"/>
      <c r="MKW71" s="117"/>
      <c r="MKX71" s="117"/>
      <c r="MKY71" s="117"/>
      <c r="MKZ71" s="117"/>
      <c r="MLA71" s="117"/>
      <c r="MLB71" s="117"/>
      <c r="MLC71" s="117"/>
      <c r="MLD71" s="117"/>
      <c r="MLE71" s="117"/>
      <c r="MLF71" s="117"/>
      <c r="MLG71" s="117"/>
      <c r="MLH71" s="117"/>
      <c r="MLI71" s="117"/>
      <c r="MLJ71" s="117"/>
      <c r="MLK71" s="117"/>
      <c r="MLL71" s="117"/>
      <c r="MLM71" s="117"/>
      <c r="MLN71" s="117"/>
      <c r="MLO71" s="117"/>
      <c r="MLP71" s="117"/>
      <c r="MLQ71" s="117"/>
      <c r="MLR71" s="117"/>
      <c r="MLS71" s="117"/>
      <c r="MLT71" s="117"/>
      <c r="MLU71" s="117"/>
      <c r="MLV71" s="117"/>
      <c r="MLW71" s="117"/>
      <c r="MLX71" s="117"/>
      <c r="MLY71" s="117"/>
      <c r="MLZ71" s="117"/>
      <c r="MMA71" s="117"/>
      <c r="MMB71" s="117"/>
      <c r="MMC71" s="117"/>
      <c r="MMD71" s="117"/>
      <c r="MME71" s="117"/>
      <c r="MMF71" s="117"/>
      <c r="MMG71" s="117"/>
      <c r="MMH71" s="117"/>
      <c r="MMI71" s="117"/>
      <c r="MMJ71" s="117"/>
      <c r="MMK71" s="117"/>
      <c r="MML71" s="117"/>
      <c r="MMM71" s="117"/>
      <c r="MMN71" s="117"/>
      <c r="MMO71" s="117"/>
      <c r="MMP71" s="117"/>
      <c r="MMQ71" s="117"/>
      <c r="MMR71" s="117"/>
      <c r="MMS71" s="117"/>
      <c r="MMT71" s="117"/>
      <c r="MMU71" s="117"/>
      <c r="MMV71" s="117"/>
      <c r="MMW71" s="117"/>
      <c r="MMX71" s="117"/>
      <c r="MMY71" s="117"/>
      <c r="MMZ71" s="117"/>
      <c r="MNA71" s="117"/>
      <c r="MNB71" s="117"/>
      <c r="MNC71" s="117"/>
      <c r="MND71" s="117"/>
      <c r="MNE71" s="117"/>
      <c r="MNF71" s="117"/>
      <c r="MNG71" s="117"/>
      <c r="MNH71" s="117"/>
      <c r="MNI71" s="117"/>
      <c r="MNJ71" s="117"/>
      <c r="MNK71" s="117"/>
      <c r="MNL71" s="117"/>
      <c r="MNM71" s="117"/>
      <c r="MNN71" s="117"/>
      <c r="MNO71" s="117"/>
      <c r="MNP71" s="117"/>
      <c r="MNQ71" s="117"/>
      <c r="MNR71" s="117"/>
      <c r="MNS71" s="117"/>
      <c r="MNT71" s="117"/>
      <c r="MNU71" s="117"/>
      <c r="MNV71" s="117"/>
      <c r="MNW71" s="117"/>
      <c r="MNX71" s="117"/>
      <c r="MNY71" s="117"/>
      <c r="MNZ71" s="117"/>
      <c r="MOA71" s="117"/>
      <c r="MOB71" s="117"/>
      <c r="MOC71" s="117"/>
      <c r="MOD71" s="117"/>
      <c r="MOE71" s="117"/>
      <c r="MOF71" s="117"/>
      <c r="MOG71" s="117"/>
      <c r="MOH71" s="117"/>
      <c r="MOI71" s="117"/>
      <c r="MOJ71" s="117"/>
      <c r="MOK71" s="117"/>
      <c r="MOL71" s="117"/>
      <c r="MOM71" s="117"/>
      <c r="MON71" s="117"/>
      <c r="MOO71" s="117"/>
      <c r="MOP71" s="117"/>
      <c r="MOQ71" s="117"/>
      <c r="MOR71" s="117"/>
      <c r="MOS71" s="117"/>
      <c r="MOT71" s="117"/>
      <c r="MOU71" s="117"/>
      <c r="MOV71" s="117"/>
      <c r="MOW71" s="117"/>
      <c r="MOX71" s="117"/>
      <c r="MOY71" s="117"/>
      <c r="MOZ71" s="117"/>
      <c r="MPA71" s="117"/>
      <c r="MPB71" s="117"/>
      <c r="MPC71" s="117"/>
      <c r="MPD71" s="117"/>
      <c r="MPE71" s="117"/>
      <c r="MPF71" s="117"/>
      <c r="MPG71" s="117"/>
      <c r="MPH71" s="117"/>
      <c r="MPI71" s="117"/>
      <c r="MPJ71" s="117"/>
      <c r="MPK71" s="117"/>
      <c r="MPL71" s="117"/>
      <c r="MPM71" s="117"/>
      <c r="MPN71" s="117"/>
      <c r="MPO71" s="117"/>
      <c r="MPP71" s="117"/>
      <c r="MPQ71" s="117"/>
      <c r="MPR71" s="117"/>
      <c r="MPS71" s="117"/>
      <c r="MPT71" s="117"/>
      <c r="MPU71" s="117"/>
      <c r="MPV71" s="117"/>
      <c r="MPW71" s="117"/>
      <c r="MPX71" s="117"/>
      <c r="MPY71" s="117"/>
      <c r="MPZ71" s="117"/>
      <c r="MQA71" s="117"/>
      <c r="MQB71" s="117"/>
      <c r="MQC71" s="117"/>
      <c r="MQD71" s="117"/>
      <c r="MQE71" s="117"/>
      <c r="MQF71" s="117"/>
      <c r="MQG71" s="117"/>
      <c r="MQH71" s="117"/>
      <c r="MQI71" s="117"/>
      <c r="MQJ71" s="117"/>
      <c r="MQK71" s="117"/>
      <c r="MQL71" s="117"/>
      <c r="MQM71" s="117"/>
      <c r="MQN71" s="117"/>
      <c r="MQO71" s="117"/>
      <c r="MQP71" s="117"/>
      <c r="MQQ71" s="117"/>
      <c r="MQR71" s="117"/>
      <c r="MQS71" s="117"/>
      <c r="MQT71" s="117"/>
      <c r="MQU71" s="117"/>
      <c r="MQV71" s="117"/>
      <c r="MQW71" s="117"/>
      <c r="MQX71" s="117"/>
      <c r="MQY71" s="117"/>
      <c r="MQZ71" s="117"/>
      <c r="MRA71" s="117"/>
      <c r="MRB71" s="117"/>
      <c r="MRC71" s="117"/>
      <c r="MRD71" s="117"/>
      <c r="MRE71" s="117"/>
      <c r="MRF71" s="117"/>
      <c r="MRG71" s="117"/>
      <c r="MRH71" s="117"/>
      <c r="MRI71" s="117"/>
      <c r="MRJ71" s="117"/>
      <c r="MRK71" s="117"/>
      <c r="MRL71" s="117"/>
      <c r="MRM71" s="117"/>
      <c r="MRN71" s="117"/>
      <c r="MRO71" s="117"/>
      <c r="MRP71" s="117"/>
      <c r="MRQ71" s="117"/>
      <c r="MRR71" s="117"/>
      <c r="MRS71" s="117"/>
      <c r="MRT71" s="117"/>
      <c r="MRU71" s="117"/>
      <c r="MRV71" s="117"/>
      <c r="MRW71" s="117"/>
      <c r="MRX71" s="117"/>
      <c r="MRY71" s="117"/>
      <c r="MRZ71" s="117"/>
      <c r="MSA71" s="117"/>
      <c r="MSB71" s="117"/>
      <c r="MSC71" s="117"/>
      <c r="MSD71" s="117"/>
      <c r="MSE71" s="117"/>
      <c r="MSF71" s="117"/>
      <c r="MSG71" s="117"/>
      <c r="MSH71" s="117"/>
      <c r="MSI71" s="117"/>
      <c r="MSJ71" s="117"/>
      <c r="MSK71" s="117"/>
      <c r="MSL71" s="117"/>
      <c r="MSM71" s="117"/>
      <c r="MSN71" s="117"/>
      <c r="MSO71" s="117"/>
      <c r="MSP71" s="117"/>
      <c r="MSQ71" s="117"/>
      <c r="MSR71" s="117"/>
      <c r="MSS71" s="117"/>
      <c r="MST71" s="117"/>
      <c r="MSU71" s="117"/>
      <c r="MSV71" s="117"/>
      <c r="MSW71" s="117"/>
      <c r="MSX71" s="117"/>
      <c r="MSY71" s="117"/>
      <c r="MSZ71" s="117"/>
      <c r="MTA71" s="117"/>
      <c r="MTB71" s="117"/>
      <c r="MTC71" s="117"/>
      <c r="MTD71" s="117"/>
      <c r="MTE71" s="117"/>
      <c r="MTF71" s="117"/>
      <c r="MTG71" s="117"/>
      <c r="MTH71" s="117"/>
      <c r="MTI71" s="117"/>
      <c r="MTJ71" s="117"/>
      <c r="MTK71" s="117"/>
      <c r="MTL71" s="117"/>
      <c r="MTM71" s="117"/>
      <c r="MTN71" s="117"/>
      <c r="MTO71" s="117"/>
      <c r="MTP71" s="117"/>
      <c r="MTQ71" s="117"/>
      <c r="MTR71" s="117"/>
      <c r="MTS71" s="117"/>
      <c r="MTT71" s="117"/>
      <c r="MTU71" s="117"/>
      <c r="MTV71" s="117"/>
      <c r="MTW71" s="117"/>
      <c r="MTX71" s="117"/>
      <c r="MTY71" s="117"/>
      <c r="MTZ71" s="117"/>
      <c r="MUA71" s="117"/>
      <c r="MUB71" s="117"/>
      <c r="MUC71" s="117"/>
      <c r="MUD71" s="117"/>
      <c r="MUE71" s="117"/>
      <c r="MUF71" s="117"/>
      <c r="MUG71" s="117"/>
      <c r="MUH71" s="117"/>
      <c r="MUI71" s="117"/>
      <c r="MUJ71" s="117"/>
      <c r="MUK71" s="117"/>
      <c r="MUL71" s="117"/>
      <c r="MUM71" s="117"/>
      <c r="MUN71" s="117"/>
      <c r="MUO71" s="117"/>
      <c r="MUP71" s="117"/>
      <c r="MUQ71" s="117"/>
      <c r="MUR71" s="117"/>
      <c r="MUS71" s="117"/>
      <c r="MUT71" s="117"/>
      <c r="MUU71" s="117"/>
      <c r="MUV71" s="117"/>
      <c r="MUW71" s="117"/>
      <c r="MUX71" s="117"/>
      <c r="MUY71" s="117"/>
      <c r="MUZ71" s="117"/>
      <c r="MVA71" s="117"/>
      <c r="MVB71" s="117"/>
      <c r="MVC71" s="117"/>
      <c r="MVD71" s="117"/>
      <c r="MVE71" s="117"/>
      <c r="MVF71" s="117"/>
      <c r="MVG71" s="117"/>
      <c r="MVH71" s="117"/>
      <c r="MVI71" s="117"/>
      <c r="MVJ71" s="117"/>
      <c r="MVK71" s="117"/>
      <c r="MVL71" s="117"/>
      <c r="MVM71" s="117"/>
      <c r="MVN71" s="117"/>
      <c r="MVO71" s="117"/>
      <c r="MVP71" s="117"/>
      <c r="MVQ71" s="117"/>
      <c r="MVR71" s="117"/>
      <c r="MVS71" s="117"/>
      <c r="MVT71" s="117"/>
      <c r="MVU71" s="117"/>
      <c r="MVV71" s="117"/>
      <c r="MVW71" s="117"/>
      <c r="MVX71" s="117"/>
      <c r="MVY71" s="117"/>
      <c r="MVZ71" s="117"/>
      <c r="MWA71" s="117"/>
      <c r="MWB71" s="117"/>
      <c r="MWC71" s="117"/>
      <c r="MWD71" s="117"/>
      <c r="MWE71" s="117"/>
      <c r="MWF71" s="117"/>
      <c r="MWG71" s="117"/>
      <c r="MWH71" s="117"/>
      <c r="MWI71" s="117"/>
      <c r="MWJ71" s="117"/>
      <c r="MWK71" s="117"/>
      <c r="MWL71" s="117"/>
      <c r="MWM71" s="117"/>
      <c r="MWN71" s="117"/>
      <c r="MWO71" s="117"/>
      <c r="MWP71" s="117"/>
      <c r="MWQ71" s="117"/>
      <c r="MWR71" s="117"/>
      <c r="MWS71" s="117"/>
      <c r="MWT71" s="117"/>
      <c r="MWU71" s="117"/>
      <c r="MWV71" s="117"/>
      <c r="MWW71" s="117"/>
      <c r="MWX71" s="117"/>
      <c r="MWY71" s="117"/>
      <c r="MWZ71" s="117"/>
      <c r="MXA71" s="117"/>
      <c r="MXB71" s="117"/>
      <c r="MXC71" s="117"/>
      <c r="MXD71" s="117"/>
      <c r="MXE71" s="117"/>
      <c r="MXF71" s="117"/>
      <c r="MXG71" s="117"/>
      <c r="MXH71" s="117"/>
      <c r="MXI71" s="117"/>
      <c r="MXJ71" s="117"/>
      <c r="MXK71" s="117"/>
      <c r="MXL71" s="117"/>
      <c r="MXM71" s="117"/>
      <c r="MXN71" s="117"/>
      <c r="MXO71" s="117"/>
      <c r="MXP71" s="117"/>
      <c r="MXQ71" s="117"/>
      <c r="MXR71" s="117"/>
      <c r="MXS71" s="117"/>
      <c r="MXT71" s="117"/>
      <c r="MXU71" s="117"/>
      <c r="MXV71" s="117"/>
      <c r="MXW71" s="117"/>
      <c r="MXX71" s="117"/>
      <c r="MXY71" s="117"/>
      <c r="MXZ71" s="117"/>
      <c r="MYA71" s="117"/>
      <c r="MYB71" s="117"/>
      <c r="MYC71" s="117"/>
      <c r="MYD71" s="117"/>
      <c r="MYE71" s="117"/>
      <c r="MYF71" s="117"/>
      <c r="MYG71" s="117"/>
      <c r="MYH71" s="117"/>
      <c r="MYI71" s="117"/>
      <c r="MYJ71" s="117"/>
      <c r="MYK71" s="117"/>
      <c r="MYL71" s="117"/>
      <c r="MYM71" s="117"/>
      <c r="MYN71" s="117"/>
      <c r="MYO71" s="117"/>
      <c r="MYP71" s="117"/>
      <c r="MYQ71" s="117"/>
      <c r="MYR71" s="117"/>
      <c r="MYS71" s="117"/>
      <c r="MYT71" s="117"/>
      <c r="MYU71" s="117"/>
      <c r="MYV71" s="117"/>
      <c r="MYW71" s="117"/>
      <c r="MYX71" s="117"/>
      <c r="MYY71" s="117"/>
      <c r="MYZ71" s="117"/>
      <c r="MZA71" s="117"/>
      <c r="MZB71" s="117"/>
      <c r="MZC71" s="117"/>
      <c r="MZD71" s="117"/>
      <c r="MZE71" s="117"/>
      <c r="MZF71" s="117"/>
      <c r="MZG71" s="117"/>
      <c r="MZH71" s="117"/>
      <c r="MZI71" s="117"/>
      <c r="MZJ71" s="117"/>
      <c r="MZK71" s="117"/>
      <c r="MZL71" s="117"/>
      <c r="MZM71" s="117"/>
      <c r="MZN71" s="117"/>
      <c r="MZO71" s="117"/>
      <c r="MZP71" s="117"/>
      <c r="MZQ71" s="117"/>
      <c r="MZR71" s="117"/>
      <c r="MZS71" s="117"/>
      <c r="MZT71" s="117"/>
      <c r="MZU71" s="117"/>
      <c r="MZV71" s="117"/>
      <c r="MZW71" s="117"/>
      <c r="MZX71" s="117"/>
      <c r="MZY71" s="117"/>
      <c r="MZZ71" s="117"/>
      <c r="NAA71" s="117"/>
      <c r="NAB71" s="117"/>
      <c r="NAC71" s="117"/>
      <c r="NAD71" s="117"/>
      <c r="NAE71" s="117"/>
      <c r="NAF71" s="117"/>
      <c r="NAG71" s="117"/>
      <c r="NAH71" s="117"/>
      <c r="NAI71" s="117"/>
      <c r="NAJ71" s="117"/>
      <c r="NAK71" s="117"/>
      <c r="NAL71" s="117"/>
      <c r="NAM71" s="117"/>
      <c r="NAN71" s="117"/>
      <c r="NAO71" s="117"/>
      <c r="NAP71" s="117"/>
      <c r="NAQ71" s="117"/>
      <c r="NAR71" s="117"/>
      <c r="NAS71" s="117"/>
      <c r="NAT71" s="117"/>
      <c r="NAU71" s="117"/>
      <c r="NAV71" s="117"/>
      <c r="NAW71" s="117"/>
      <c r="NAX71" s="117"/>
      <c r="NAY71" s="117"/>
      <c r="NAZ71" s="117"/>
      <c r="NBA71" s="117"/>
      <c r="NBB71" s="117"/>
      <c r="NBC71" s="117"/>
      <c r="NBD71" s="117"/>
      <c r="NBE71" s="117"/>
      <c r="NBF71" s="117"/>
      <c r="NBG71" s="117"/>
      <c r="NBH71" s="117"/>
      <c r="NBI71" s="117"/>
      <c r="NBJ71" s="117"/>
      <c r="NBK71" s="117"/>
      <c r="NBL71" s="117"/>
      <c r="NBM71" s="117"/>
      <c r="NBN71" s="117"/>
      <c r="NBO71" s="117"/>
      <c r="NBP71" s="117"/>
      <c r="NBQ71" s="117"/>
      <c r="NBR71" s="117"/>
      <c r="NBS71" s="117"/>
      <c r="NBT71" s="117"/>
      <c r="NBU71" s="117"/>
      <c r="NBV71" s="117"/>
      <c r="NBW71" s="117"/>
      <c r="NBX71" s="117"/>
      <c r="NBY71" s="117"/>
      <c r="NBZ71" s="117"/>
      <c r="NCA71" s="117"/>
      <c r="NCB71" s="117"/>
      <c r="NCC71" s="117"/>
      <c r="NCD71" s="117"/>
      <c r="NCE71" s="117"/>
      <c r="NCF71" s="117"/>
      <c r="NCG71" s="117"/>
      <c r="NCH71" s="117"/>
      <c r="NCI71" s="117"/>
      <c r="NCJ71" s="117"/>
      <c r="NCK71" s="117"/>
      <c r="NCL71" s="117"/>
      <c r="NCM71" s="117"/>
      <c r="NCN71" s="117"/>
      <c r="NCO71" s="117"/>
      <c r="NCP71" s="117"/>
      <c r="NCQ71" s="117"/>
      <c r="NCR71" s="117"/>
      <c r="NCS71" s="117"/>
      <c r="NCT71" s="117"/>
      <c r="NCU71" s="117"/>
      <c r="NCV71" s="117"/>
      <c r="NCW71" s="117"/>
      <c r="NCX71" s="117"/>
      <c r="NCY71" s="117"/>
      <c r="NCZ71" s="117"/>
      <c r="NDA71" s="117"/>
      <c r="NDB71" s="117"/>
      <c r="NDC71" s="117"/>
      <c r="NDD71" s="117"/>
      <c r="NDE71" s="117"/>
      <c r="NDF71" s="117"/>
      <c r="NDG71" s="117"/>
      <c r="NDH71" s="117"/>
      <c r="NDI71" s="117"/>
      <c r="NDJ71" s="117"/>
      <c r="NDK71" s="117"/>
      <c r="NDL71" s="117"/>
      <c r="NDM71" s="117"/>
      <c r="NDN71" s="117"/>
      <c r="NDO71" s="117"/>
      <c r="NDP71" s="117"/>
      <c r="NDQ71" s="117"/>
      <c r="NDR71" s="117"/>
      <c r="NDS71" s="117"/>
      <c r="NDT71" s="117"/>
      <c r="NDU71" s="117"/>
      <c r="NDV71" s="117"/>
      <c r="NDW71" s="117"/>
      <c r="NDX71" s="117"/>
      <c r="NDY71" s="117"/>
      <c r="NDZ71" s="117"/>
      <c r="NEA71" s="117"/>
      <c r="NEB71" s="117"/>
      <c r="NEC71" s="117"/>
      <c r="NED71" s="117"/>
      <c r="NEE71" s="117"/>
      <c r="NEF71" s="117"/>
      <c r="NEG71" s="117"/>
      <c r="NEH71" s="117"/>
      <c r="NEI71" s="117"/>
      <c r="NEJ71" s="117"/>
      <c r="NEK71" s="117"/>
      <c r="NEL71" s="117"/>
      <c r="NEM71" s="117"/>
      <c r="NEN71" s="117"/>
      <c r="NEO71" s="117"/>
      <c r="NEP71" s="117"/>
      <c r="NEQ71" s="117"/>
      <c r="NER71" s="117"/>
      <c r="NES71" s="117"/>
      <c r="NET71" s="117"/>
      <c r="NEU71" s="117"/>
      <c r="NEV71" s="117"/>
      <c r="NEW71" s="117"/>
      <c r="NEX71" s="117"/>
      <c r="NEY71" s="117"/>
      <c r="NEZ71" s="117"/>
      <c r="NFA71" s="117"/>
      <c r="NFB71" s="117"/>
      <c r="NFC71" s="117"/>
      <c r="NFD71" s="117"/>
      <c r="NFE71" s="117"/>
      <c r="NFF71" s="117"/>
      <c r="NFG71" s="117"/>
      <c r="NFH71" s="117"/>
      <c r="NFI71" s="117"/>
      <c r="NFJ71" s="117"/>
      <c r="NFK71" s="117"/>
      <c r="NFL71" s="117"/>
      <c r="NFM71" s="117"/>
      <c r="NFN71" s="117"/>
      <c r="NFO71" s="117"/>
      <c r="NFP71" s="117"/>
      <c r="NFQ71" s="117"/>
      <c r="NFR71" s="117"/>
      <c r="NFS71" s="117"/>
      <c r="NFT71" s="117"/>
      <c r="NFU71" s="117"/>
      <c r="NFV71" s="117"/>
      <c r="NFW71" s="117"/>
      <c r="NFX71" s="117"/>
      <c r="NFY71" s="117"/>
      <c r="NFZ71" s="117"/>
      <c r="NGA71" s="117"/>
      <c r="NGB71" s="117"/>
      <c r="NGC71" s="117"/>
      <c r="NGD71" s="117"/>
      <c r="NGE71" s="117"/>
      <c r="NGF71" s="117"/>
      <c r="NGG71" s="117"/>
      <c r="NGH71" s="117"/>
      <c r="NGI71" s="117"/>
      <c r="NGJ71" s="117"/>
      <c r="NGK71" s="117"/>
      <c r="NGL71" s="117"/>
      <c r="NGM71" s="117"/>
      <c r="NGN71" s="117"/>
      <c r="NGO71" s="117"/>
      <c r="NGP71" s="117"/>
      <c r="NGQ71" s="117"/>
      <c r="NGR71" s="117"/>
      <c r="NGS71" s="117"/>
      <c r="NGT71" s="117"/>
      <c r="NGU71" s="117"/>
      <c r="NGV71" s="117"/>
      <c r="NGW71" s="117"/>
      <c r="NGX71" s="117"/>
      <c r="NGY71" s="117"/>
      <c r="NGZ71" s="117"/>
      <c r="NHA71" s="117"/>
      <c r="NHB71" s="117"/>
      <c r="NHC71" s="117"/>
      <c r="NHD71" s="117"/>
      <c r="NHE71" s="117"/>
      <c r="NHF71" s="117"/>
      <c r="NHG71" s="117"/>
      <c r="NHH71" s="117"/>
      <c r="NHI71" s="117"/>
      <c r="NHJ71" s="117"/>
      <c r="NHK71" s="117"/>
      <c r="NHL71" s="117"/>
      <c r="NHM71" s="117"/>
      <c r="NHN71" s="117"/>
      <c r="NHO71" s="117"/>
      <c r="NHP71" s="117"/>
      <c r="NHQ71" s="117"/>
      <c r="NHR71" s="117"/>
      <c r="NHS71" s="117"/>
      <c r="NHT71" s="117"/>
      <c r="NHU71" s="117"/>
      <c r="NHV71" s="117"/>
      <c r="NHW71" s="117"/>
      <c r="NHX71" s="117"/>
      <c r="NHY71" s="117"/>
      <c r="NHZ71" s="117"/>
      <c r="NIA71" s="117"/>
      <c r="NIB71" s="117"/>
      <c r="NIC71" s="117"/>
      <c r="NID71" s="117"/>
      <c r="NIE71" s="117"/>
      <c r="NIF71" s="117"/>
      <c r="NIG71" s="117"/>
      <c r="NIH71" s="117"/>
      <c r="NII71" s="117"/>
      <c r="NIJ71" s="117"/>
      <c r="NIK71" s="117"/>
      <c r="NIL71" s="117"/>
      <c r="NIM71" s="117"/>
      <c r="NIN71" s="117"/>
      <c r="NIO71" s="117"/>
      <c r="NIP71" s="117"/>
      <c r="NIQ71" s="117"/>
      <c r="NIR71" s="117"/>
      <c r="NIS71" s="117"/>
      <c r="NIT71" s="117"/>
      <c r="NIU71" s="117"/>
      <c r="NIV71" s="117"/>
      <c r="NIW71" s="117"/>
      <c r="NIX71" s="117"/>
      <c r="NIY71" s="117"/>
      <c r="NIZ71" s="117"/>
      <c r="NJA71" s="117"/>
      <c r="NJB71" s="117"/>
      <c r="NJC71" s="117"/>
      <c r="NJD71" s="117"/>
      <c r="NJE71" s="117"/>
      <c r="NJF71" s="117"/>
      <c r="NJG71" s="117"/>
      <c r="NJH71" s="117"/>
      <c r="NJI71" s="117"/>
      <c r="NJJ71" s="117"/>
      <c r="NJK71" s="117"/>
      <c r="NJL71" s="117"/>
      <c r="NJM71" s="117"/>
      <c r="NJN71" s="117"/>
      <c r="NJO71" s="117"/>
      <c r="NJP71" s="117"/>
      <c r="NJQ71" s="117"/>
      <c r="NJR71" s="117"/>
      <c r="NJS71" s="117"/>
      <c r="NJT71" s="117"/>
      <c r="NJU71" s="117"/>
      <c r="NJV71" s="117"/>
      <c r="NJW71" s="117"/>
      <c r="NJX71" s="117"/>
      <c r="NJY71" s="117"/>
      <c r="NJZ71" s="117"/>
      <c r="NKA71" s="117"/>
      <c r="NKB71" s="117"/>
      <c r="NKC71" s="117"/>
      <c r="NKD71" s="117"/>
      <c r="NKE71" s="117"/>
      <c r="NKF71" s="117"/>
      <c r="NKG71" s="117"/>
      <c r="NKH71" s="117"/>
      <c r="NKI71" s="117"/>
      <c r="NKJ71" s="117"/>
      <c r="NKK71" s="117"/>
      <c r="NKL71" s="117"/>
      <c r="NKM71" s="117"/>
      <c r="NKN71" s="117"/>
      <c r="NKO71" s="117"/>
      <c r="NKP71" s="117"/>
      <c r="NKQ71" s="117"/>
      <c r="NKR71" s="117"/>
      <c r="NKS71" s="117"/>
      <c r="NKT71" s="117"/>
      <c r="NKU71" s="117"/>
      <c r="NKV71" s="117"/>
      <c r="NKW71" s="117"/>
      <c r="NKX71" s="117"/>
      <c r="NKY71" s="117"/>
      <c r="NKZ71" s="117"/>
      <c r="NLA71" s="117"/>
      <c r="NLB71" s="117"/>
      <c r="NLC71" s="117"/>
      <c r="NLD71" s="117"/>
      <c r="NLE71" s="117"/>
      <c r="NLF71" s="117"/>
      <c r="NLG71" s="117"/>
      <c r="NLH71" s="117"/>
      <c r="NLI71" s="117"/>
      <c r="NLJ71" s="117"/>
      <c r="NLK71" s="117"/>
      <c r="NLL71" s="117"/>
      <c r="NLM71" s="117"/>
      <c r="NLN71" s="117"/>
      <c r="NLO71" s="117"/>
      <c r="NLP71" s="117"/>
      <c r="NLQ71" s="117"/>
      <c r="NLR71" s="117"/>
      <c r="NLS71" s="117"/>
      <c r="NLT71" s="117"/>
      <c r="NLU71" s="117"/>
      <c r="NLV71" s="117"/>
      <c r="NLW71" s="117"/>
      <c r="NLX71" s="117"/>
      <c r="NLY71" s="117"/>
      <c r="NLZ71" s="117"/>
      <c r="NMA71" s="117"/>
      <c r="NMB71" s="117"/>
      <c r="NMC71" s="117"/>
      <c r="NMD71" s="117"/>
      <c r="NME71" s="117"/>
      <c r="NMF71" s="117"/>
      <c r="NMG71" s="117"/>
      <c r="NMH71" s="117"/>
      <c r="NMI71" s="117"/>
      <c r="NMJ71" s="117"/>
      <c r="NMK71" s="117"/>
      <c r="NML71" s="117"/>
      <c r="NMM71" s="117"/>
      <c r="NMN71" s="117"/>
      <c r="NMO71" s="117"/>
      <c r="NMP71" s="117"/>
      <c r="NMQ71" s="117"/>
      <c r="NMR71" s="117"/>
      <c r="NMS71" s="117"/>
      <c r="NMT71" s="117"/>
      <c r="NMU71" s="117"/>
      <c r="NMV71" s="117"/>
      <c r="NMW71" s="117"/>
      <c r="NMX71" s="117"/>
      <c r="NMY71" s="117"/>
      <c r="NMZ71" s="117"/>
      <c r="NNA71" s="117"/>
      <c r="NNB71" s="117"/>
      <c r="NNC71" s="117"/>
      <c r="NND71" s="117"/>
      <c r="NNE71" s="117"/>
      <c r="NNF71" s="117"/>
      <c r="NNG71" s="117"/>
      <c r="NNH71" s="117"/>
      <c r="NNI71" s="117"/>
      <c r="NNJ71" s="117"/>
      <c r="NNK71" s="117"/>
      <c r="NNL71" s="117"/>
      <c r="NNM71" s="117"/>
      <c r="NNN71" s="117"/>
      <c r="NNO71" s="117"/>
      <c r="NNP71" s="117"/>
      <c r="NNQ71" s="117"/>
      <c r="NNR71" s="117"/>
      <c r="NNS71" s="117"/>
      <c r="NNT71" s="117"/>
      <c r="NNU71" s="117"/>
      <c r="NNV71" s="117"/>
      <c r="NNW71" s="117"/>
      <c r="NNX71" s="117"/>
      <c r="NNY71" s="117"/>
      <c r="NNZ71" s="117"/>
      <c r="NOA71" s="117"/>
      <c r="NOB71" s="117"/>
      <c r="NOC71" s="117"/>
      <c r="NOD71" s="117"/>
      <c r="NOE71" s="117"/>
      <c r="NOF71" s="117"/>
      <c r="NOG71" s="117"/>
      <c r="NOH71" s="117"/>
      <c r="NOI71" s="117"/>
      <c r="NOJ71" s="117"/>
      <c r="NOK71" s="117"/>
      <c r="NOL71" s="117"/>
      <c r="NOM71" s="117"/>
      <c r="NON71" s="117"/>
      <c r="NOO71" s="117"/>
      <c r="NOP71" s="117"/>
      <c r="NOQ71" s="117"/>
      <c r="NOR71" s="117"/>
      <c r="NOS71" s="117"/>
      <c r="NOT71" s="117"/>
      <c r="NOU71" s="117"/>
      <c r="NOV71" s="117"/>
      <c r="NOW71" s="117"/>
      <c r="NOX71" s="117"/>
      <c r="NOY71" s="117"/>
      <c r="NOZ71" s="117"/>
      <c r="NPA71" s="117"/>
      <c r="NPB71" s="117"/>
      <c r="NPC71" s="117"/>
      <c r="NPD71" s="117"/>
      <c r="NPE71" s="117"/>
      <c r="NPF71" s="117"/>
      <c r="NPG71" s="117"/>
      <c r="NPH71" s="117"/>
      <c r="NPI71" s="117"/>
      <c r="NPJ71" s="117"/>
      <c r="NPK71" s="117"/>
      <c r="NPL71" s="117"/>
      <c r="NPM71" s="117"/>
      <c r="NPN71" s="117"/>
      <c r="NPO71" s="117"/>
      <c r="NPP71" s="117"/>
      <c r="NPQ71" s="117"/>
      <c r="NPR71" s="117"/>
      <c r="NPS71" s="117"/>
      <c r="NPT71" s="117"/>
      <c r="NPU71" s="117"/>
      <c r="NPV71" s="117"/>
      <c r="NPW71" s="117"/>
      <c r="NPX71" s="117"/>
      <c r="NPY71" s="117"/>
      <c r="NPZ71" s="117"/>
      <c r="NQA71" s="117"/>
      <c r="NQB71" s="117"/>
      <c r="NQC71" s="117"/>
      <c r="NQD71" s="117"/>
      <c r="NQE71" s="117"/>
      <c r="NQF71" s="117"/>
      <c r="NQG71" s="117"/>
      <c r="NQH71" s="117"/>
      <c r="NQI71" s="117"/>
      <c r="NQJ71" s="117"/>
      <c r="NQK71" s="117"/>
      <c r="NQL71" s="117"/>
      <c r="NQM71" s="117"/>
      <c r="NQN71" s="117"/>
      <c r="NQO71" s="117"/>
      <c r="NQP71" s="117"/>
      <c r="NQQ71" s="117"/>
      <c r="NQR71" s="117"/>
      <c r="NQS71" s="117"/>
      <c r="NQT71" s="117"/>
      <c r="NQU71" s="117"/>
      <c r="NQV71" s="117"/>
      <c r="NQW71" s="117"/>
      <c r="NQX71" s="117"/>
      <c r="NQY71" s="117"/>
      <c r="NQZ71" s="117"/>
      <c r="NRA71" s="117"/>
      <c r="NRB71" s="117"/>
      <c r="NRC71" s="117"/>
      <c r="NRD71" s="117"/>
      <c r="NRE71" s="117"/>
      <c r="NRF71" s="117"/>
      <c r="NRG71" s="117"/>
      <c r="NRH71" s="117"/>
      <c r="NRI71" s="117"/>
      <c r="NRJ71" s="117"/>
      <c r="NRK71" s="117"/>
      <c r="NRL71" s="117"/>
      <c r="NRM71" s="117"/>
      <c r="NRN71" s="117"/>
      <c r="NRO71" s="117"/>
      <c r="NRP71" s="117"/>
      <c r="NRQ71" s="117"/>
      <c r="NRR71" s="117"/>
      <c r="NRS71" s="117"/>
      <c r="NRT71" s="117"/>
      <c r="NRU71" s="117"/>
      <c r="NRV71" s="117"/>
      <c r="NRW71" s="117"/>
      <c r="NRX71" s="117"/>
      <c r="NRY71" s="117"/>
      <c r="NRZ71" s="117"/>
      <c r="NSA71" s="117"/>
      <c r="NSB71" s="117"/>
      <c r="NSC71" s="117"/>
      <c r="NSD71" s="117"/>
      <c r="NSE71" s="117"/>
      <c r="NSF71" s="117"/>
      <c r="NSG71" s="117"/>
      <c r="NSH71" s="117"/>
      <c r="NSI71" s="117"/>
      <c r="NSJ71" s="117"/>
      <c r="NSK71" s="117"/>
      <c r="NSL71" s="117"/>
      <c r="NSM71" s="117"/>
      <c r="NSN71" s="117"/>
      <c r="NSO71" s="117"/>
      <c r="NSP71" s="117"/>
      <c r="NSQ71" s="117"/>
      <c r="NSR71" s="117"/>
      <c r="NSS71" s="117"/>
      <c r="NST71" s="117"/>
      <c r="NSU71" s="117"/>
      <c r="NSV71" s="117"/>
      <c r="NSW71" s="117"/>
      <c r="NSX71" s="117"/>
      <c r="NSY71" s="117"/>
      <c r="NSZ71" s="117"/>
      <c r="NTA71" s="117"/>
      <c r="NTB71" s="117"/>
      <c r="NTC71" s="117"/>
      <c r="NTD71" s="117"/>
      <c r="NTE71" s="117"/>
      <c r="NTF71" s="117"/>
      <c r="NTG71" s="117"/>
      <c r="NTH71" s="117"/>
      <c r="NTI71" s="117"/>
      <c r="NTJ71" s="117"/>
      <c r="NTK71" s="117"/>
      <c r="NTL71" s="117"/>
      <c r="NTM71" s="117"/>
      <c r="NTN71" s="117"/>
      <c r="NTO71" s="117"/>
      <c r="NTP71" s="117"/>
      <c r="NTQ71" s="117"/>
      <c r="NTR71" s="117"/>
      <c r="NTS71" s="117"/>
      <c r="NTT71" s="117"/>
      <c r="NTU71" s="117"/>
      <c r="NTV71" s="117"/>
      <c r="NTW71" s="117"/>
      <c r="NTX71" s="117"/>
      <c r="NTY71" s="117"/>
      <c r="NTZ71" s="117"/>
      <c r="NUA71" s="117"/>
      <c r="NUB71" s="117"/>
      <c r="NUC71" s="117"/>
      <c r="NUD71" s="117"/>
      <c r="NUE71" s="117"/>
      <c r="NUF71" s="117"/>
      <c r="NUG71" s="117"/>
      <c r="NUH71" s="117"/>
      <c r="NUI71" s="117"/>
      <c r="NUJ71" s="117"/>
      <c r="NUK71" s="117"/>
      <c r="NUL71" s="117"/>
      <c r="NUM71" s="117"/>
      <c r="NUN71" s="117"/>
      <c r="NUO71" s="117"/>
      <c r="NUP71" s="117"/>
      <c r="NUQ71" s="117"/>
      <c r="NUR71" s="117"/>
      <c r="NUS71" s="117"/>
      <c r="NUT71" s="117"/>
      <c r="NUU71" s="117"/>
      <c r="NUV71" s="117"/>
      <c r="NUW71" s="117"/>
      <c r="NUX71" s="117"/>
      <c r="NUY71" s="117"/>
      <c r="NUZ71" s="117"/>
      <c r="NVA71" s="117"/>
      <c r="NVB71" s="117"/>
      <c r="NVC71" s="117"/>
      <c r="NVD71" s="117"/>
      <c r="NVE71" s="117"/>
      <c r="NVF71" s="117"/>
      <c r="NVG71" s="117"/>
      <c r="NVH71" s="117"/>
      <c r="NVI71" s="117"/>
      <c r="NVJ71" s="117"/>
      <c r="NVK71" s="117"/>
      <c r="NVL71" s="117"/>
      <c r="NVM71" s="117"/>
      <c r="NVN71" s="117"/>
      <c r="NVO71" s="117"/>
      <c r="NVP71" s="117"/>
      <c r="NVQ71" s="117"/>
      <c r="NVR71" s="117"/>
      <c r="NVS71" s="117"/>
      <c r="NVT71" s="117"/>
      <c r="NVU71" s="117"/>
      <c r="NVV71" s="117"/>
      <c r="NVW71" s="117"/>
      <c r="NVX71" s="117"/>
      <c r="NVY71" s="117"/>
      <c r="NVZ71" s="117"/>
      <c r="NWA71" s="117"/>
      <c r="NWB71" s="117"/>
      <c r="NWC71" s="117"/>
      <c r="NWD71" s="117"/>
      <c r="NWE71" s="117"/>
      <c r="NWF71" s="117"/>
      <c r="NWG71" s="117"/>
      <c r="NWH71" s="117"/>
      <c r="NWI71" s="117"/>
      <c r="NWJ71" s="117"/>
      <c r="NWK71" s="117"/>
      <c r="NWL71" s="117"/>
      <c r="NWM71" s="117"/>
      <c r="NWN71" s="117"/>
      <c r="NWO71" s="117"/>
      <c r="NWP71" s="117"/>
      <c r="NWQ71" s="117"/>
      <c r="NWR71" s="117"/>
      <c r="NWS71" s="117"/>
      <c r="NWT71" s="117"/>
      <c r="NWU71" s="117"/>
      <c r="NWV71" s="117"/>
      <c r="NWW71" s="117"/>
      <c r="NWX71" s="117"/>
      <c r="NWY71" s="117"/>
      <c r="NWZ71" s="117"/>
      <c r="NXA71" s="117"/>
      <c r="NXB71" s="117"/>
      <c r="NXC71" s="117"/>
      <c r="NXD71" s="117"/>
      <c r="NXE71" s="117"/>
      <c r="NXF71" s="117"/>
      <c r="NXG71" s="117"/>
      <c r="NXH71" s="117"/>
      <c r="NXI71" s="117"/>
      <c r="NXJ71" s="117"/>
      <c r="NXK71" s="117"/>
      <c r="NXL71" s="117"/>
      <c r="NXM71" s="117"/>
      <c r="NXN71" s="117"/>
      <c r="NXO71" s="117"/>
      <c r="NXP71" s="117"/>
      <c r="NXQ71" s="117"/>
      <c r="NXR71" s="117"/>
      <c r="NXS71" s="117"/>
      <c r="NXT71" s="117"/>
      <c r="NXU71" s="117"/>
      <c r="NXV71" s="117"/>
      <c r="NXW71" s="117"/>
      <c r="NXX71" s="117"/>
      <c r="NXY71" s="117"/>
      <c r="NXZ71" s="117"/>
      <c r="NYA71" s="117"/>
      <c r="NYB71" s="117"/>
      <c r="NYC71" s="117"/>
      <c r="NYD71" s="117"/>
      <c r="NYE71" s="117"/>
      <c r="NYF71" s="117"/>
      <c r="NYG71" s="117"/>
      <c r="NYH71" s="117"/>
      <c r="NYI71" s="117"/>
      <c r="NYJ71" s="117"/>
      <c r="NYK71" s="117"/>
      <c r="NYL71" s="117"/>
      <c r="NYM71" s="117"/>
      <c r="NYN71" s="117"/>
      <c r="NYO71" s="117"/>
      <c r="NYP71" s="117"/>
      <c r="NYQ71" s="117"/>
      <c r="NYR71" s="117"/>
      <c r="NYS71" s="117"/>
      <c r="NYT71" s="117"/>
      <c r="NYU71" s="117"/>
      <c r="NYV71" s="117"/>
      <c r="NYW71" s="117"/>
      <c r="NYX71" s="117"/>
      <c r="NYY71" s="117"/>
      <c r="NYZ71" s="117"/>
      <c r="NZA71" s="117"/>
      <c r="NZB71" s="117"/>
      <c r="NZC71" s="117"/>
      <c r="NZD71" s="117"/>
      <c r="NZE71" s="117"/>
      <c r="NZF71" s="117"/>
      <c r="NZG71" s="117"/>
      <c r="NZH71" s="117"/>
      <c r="NZI71" s="117"/>
      <c r="NZJ71" s="117"/>
      <c r="NZK71" s="117"/>
      <c r="NZL71" s="117"/>
      <c r="NZM71" s="117"/>
      <c r="NZN71" s="117"/>
      <c r="NZO71" s="117"/>
      <c r="NZP71" s="117"/>
      <c r="NZQ71" s="117"/>
      <c r="NZR71" s="117"/>
      <c r="NZS71" s="117"/>
      <c r="NZT71" s="117"/>
      <c r="NZU71" s="117"/>
      <c r="NZV71" s="117"/>
      <c r="NZW71" s="117"/>
      <c r="NZX71" s="117"/>
      <c r="NZY71" s="117"/>
      <c r="NZZ71" s="117"/>
      <c r="OAA71" s="117"/>
      <c r="OAB71" s="117"/>
      <c r="OAC71" s="117"/>
      <c r="OAD71" s="117"/>
      <c r="OAE71" s="117"/>
      <c r="OAF71" s="117"/>
      <c r="OAG71" s="117"/>
      <c r="OAH71" s="117"/>
      <c r="OAI71" s="117"/>
      <c r="OAJ71" s="117"/>
      <c r="OAK71" s="117"/>
      <c r="OAL71" s="117"/>
      <c r="OAM71" s="117"/>
      <c r="OAN71" s="117"/>
      <c r="OAO71" s="117"/>
      <c r="OAP71" s="117"/>
      <c r="OAQ71" s="117"/>
      <c r="OAR71" s="117"/>
      <c r="OAS71" s="117"/>
      <c r="OAT71" s="117"/>
      <c r="OAU71" s="117"/>
      <c r="OAV71" s="117"/>
      <c r="OAW71" s="117"/>
      <c r="OAX71" s="117"/>
      <c r="OAY71" s="117"/>
      <c r="OAZ71" s="117"/>
      <c r="OBA71" s="117"/>
      <c r="OBB71" s="117"/>
      <c r="OBC71" s="117"/>
      <c r="OBD71" s="117"/>
      <c r="OBE71" s="117"/>
      <c r="OBF71" s="117"/>
      <c r="OBG71" s="117"/>
      <c r="OBH71" s="117"/>
      <c r="OBI71" s="117"/>
      <c r="OBJ71" s="117"/>
      <c r="OBK71" s="117"/>
      <c r="OBL71" s="117"/>
      <c r="OBM71" s="117"/>
      <c r="OBN71" s="117"/>
      <c r="OBO71" s="117"/>
      <c r="OBP71" s="117"/>
      <c r="OBQ71" s="117"/>
      <c r="OBR71" s="117"/>
      <c r="OBS71" s="117"/>
      <c r="OBT71" s="117"/>
      <c r="OBU71" s="117"/>
      <c r="OBV71" s="117"/>
      <c r="OBW71" s="117"/>
      <c r="OBX71" s="117"/>
      <c r="OBY71" s="117"/>
      <c r="OBZ71" s="117"/>
      <c r="OCA71" s="117"/>
      <c r="OCB71" s="117"/>
      <c r="OCC71" s="117"/>
      <c r="OCD71" s="117"/>
      <c r="OCE71" s="117"/>
      <c r="OCF71" s="117"/>
      <c r="OCG71" s="117"/>
      <c r="OCH71" s="117"/>
      <c r="OCI71" s="117"/>
      <c r="OCJ71" s="117"/>
      <c r="OCK71" s="117"/>
      <c r="OCL71" s="117"/>
      <c r="OCM71" s="117"/>
      <c r="OCN71" s="117"/>
      <c r="OCO71" s="117"/>
      <c r="OCP71" s="117"/>
      <c r="OCQ71" s="117"/>
      <c r="OCR71" s="117"/>
      <c r="OCS71" s="117"/>
      <c r="OCT71" s="117"/>
      <c r="OCU71" s="117"/>
      <c r="OCV71" s="117"/>
      <c r="OCW71" s="117"/>
      <c r="OCX71" s="117"/>
      <c r="OCY71" s="117"/>
      <c r="OCZ71" s="117"/>
      <c r="ODA71" s="117"/>
      <c r="ODB71" s="117"/>
      <c r="ODC71" s="117"/>
      <c r="ODD71" s="117"/>
      <c r="ODE71" s="117"/>
      <c r="ODF71" s="117"/>
      <c r="ODG71" s="117"/>
      <c r="ODH71" s="117"/>
      <c r="ODI71" s="117"/>
      <c r="ODJ71" s="117"/>
      <c r="ODK71" s="117"/>
      <c r="ODL71" s="117"/>
      <c r="ODM71" s="117"/>
      <c r="ODN71" s="117"/>
      <c r="ODO71" s="117"/>
      <c r="ODP71" s="117"/>
      <c r="ODQ71" s="117"/>
      <c r="ODR71" s="117"/>
      <c r="ODS71" s="117"/>
      <c r="ODT71" s="117"/>
      <c r="ODU71" s="117"/>
      <c r="ODV71" s="117"/>
      <c r="ODW71" s="117"/>
      <c r="ODX71" s="117"/>
      <c r="ODY71" s="117"/>
      <c r="ODZ71" s="117"/>
      <c r="OEA71" s="117"/>
      <c r="OEB71" s="117"/>
      <c r="OEC71" s="117"/>
      <c r="OED71" s="117"/>
      <c r="OEE71" s="117"/>
      <c r="OEF71" s="117"/>
      <c r="OEG71" s="117"/>
      <c r="OEH71" s="117"/>
      <c r="OEI71" s="117"/>
      <c r="OEJ71" s="117"/>
      <c r="OEK71" s="117"/>
      <c r="OEL71" s="117"/>
      <c r="OEM71" s="117"/>
      <c r="OEN71" s="117"/>
      <c r="OEO71" s="117"/>
      <c r="OEP71" s="117"/>
      <c r="OEQ71" s="117"/>
      <c r="OER71" s="117"/>
      <c r="OES71" s="117"/>
      <c r="OET71" s="117"/>
      <c r="OEU71" s="117"/>
      <c r="OEV71" s="117"/>
      <c r="OEW71" s="117"/>
      <c r="OEX71" s="117"/>
      <c r="OEY71" s="117"/>
      <c r="OEZ71" s="117"/>
      <c r="OFA71" s="117"/>
      <c r="OFB71" s="117"/>
      <c r="OFC71" s="117"/>
      <c r="OFD71" s="117"/>
      <c r="OFE71" s="117"/>
      <c r="OFF71" s="117"/>
      <c r="OFG71" s="117"/>
      <c r="OFH71" s="117"/>
      <c r="OFI71" s="117"/>
      <c r="OFJ71" s="117"/>
      <c r="OFK71" s="117"/>
      <c r="OFL71" s="117"/>
      <c r="OFM71" s="117"/>
      <c r="OFN71" s="117"/>
      <c r="OFO71" s="117"/>
      <c r="OFP71" s="117"/>
      <c r="OFQ71" s="117"/>
      <c r="OFR71" s="117"/>
      <c r="OFS71" s="117"/>
      <c r="OFT71" s="117"/>
      <c r="OFU71" s="117"/>
      <c r="OFV71" s="117"/>
      <c r="OFW71" s="117"/>
      <c r="OFX71" s="117"/>
      <c r="OFY71" s="117"/>
      <c r="OFZ71" s="117"/>
      <c r="OGA71" s="117"/>
      <c r="OGB71" s="117"/>
      <c r="OGC71" s="117"/>
      <c r="OGD71" s="117"/>
      <c r="OGE71" s="117"/>
      <c r="OGF71" s="117"/>
      <c r="OGG71" s="117"/>
      <c r="OGH71" s="117"/>
      <c r="OGI71" s="117"/>
      <c r="OGJ71" s="117"/>
      <c r="OGK71" s="117"/>
      <c r="OGL71" s="117"/>
      <c r="OGM71" s="117"/>
      <c r="OGN71" s="117"/>
      <c r="OGO71" s="117"/>
      <c r="OGP71" s="117"/>
      <c r="OGQ71" s="117"/>
      <c r="OGR71" s="117"/>
      <c r="OGS71" s="117"/>
      <c r="OGT71" s="117"/>
      <c r="OGU71" s="117"/>
      <c r="OGV71" s="117"/>
      <c r="OGW71" s="117"/>
      <c r="OGX71" s="117"/>
      <c r="OGY71" s="117"/>
      <c r="OGZ71" s="117"/>
      <c r="OHA71" s="117"/>
      <c r="OHB71" s="117"/>
      <c r="OHC71" s="117"/>
      <c r="OHD71" s="117"/>
      <c r="OHE71" s="117"/>
      <c r="OHF71" s="117"/>
      <c r="OHG71" s="117"/>
      <c r="OHH71" s="117"/>
      <c r="OHI71" s="117"/>
      <c r="OHJ71" s="117"/>
      <c r="OHK71" s="117"/>
      <c r="OHL71" s="117"/>
      <c r="OHM71" s="117"/>
      <c r="OHN71" s="117"/>
      <c r="OHO71" s="117"/>
      <c r="OHP71" s="117"/>
      <c r="OHQ71" s="117"/>
      <c r="OHR71" s="117"/>
      <c r="OHS71" s="117"/>
      <c r="OHT71" s="117"/>
      <c r="OHU71" s="117"/>
      <c r="OHV71" s="117"/>
      <c r="OHW71" s="117"/>
      <c r="OHX71" s="117"/>
      <c r="OHY71" s="117"/>
      <c r="OHZ71" s="117"/>
      <c r="OIA71" s="117"/>
      <c r="OIB71" s="117"/>
      <c r="OIC71" s="117"/>
      <c r="OID71" s="117"/>
      <c r="OIE71" s="117"/>
      <c r="OIF71" s="117"/>
      <c r="OIG71" s="117"/>
      <c r="OIH71" s="117"/>
      <c r="OII71" s="117"/>
      <c r="OIJ71" s="117"/>
      <c r="OIK71" s="117"/>
      <c r="OIL71" s="117"/>
      <c r="OIM71" s="117"/>
      <c r="OIN71" s="117"/>
      <c r="OIO71" s="117"/>
      <c r="OIP71" s="117"/>
      <c r="OIQ71" s="117"/>
      <c r="OIR71" s="117"/>
      <c r="OIS71" s="117"/>
      <c r="OIT71" s="117"/>
      <c r="OIU71" s="117"/>
      <c r="OIV71" s="117"/>
      <c r="OIW71" s="117"/>
      <c r="OIX71" s="117"/>
      <c r="OIY71" s="117"/>
      <c r="OIZ71" s="117"/>
      <c r="OJA71" s="117"/>
      <c r="OJB71" s="117"/>
      <c r="OJC71" s="117"/>
      <c r="OJD71" s="117"/>
      <c r="OJE71" s="117"/>
      <c r="OJF71" s="117"/>
      <c r="OJG71" s="117"/>
      <c r="OJH71" s="117"/>
      <c r="OJI71" s="117"/>
      <c r="OJJ71" s="117"/>
      <c r="OJK71" s="117"/>
      <c r="OJL71" s="117"/>
      <c r="OJM71" s="117"/>
      <c r="OJN71" s="117"/>
      <c r="OJO71" s="117"/>
      <c r="OJP71" s="117"/>
      <c r="OJQ71" s="117"/>
      <c r="OJR71" s="117"/>
      <c r="OJS71" s="117"/>
      <c r="OJT71" s="117"/>
      <c r="OJU71" s="117"/>
      <c r="OJV71" s="117"/>
      <c r="OJW71" s="117"/>
      <c r="OJX71" s="117"/>
      <c r="OJY71" s="117"/>
      <c r="OJZ71" s="117"/>
      <c r="OKA71" s="117"/>
      <c r="OKB71" s="117"/>
      <c r="OKC71" s="117"/>
      <c r="OKD71" s="117"/>
      <c r="OKE71" s="117"/>
      <c r="OKF71" s="117"/>
      <c r="OKG71" s="117"/>
      <c r="OKH71" s="117"/>
      <c r="OKI71" s="117"/>
      <c r="OKJ71" s="117"/>
      <c r="OKK71" s="117"/>
      <c r="OKL71" s="117"/>
      <c r="OKM71" s="117"/>
      <c r="OKN71" s="117"/>
      <c r="OKO71" s="117"/>
      <c r="OKP71" s="117"/>
      <c r="OKQ71" s="117"/>
      <c r="OKR71" s="117"/>
      <c r="OKS71" s="117"/>
      <c r="OKT71" s="117"/>
      <c r="OKU71" s="117"/>
      <c r="OKV71" s="117"/>
      <c r="OKW71" s="117"/>
      <c r="OKX71" s="117"/>
      <c r="OKY71" s="117"/>
      <c r="OKZ71" s="117"/>
      <c r="OLA71" s="117"/>
      <c r="OLB71" s="117"/>
      <c r="OLC71" s="117"/>
      <c r="OLD71" s="117"/>
      <c r="OLE71" s="117"/>
      <c r="OLF71" s="117"/>
      <c r="OLG71" s="117"/>
      <c r="OLH71" s="117"/>
      <c r="OLI71" s="117"/>
      <c r="OLJ71" s="117"/>
      <c r="OLK71" s="117"/>
      <c r="OLL71" s="117"/>
      <c r="OLM71" s="117"/>
      <c r="OLN71" s="117"/>
      <c r="OLO71" s="117"/>
      <c r="OLP71" s="117"/>
      <c r="OLQ71" s="117"/>
      <c r="OLR71" s="117"/>
      <c r="OLS71" s="117"/>
      <c r="OLT71" s="117"/>
      <c r="OLU71" s="117"/>
      <c r="OLV71" s="117"/>
      <c r="OLW71" s="117"/>
      <c r="OLX71" s="117"/>
      <c r="OLY71" s="117"/>
      <c r="OLZ71" s="117"/>
      <c r="OMA71" s="117"/>
      <c r="OMB71" s="117"/>
      <c r="OMC71" s="117"/>
      <c r="OMD71" s="117"/>
      <c r="OME71" s="117"/>
      <c r="OMF71" s="117"/>
      <c r="OMG71" s="117"/>
      <c r="OMH71" s="117"/>
      <c r="OMI71" s="117"/>
      <c r="OMJ71" s="117"/>
      <c r="OMK71" s="117"/>
      <c r="OML71" s="117"/>
      <c r="OMM71" s="117"/>
      <c r="OMN71" s="117"/>
      <c r="OMO71" s="117"/>
      <c r="OMP71" s="117"/>
      <c r="OMQ71" s="117"/>
      <c r="OMR71" s="117"/>
      <c r="OMS71" s="117"/>
      <c r="OMT71" s="117"/>
      <c r="OMU71" s="117"/>
      <c r="OMV71" s="117"/>
      <c r="OMW71" s="117"/>
      <c r="OMX71" s="117"/>
      <c r="OMY71" s="117"/>
      <c r="OMZ71" s="117"/>
      <c r="ONA71" s="117"/>
      <c r="ONB71" s="117"/>
      <c r="ONC71" s="117"/>
      <c r="OND71" s="117"/>
      <c r="ONE71" s="117"/>
      <c r="ONF71" s="117"/>
      <c r="ONG71" s="117"/>
      <c r="ONH71" s="117"/>
      <c r="ONI71" s="117"/>
      <c r="ONJ71" s="117"/>
      <c r="ONK71" s="117"/>
      <c r="ONL71" s="117"/>
      <c r="ONM71" s="117"/>
      <c r="ONN71" s="117"/>
      <c r="ONO71" s="117"/>
      <c r="ONP71" s="117"/>
      <c r="ONQ71" s="117"/>
      <c r="ONR71" s="117"/>
      <c r="ONS71" s="117"/>
      <c r="ONT71" s="117"/>
      <c r="ONU71" s="117"/>
      <c r="ONV71" s="117"/>
      <c r="ONW71" s="117"/>
      <c r="ONX71" s="117"/>
      <c r="ONY71" s="117"/>
      <c r="ONZ71" s="117"/>
      <c r="OOA71" s="117"/>
      <c r="OOB71" s="117"/>
      <c r="OOC71" s="117"/>
      <c r="OOD71" s="117"/>
      <c r="OOE71" s="117"/>
      <c r="OOF71" s="117"/>
      <c r="OOG71" s="117"/>
      <c r="OOH71" s="117"/>
      <c r="OOI71" s="117"/>
      <c r="OOJ71" s="117"/>
      <c r="OOK71" s="117"/>
      <c r="OOL71" s="117"/>
      <c r="OOM71" s="117"/>
      <c r="OON71" s="117"/>
      <c r="OOO71" s="117"/>
      <c r="OOP71" s="117"/>
      <c r="OOQ71" s="117"/>
      <c r="OOR71" s="117"/>
      <c r="OOS71" s="117"/>
      <c r="OOT71" s="117"/>
      <c r="OOU71" s="117"/>
      <c r="OOV71" s="117"/>
      <c r="OOW71" s="117"/>
      <c r="OOX71" s="117"/>
      <c r="OOY71" s="117"/>
      <c r="OOZ71" s="117"/>
      <c r="OPA71" s="117"/>
      <c r="OPB71" s="117"/>
      <c r="OPC71" s="117"/>
      <c r="OPD71" s="117"/>
      <c r="OPE71" s="117"/>
      <c r="OPF71" s="117"/>
      <c r="OPG71" s="117"/>
      <c r="OPH71" s="117"/>
      <c r="OPI71" s="117"/>
      <c r="OPJ71" s="117"/>
      <c r="OPK71" s="117"/>
      <c r="OPL71" s="117"/>
      <c r="OPM71" s="117"/>
      <c r="OPN71" s="117"/>
      <c r="OPO71" s="117"/>
      <c r="OPP71" s="117"/>
      <c r="OPQ71" s="117"/>
      <c r="OPR71" s="117"/>
      <c r="OPS71" s="117"/>
      <c r="OPT71" s="117"/>
      <c r="OPU71" s="117"/>
      <c r="OPV71" s="117"/>
      <c r="OPW71" s="117"/>
      <c r="OPX71" s="117"/>
      <c r="OPY71" s="117"/>
      <c r="OPZ71" s="117"/>
      <c r="OQA71" s="117"/>
      <c r="OQB71" s="117"/>
      <c r="OQC71" s="117"/>
      <c r="OQD71" s="117"/>
      <c r="OQE71" s="117"/>
      <c r="OQF71" s="117"/>
      <c r="OQG71" s="117"/>
      <c r="OQH71" s="117"/>
      <c r="OQI71" s="117"/>
      <c r="OQJ71" s="117"/>
      <c r="OQK71" s="117"/>
      <c r="OQL71" s="117"/>
      <c r="OQM71" s="117"/>
      <c r="OQN71" s="117"/>
      <c r="OQO71" s="117"/>
      <c r="OQP71" s="117"/>
      <c r="OQQ71" s="117"/>
      <c r="OQR71" s="117"/>
      <c r="OQS71" s="117"/>
      <c r="OQT71" s="117"/>
      <c r="OQU71" s="117"/>
      <c r="OQV71" s="117"/>
      <c r="OQW71" s="117"/>
      <c r="OQX71" s="117"/>
      <c r="OQY71" s="117"/>
      <c r="OQZ71" s="117"/>
      <c r="ORA71" s="117"/>
      <c r="ORB71" s="117"/>
      <c r="ORC71" s="117"/>
      <c r="ORD71" s="117"/>
      <c r="ORE71" s="117"/>
      <c r="ORF71" s="117"/>
      <c r="ORG71" s="117"/>
      <c r="ORH71" s="117"/>
      <c r="ORI71" s="117"/>
      <c r="ORJ71" s="117"/>
      <c r="ORK71" s="117"/>
      <c r="ORL71" s="117"/>
      <c r="ORM71" s="117"/>
      <c r="ORN71" s="117"/>
      <c r="ORO71" s="117"/>
      <c r="ORP71" s="117"/>
      <c r="ORQ71" s="117"/>
      <c r="ORR71" s="117"/>
      <c r="ORS71" s="117"/>
      <c r="ORT71" s="117"/>
      <c r="ORU71" s="117"/>
      <c r="ORV71" s="117"/>
      <c r="ORW71" s="117"/>
      <c r="ORX71" s="117"/>
      <c r="ORY71" s="117"/>
      <c r="ORZ71" s="117"/>
      <c r="OSA71" s="117"/>
      <c r="OSB71" s="117"/>
      <c r="OSC71" s="117"/>
      <c r="OSD71" s="117"/>
      <c r="OSE71" s="117"/>
      <c r="OSF71" s="117"/>
      <c r="OSG71" s="117"/>
      <c r="OSH71" s="117"/>
      <c r="OSI71" s="117"/>
      <c r="OSJ71" s="117"/>
      <c r="OSK71" s="117"/>
      <c r="OSL71" s="117"/>
      <c r="OSM71" s="117"/>
      <c r="OSN71" s="117"/>
      <c r="OSO71" s="117"/>
      <c r="OSP71" s="117"/>
      <c r="OSQ71" s="117"/>
      <c r="OSR71" s="117"/>
      <c r="OSS71" s="117"/>
      <c r="OST71" s="117"/>
      <c r="OSU71" s="117"/>
      <c r="OSV71" s="117"/>
      <c r="OSW71" s="117"/>
      <c r="OSX71" s="117"/>
      <c r="OSY71" s="117"/>
      <c r="OSZ71" s="117"/>
      <c r="OTA71" s="117"/>
      <c r="OTB71" s="117"/>
      <c r="OTC71" s="117"/>
      <c r="OTD71" s="117"/>
      <c r="OTE71" s="117"/>
      <c r="OTF71" s="117"/>
      <c r="OTG71" s="117"/>
      <c r="OTH71" s="117"/>
      <c r="OTI71" s="117"/>
      <c r="OTJ71" s="117"/>
      <c r="OTK71" s="117"/>
      <c r="OTL71" s="117"/>
      <c r="OTM71" s="117"/>
      <c r="OTN71" s="117"/>
      <c r="OTO71" s="117"/>
      <c r="OTP71" s="117"/>
      <c r="OTQ71" s="117"/>
      <c r="OTR71" s="117"/>
      <c r="OTS71" s="117"/>
      <c r="OTT71" s="117"/>
      <c r="OTU71" s="117"/>
      <c r="OTV71" s="117"/>
      <c r="OTW71" s="117"/>
      <c r="OTX71" s="117"/>
      <c r="OTY71" s="117"/>
      <c r="OTZ71" s="117"/>
      <c r="OUA71" s="117"/>
      <c r="OUB71" s="117"/>
      <c r="OUC71" s="117"/>
      <c r="OUD71" s="117"/>
      <c r="OUE71" s="117"/>
      <c r="OUF71" s="117"/>
      <c r="OUG71" s="117"/>
      <c r="OUH71" s="117"/>
      <c r="OUI71" s="117"/>
      <c r="OUJ71" s="117"/>
      <c r="OUK71" s="117"/>
      <c r="OUL71" s="117"/>
      <c r="OUM71" s="117"/>
      <c r="OUN71" s="117"/>
      <c r="OUO71" s="117"/>
      <c r="OUP71" s="117"/>
      <c r="OUQ71" s="117"/>
      <c r="OUR71" s="117"/>
      <c r="OUS71" s="117"/>
      <c r="OUT71" s="117"/>
      <c r="OUU71" s="117"/>
      <c r="OUV71" s="117"/>
      <c r="OUW71" s="117"/>
      <c r="OUX71" s="117"/>
      <c r="OUY71" s="117"/>
      <c r="OUZ71" s="117"/>
      <c r="OVA71" s="117"/>
      <c r="OVB71" s="117"/>
      <c r="OVC71" s="117"/>
      <c r="OVD71" s="117"/>
      <c r="OVE71" s="117"/>
      <c r="OVF71" s="117"/>
      <c r="OVG71" s="117"/>
      <c r="OVH71" s="117"/>
      <c r="OVI71" s="117"/>
      <c r="OVJ71" s="117"/>
      <c r="OVK71" s="117"/>
      <c r="OVL71" s="117"/>
      <c r="OVM71" s="117"/>
      <c r="OVN71" s="117"/>
      <c r="OVO71" s="117"/>
      <c r="OVP71" s="117"/>
      <c r="OVQ71" s="117"/>
      <c r="OVR71" s="117"/>
      <c r="OVS71" s="117"/>
      <c r="OVT71" s="117"/>
      <c r="OVU71" s="117"/>
      <c r="OVV71" s="117"/>
      <c r="OVW71" s="117"/>
      <c r="OVX71" s="117"/>
      <c r="OVY71" s="117"/>
      <c r="OVZ71" s="117"/>
      <c r="OWA71" s="117"/>
      <c r="OWB71" s="117"/>
      <c r="OWC71" s="117"/>
      <c r="OWD71" s="117"/>
      <c r="OWE71" s="117"/>
      <c r="OWF71" s="117"/>
      <c r="OWG71" s="117"/>
      <c r="OWH71" s="117"/>
      <c r="OWI71" s="117"/>
      <c r="OWJ71" s="117"/>
      <c r="OWK71" s="117"/>
      <c r="OWL71" s="117"/>
      <c r="OWM71" s="117"/>
      <c r="OWN71" s="117"/>
      <c r="OWO71" s="117"/>
      <c r="OWP71" s="117"/>
      <c r="OWQ71" s="117"/>
      <c r="OWR71" s="117"/>
      <c r="OWS71" s="117"/>
      <c r="OWT71" s="117"/>
      <c r="OWU71" s="117"/>
      <c r="OWV71" s="117"/>
      <c r="OWW71" s="117"/>
      <c r="OWX71" s="117"/>
      <c r="OWY71" s="117"/>
      <c r="OWZ71" s="117"/>
      <c r="OXA71" s="117"/>
      <c r="OXB71" s="117"/>
      <c r="OXC71" s="117"/>
      <c r="OXD71" s="117"/>
      <c r="OXE71" s="117"/>
      <c r="OXF71" s="117"/>
      <c r="OXG71" s="117"/>
      <c r="OXH71" s="117"/>
      <c r="OXI71" s="117"/>
      <c r="OXJ71" s="117"/>
      <c r="OXK71" s="117"/>
      <c r="OXL71" s="117"/>
      <c r="OXM71" s="117"/>
      <c r="OXN71" s="117"/>
      <c r="OXO71" s="117"/>
      <c r="OXP71" s="117"/>
      <c r="OXQ71" s="117"/>
      <c r="OXR71" s="117"/>
      <c r="OXS71" s="117"/>
      <c r="OXT71" s="117"/>
      <c r="OXU71" s="117"/>
      <c r="OXV71" s="117"/>
      <c r="OXW71" s="117"/>
      <c r="OXX71" s="117"/>
      <c r="OXY71" s="117"/>
      <c r="OXZ71" s="117"/>
      <c r="OYA71" s="117"/>
      <c r="OYB71" s="117"/>
      <c r="OYC71" s="117"/>
      <c r="OYD71" s="117"/>
      <c r="OYE71" s="117"/>
      <c r="OYF71" s="117"/>
      <c r="OYG71" s="117"/>
      <c r="OYH71" s="117"/>
      <c r="OYI71" s="117"/>
      <c r="OYJ71" s="117"/>
      <c r="OYK71" s="117"/>
      <c r="OYL71" s="117"/>
      <c r="OYM71" s="117"/>
      <c r="OYN71" s="117"/>
      <c r="OYO71" s="117"/>
      <c r="OYP71" s="117"/>
      <c r="OYQ71" s="117"/>
      <c r="OYR71" s="117"/>
      <c r="OYS71" s="117"/>
      <c r="OYT71" s="117"/>
      <c r="OYU71" s="117"/>
      <c r="OYV71" s="117"/>
      <c r="OYW71" s="117"/>
      <c r="OYX71" s="117"/>
      <c r="OYY71" s="117"/>
      <c r="OYZ71" s="117"/>
      <c r="OZA71" s="117"/>
      <c r="OZB71" s="117"/>
      <c r="OZC71" s="117"/>
      <c r="OZD71" s="117"/>
      <c r="OZE71" s="117"/>
      <c r="OZF71" s="117"/>
      <c r="OZG71" s="117"/>
      <c r="OZH71" s="117"/>
      <c r="OZI71" s="117"/>
      <c r="OZJ71" s="117"/>
      <c r="OZK71" s="117"/>
      <c r="OZL71" s="117"/>
      <c r="OZM71" s="117"/>
      <c r="OZN71" s="117"/>
      <c r="OZO71" s="117"/>
      <c r="OZP71" s="117"/>
      <c r="OZQ71" s="117"/>
      <c r="OZR71" s="117"/>
      <c r="OZS71" s="117"/>
      <c r="OZT71" s="117"/>
      <c r="OZU71" s="117"/>
      <c r="OZV71" s="117"/>
      <c r="OZW71" s="117"/>
      <c r="OZX71" s="117"/>
      <c r="OZY71" s="117"/>
      <c r="OZZ71" s="117"/>
      <c r="PAA71" s="117"/>
      <c r="PAB71" s="117"/>
      <c r="PAC71" s="117"/>
      <c r="PAD71" s="117"/>
      <c r="PAE71" s="117"/>
      <c r="PAF71" s="117"/>
      <c r="PAG71" s="117"/>
      <c r="PAH71" s="117"/>
      <c r="PAI71" s="117"/>
      <c r="PAJ71" s="117"/>
      <c r="PAK71" s="117"/>
      <c r="PAL71" s="117"/>
      <c r="PAM71" s="117"/>
      <c r="PAN71" s="117"/>
      <c r="PAO71" s="117"/>
      <c r="PAP71" s="117"/>
      <c r="PAQ71" s="117"/>
      <c r="PAR71" s="117"/>
      <c r="PAS71" s="117"/>
      <c r="PAT71" s="117"/>
      <c r="PAU71" s="117"/>
      <c r="PAV71" s="117"/>
      <c r="PAW71" s="117"/>
      <c r="PAX71" s="117"/>
      <c r="PAY71" s="117"/>
      <c r="PAZ71" s="117"/>
      <c r="PBA71" s="117"/>
      <c r="PBB71" s="117"/>
      <c r="PBC71" s="117"/>
      <c r="PBD71" s="117"/>
      <c r="PBE71" s="117"/>
      <c r="PBF71" s="117"/>
      <c r="PBG71" s="117"/>
      <c r="PBH71" s="117"/>
      <c r="PBI71" s="117"/>
      <c r="PBJ71" s="117"/>
      <c r="PBK71" s="117"/>
      <c r="PBL71" s="117"/>
      <c r="PBM71" s="117"/>
      <c r="PBN71" s="117"/>
      <c r="PBO71" s="117"/>
      <c r="PBP71" s="117"/>
      <c r="PBQ71" s="117"/>
      <c r="PBR71" s="117"/>
      <c r="PBS71" s="117"/>
      <c r="PBT71" s="117"/>
      <c r="PBU71" s="117"/>
      <c r="PBV71" s="117"/>
      <c r="PBW71" s="117"/>
      <c r="PBX71" s="117"/>
      <c r="PBY71" s="117"/>
      <c r="PBZ71" s="117"/>
      <c r="PCA71" s="117"/>
      <c r="PCB71" s="117"/>
      <c r="PCC71" s="117"/>
      <c r="PCD71" s="117"/>
      <c r="PCE71" s="117"/>
      <c r="PCF71" s="117"/>
      <c r="PCG71" s="117"/>
      <c r="PCH71" s="117"/>
      <c r="PCI71" s="117"/>
      <c r="PCJ71" s="117"/>
      <c r="PCK71" s="117"/>
      <c r="PCL71" s="117"/>
      <c r="PCM71" s="117"/>
      <c r="PCN71" s="117"/>
      <c r="PCO71" s="117"/>
      <c r="PCP71" s="117"/>
      <c r="PCQ71" s="117"/>
      <c r="PCR71" s="117"/>
      <c r="PCS71" s="117"/>
      <c r="PCT71" s="117"/>
      <c r="PCU71" s="117"/>
      <c r="PCV71" s="117"/>
      <c r="PCW71" s="117"/>
      <c r="PCX71" s="117"/>
      <c r="PCY71" s="117"/>
      <c r="PCZ71" s="117"/>
      <c r="PDA71" s="117"/>
      <c r="PDB71" s="117"/>
      <c r="PDC71" s="117"/>
      <c r="PDD71" s="117"/>
      <c r="PDE71" s="117"/>
      <c r="PDF71" s="117"/>
      <c r="PDG71" s="117"/>
      <c r="PDH71" s="117"/>
      <c r="PDI71" s="117"/>
      <c r="PDJ71" s="117"/>
      <c r="PDK71" s="117"/>
      <c r="PDL71" s="117"/>
      <c r="PDM71" s="117"/>
      <c r="PDN71" s="117"/>
      <c r="PDO71" s="117"/>
      <c r="PDP71" s="117"/>
      <c r="PDQ71" s="117"/>
      <c r="PDR71" s="117"/>
      <c r="PDS71" s="117"/>
      <c r="PDT71" s="117"/>
      <c r="PDU71" s="117"/>
      <c r="PDV71" s="117"/>
      <c r="PDW71" s="117"/>
      <c r="PDX71" s="117"/>
      <c r="PDY71" s="117"/>
      <c r="PDZ71" s="117"/>
      <c r="PEA71" s="117"/>
      <c r="PEB71" s="117"/>
      <c r="PEC71" s="117"/>
      <c r="PED71" s="117"/>
      <c r="PEE71" s="117"/>
      <c r="PEF71" s="117"/>
      <c r="PEG71" s="117"/>
      <c r="PEH71" s="117"/>
      <c r="PEI71" s="117"/>
      <c r="PEJ71" s="117"/>
      <c r="PEK71" s="117"/>
      <c r="PEL71" s="117"/>
      <c r="PEM71" s="117"/>
      <c r="PEN71" s="117"/>
      <c r="PEO71" s="117"/>
      <c r="PEP71" s="117"/>
      <c r="PEQ71" s="117"/>
      <c r="PER71" s="117"/>
      <c r="PES71" s="117"/>
      <c r="PET71" s="117"/>
      <c r="PEU71" s="117"/>
      <c r="PEV71" s="117"/>
      <c r="PEW71" s="117"/>
      <c r="PEX71" s="117"/>
      <c r="PEY71" s="117"/>
      <c r="PEZ71" s="117"/>
      <c r="PFA71" s="117"/>
      <c r="PFB71" s="117"/>
      <c r="PFC71" s="117"/>
      <c r="PFD71" s="117"/>
      <c r="PFE71" s="117"/>
      <c r="PFF71" s="117"/>
      <c r="PFG71" s="117"/>
      <c r="PFH71" s="117"/>
      <c r="PFI71" s="117"/>
      <c r="PFJ71" s="117"/>
      <c r="PFK71" s="117"/>
      <c r="PFL71" s="117"/>
      <c r="PFM71" s="117"/>
      <c r="PFN71" s="117"/>
      <c r="PFO71" s="117"/>
      <c r="PFP71" s="117"/>
      <c r="PFQ71" s="117"/>
      <c r="PFR71" s="117"/>
      <c r="PFS71" s="117"/>
      <c r="PFT71" s="117"/>
      <c r="PFU71" s="117"/>
      <c r="PFV71" s="117"/>
      <c r="PFW71" s="117"/>
      <c r="PFX71" s="117"/>
      <c r="PFY71" s="117"/>
      <c r="PFZ71" s="117"/>
      <c r="PGA71" s="117"/>
      <c r="PGB71" s="117"/>
      <c r="PGC71" s="117"/>
      <c r="PGD71" s="117"/>
      <c r="PGE71" s="117"/>
      <c r="PGF71" s="117"/>
      <c r="PGG71" s="117"/>
      <c r="PGH71" s="117"/>
      <c r="PGI71" s="117"/>
      <c r="PGJ71" s="117"/>
      <c r="PGK71" s="117"/>
      <c r="PGL71" s="117"/>
      <c r="PGM71" s="117"/>
      <c r="PGN71" s="117"/>
      <c r="PGO71" s="117"/>
      <c r="PGP71" s="117"/>
      <c r="PGQ71" s="117"/>
      <c r="PGR71" s="117"/>
      <c r="PGS71" s="117"/>
      <c r="PGT71" s="117"/>
      <c r="PGU71" s="117"/>
      <c r="PGV71" s="117"/>
      <c r="PGW71" s="117"/>
      <c r="PGX71" s="117"/>
      <c r="PGY71" s="117"/>
      <c r="PGZ71" s="117"/>
      <c r="PHA71" s="117"/>
      <c r="PHB71" s="117"/>
      <c r="PHC71" s="117"/>
      <c r="PHD71" s="117"/>
      <c r="PHE71" s="117"/>
      <c r="PHF71" s="117"/>
      <c r="PHG71" s="117"/>
      <c r="PHH71" s="117"/>
      <c r="PHI71" s="117"/>
      <c r="PHJ71" s="117"/>
      <c r="PHK71" s="117"/>
      <c r="PHL71" s="117"/>
      <c r="PHM71" s="117"/>
      <c r="PHN71" s="117"/>
      <c r="PHO71" s="117"/>
      <c r="PHP71" s="117"/>
      <c r="PHQ71" s="117"/>
      <c r="PHR71" s="117"/>
      <c r="PHS71" s="117"/>
      <c r="PHT71" s="117"/>
      <c r="PHU71" s="117"/>
      <c r="PHV71" s="117"/>
      <c r="PHW71" s="117"/>
      <c r="PHX71" s="117"/>
      <c r="PHY71" s="117"/>
      <c r="PHZ71" s="117"/>
      <c r="PIA71" s="117"/>
      <c r="PIB71" s="117"/>
      <c r="PIC71" s="117"/>
      <c r="PID71" s="117"/>
      <c r="PIE71" s="117"/>
      <c r="PIF71" s="117"/>
      <c r="PIG71" s="117"/>
      <c r="PIH71" s="117"/>
      <c r="PII71" s="117"/>
      <c r="PIJ71" s="117"/>
      <c r="PIK71" s="117"/>
      <c r="PIL71" s="117"/>
      <c r="PIM71" s="117"/>
      <c r="PIN71" s="117"/>
      <c r="PIO71" s="117"/>
      <c r="PIP71" s="117"/>
      <c r="PIQ71" s="117"/>
      <c r="PIR71" s="117"/>
      <c r="PIS71" s="117"/>
      <c r="PIT71" s="117"/>
      <c r="PIU71" s="117"/>
      <c r="PIV71" s="117"/>
      <c r="PIW71" s="117"/>
      <c r="PIX71" s="117"/>
      <c r="PIY71" s="117"/>
      <c r="PIZ71" s="117"/>
      <c r="PJA71" s="117"/>
      <c r="PJB71" s="117"/>
      <c r="PJC71" s="117"/>
      <c r="PJD71" s="117"/>
      <c r="PJE71" s="117"/>
      <c r="PJF71" s="117"/>
      <c r="PJG71" s="117"/>
      <c r="PJH71" s="117"/>
      <c r="PJI71" s="117"/>
      <c r="PJJ71" s="117"/>
      <c r="PJK71" s="117"/>
      <c r="PJL71" s="117"/>
      <c r="PJM71" s="117"/>
      <c r="PJN71" s="117"/>
      <c r="PJO71" s="117"/>
      <c r="PJP71" s="117"/>
      <c r="PJQ71" s="117"/>
      <c r="PJR71" s="117"/>
      <c r="PJS71" s="117"/>
      <c r="PJT71" s="117"/>
      <c r="PJU71" s="117"/>
      <c r="PJV71" s="117"/>
      <c r="PJW71" s="117"/>
      <c r="PJX71" s="117"/>
      <c r="PJY71" s="117"/>
      <c r="PJZ71" s="117"/>
      <c r="PKA71" s="117"/>
      <c r="PKB71" s="117"/>
      <c r="PKC71" s="117"/>
      <c r="PKD71" s="117"/>
      <c r="PKE71" s="117"/>
      <c r="PKF71" s="117"/>
      <c r="PKG71" s="117"/>
      <c r="PKH71" s="117"/>
      <c r="PKI71" s="117"/>
      <c r="PKJ71" s="117"/>
      <c r="PKK71" s="117"/>
      <c r="PKL71" s="117"/>
      <c r="PKM71" s="117"/>
      <c r="PKN71" s="117"/>
      <c r="PKO71" s="117"/>
      <c r="PKP71" s="117"/>
      <c r="PKQ71" s="117"/>
      <c r="PKR71" s="117"/>
      <c r="PKS71" s="117"/>
      <c r="PKT71" s="117"/>
      <c r="PKU71" s="117"/>
      <c r="PKV71" s="117"/>
      <c r="PKW71" s="117"/>
      <c r="PKX71" s="117"/>
      <c r="PKY71" s="117"/>
      <c r="PKZ71" s="117"/>
      <c r="PLA71" s="117"/>
      <c r="PLB71" s="117"/>
      <c r="PLC71" s="117"/>
      <c r="PLD71" s="117"/>
      <c r="PLE71" s="117"/>
      <c r="PLF71" s="117"/>
      <c r="PLG71" s="117"/>
      <c r="PLH71" s="117"/>
      <c r="PLI71" s="117"/>
      <c r="PLJ71" s="117"/>
      <c r="PLK71" s="117"/>
      <c r="PLL71" s="117"/>
      <c r="PLM71" s="117"/>
      <c r="PLN71" s="117"/>
      <c r="PLO71" s="117"/>
      <c r="PLP71" s="117"/>
      <c r="PLQ71" s="117"/>
      <c r="PLR71" s="117"/>
      <c r="PLS71" s="117"/>
      <c r="PLT71" s="117"/>
      <c r="PLU71" s="117"/>
      <c r="PLV71" s="117"/>
      <c r="PLW71" s="117"/>
      <c r="PLX71" s="117"/>
      <c r="PLY71" s="117"/>
      <c r="PLZ71" s="117"/>
      <c r="PMA71" s="117"/>
      <c r="PMB71" s="117"/>
      <c r="PMC71" s="117"/>
      <c r="PMD71" s="117"/>
      <c r="PME71" s="117"/>
      <c r="PMF71" s="117"/>
      <c r="PMG71" s="117"/>
      <c r="PMH71" s="117"/>
      <c r="PMI71" s="117"/>
      <c r="PMJ71" s="117"/>
      <c r="PMK71" s="117"/>
      <c r="PML71" s="117"/>
      <c r="PMM71" s="117"/>
      <c r="PMN71" s="117"/>
      <c r="PMO71" s="117"/>
      <c r="PMP71" s="117"/>
      <c r="PMQ71" s="117"/>
      <c r="PMR71" s="117"/>
      <c r="PMS71" s="117"/>
      <c r="PMT71" s="117"/>
      <c r="PMU71" s="117"/>
      <c r="PMV71" s="117"/>
      <c r="PMW71" s="117"/>
      <c r="PMX71" s="117"/>
      <c r="PMY71" s="117"/>
      <c r="PMZ71" s="117"/>
      <c r="PNA71" s="117"/>
      <c r="PNB71" s="117"/>
      <c r="PNC71" s="117"/>
      <c r="PND71" s="117"/>
      <c r="PNE71" s="117"/>
      <c r="PNF71" s="117"/>
      <c r="PNG71" s="117"/>
      <c r="PNH71" s="117"/>
      <c r="PNI71" s="117"/>
      <c r="PNJ71" s="117"/>
      <c r="PNK71" s="117"/>
      <c r="PNL71" s="117"/>
      <c r="PNM71" s="117"/>
      <c r="PNN71" s="117"/>
      <c r="PNO71" s="117"/>
      <c r="PNP71" s="117"/>
      <c r="PNQ71" s="117"/>
      <c r="PNR71" s="117"/>
      <c r="PNS71" s="117"/>
      <c r="PNT71" s="117"/>
      <c r="PNU71" s="117"/>
      <c r="PNV71" s="117"/>
      <c r="PNW71" s="117"/>
      <c r="PNX71" s="117"/>
      <c r="PNY71" s="117"/>
      <c r="PNZ71" s="117"/>
      <c r="POA71" s="117"/>
      <c r="POB71" s="117"/>
      <c r="POC71" s="117"/>
      <c r="POD71" s="117"/>
      <c r="POE71" s="117"/>
      <c r="POF71" s="117"/>
      <c r="POG71" s="117"/>
      <c r="POH71" s="117"/>
      <c r="POI71" s="117"/>
      <c r="POJ71" s="117"/>
      <c r="POK71" s="117"/>
      <c r="POL71" s="117"/>
      <c r="POM71" s="117"/>
      <c r="PON71" s="117"/>
      <c r="POO71" s="117"/>
      <c r="POP71" s="117"/>
      <c r="POQ71" s="117"/>
      <c r="POR71" s="117"/>
      <c r="POS71" s="117"/>
      <c r="POT71" s="117"/>
      <c r="POU71" s="117"/>
      <c r="POV71" s="117"/>
      <c r="POW71" s="117"/>
      <c r="POX71" s="117"/>
      <c r="POY71" s="117"/>
      <c r="POZ71" s="117"/>
      <c r="PPA71" s="117"/>
      <c r="PPB71" s="117"/>
      <c r="PPC71" s="117"/>
      <c r="PPD71" s="117"/>
      <c r="PPE71" s="117"/>
      <c r="PPF71" s="117"/>
      <c r="PPG71" s="117"/>
      <c r="PPH71" s="117"/>
      <c r="PPI71" s="117"/>
      <c r="PPJ71" s="117"/>
      <c r="PPK71" s="117"/>
      <c r="PPL71" s="117"/>
      <c r="PPM71" s="117"/>
      <c r="PPN71" s="117"/>
      <c r="PPO71" s="117"/>
      <c r="PPP71" s="117"/>
      <c r="PPQ71" s="117"/>
      <c r="PPR71" s="117"/>
      <c r="PPS71" s="117"/>
      <c r="PPT71" s="117"/>
      <c r="PPU71" s="117"/>
      <c r="PPV71" s="117"/>
      <c r="PPW71" s="117"/>
      <c r="PPX71" s="117"/>
      <c r="PPY71" s="117"/>
      <c r="PPZ71" s="117"/>
      <c r="PQA71" s="117"/>
      <c r="PQB71" s="117"/>
      <c r="PQC71" s="117"/>
      <c r="PQD71" s="117"/>
      <c r="PQE71" s="117"/>
      <c r="PQF71" s="117"/>
      <c r="PQG71" s="117"/>
      <c r="PQH71" s="117"/>
      <c r="PQI71" s="117"/>
      <c r="PQJ71" s="117"/>
      <c r="PQK71" s="117"/>
      <c r="PQL71" s="117"/>
      <c r="PQM71" s="117"/>
      <c r="PQN71" s="117"/>
      <c r="PQO71" s="117"/>
      <c r="PQP71" s="117"/>
      <c r="PQQ71" s="117"/>
      <c r="PQR71" s="117"/>
      <c r="PQS71" s="117"/>
      <c r="PQT71" s="117"/>
      <c r="PQU71" s="117"/>
      <c r="PQV71" s="117"/>
      <c r="PQW71" s="117"/>
      <c r="PQX71" s="117"/>
      <c r="PQY71" s="117"/>
      <c r="PQZ71" s="117"/>
      <c r="PRA71" s="117"/>
      <c r="PRB71" s="117"/>
      <c r="PRC71" s="117"/>
      <c r="PRD71" s="117"/>
      <c r="PRE71" s="117"/>
      <c r="PRF71" s="117"/>
      <c r="PRG71" s="117"/>
      <c r="PRH71" s="117"/>
      <c r="PRI71" s="117"/>
      <c r="PRJ71" s="117"/>
      <c r="PRK71" s="117"/>
      <c r="PRL71" s="117"/>
      <c r="PRM71" s="117"/>
      <c r="PRN71" s="117"/>
      <c r="PRO71" s="117"/>
      <c r="PRP71" s="117"/>
      <c r="PRQ71" s="117"/>
      <c r="PRR71" s="117"/>
      <c r="PRS71" s="117"/>
      <c r="PRT71" s="117"/>
      <c r="PRU71" s="117"/>
      <c r="PRV71" s="117"/>
      <c r="PRW71" s="117"/>
      <c r="PRX71" s="117"/>
      <c r="PRY71" s="117"/>
      <c r="PRZ71" s="117"/>
      <c r="PSA71" s="117"/>
      <c r="PSB71" s="117"/>
      <c r="PSC71" s="117"/>
      <c r="PSD71" s="117"/>
      <c r="PSE71" s="117"/>
      <c r="PSF71" s="117"/>
      <c r="PSG71" s="117"/>
      <c r="PSH71" s="117"/>
      <c r="PSI71" s="117"/>
      <c r="PSJ71" s="117"/>
      <c r="PSK71" s="117"/>
      <c r="PSL71" s="117"/>
      <c r="PSM71" s="117"/>
      <c r="PSN71" s="117"/>
      <c r="PSO71" s="117"/>
      <c r="PSP71" s="117"/>
      <c r="PSQ71" s="117"/>
      <c r="PSR71" s="117"/>
      <c r="PSS71" s="117"/>
      <c r="PST71" s="117"/>
      <c r="PSU71" s="117"/>
      <c r="PSV71" s="117"/>
      <c r="PSW71" s="117"/>
      <c r="PSX71" s="117"/>
      <c r="PSY71" s="117"/>
      <c r="PSZ71" s="117"/>
      <c r="PTA71" s="117"/>
      <c r="PTB71" s="117"/>
      <c r="PTC71" s="117"/>
      <c r="PTD71" s="117"/>
      <c r="PTE71" s="117"/>
      <c r="PTF71" s="117"/>
      <c r="PTG71" s="117"/>
      <c r="PTH71" s="117"/>
      <c r="PTI71" s="117"/>
      <c r="PTJ71" s="117"/>
      <c r="PTK71" s="117"/>
      <c r="PTL71" s="117"/>
      <c r="PTM71" s="117"/>
      <c r="PTN71" s="117"/>
      <c r="PTO71" s="117"/>
      <c r="PTP71" s="117"/>
      <c r="PTQ71" s="117"/>
      <c r="PTR71" s="117"/>
      <c r="PTS71" s="117"/>
      <c r="PTT71" s="117"/>
      <c r="PTU71" s="117"/>
      <c r="PTV71" s="117"/>
      <c r="PTW71" s="117"/>
      <c r="PTX71" s="117"/>
      <c r="PTY71" s="117"/>
      <c r="PTZ71" s="117"/>
      <c r="PUA71" s="117"/>
      <c r="PUB71" s="117"/>
      <c r="PUC71" s="117"/>
      <c r="PUD71" s="117"/>
      <c r="PUE71" s="117"/>
      <c r="PUF71" s="117"/>
      <c r="PUG71" s="117"/>
      <c r="PUH71" s="117"/>
      <c r="PUI71" s="117"/>
      <c r="PUJ71" s="117"/>
      <c r="PUK71" s="117"/>
      <c r="PUL71" s="117"/>
      <c r="PUM71" s="117"/>
      <c r="PUN71" s="117"/>
      <c r="PUO71" s="117"/>
      <c r="PUP71" s="117"/>
      <c r="PUQ71" s="117"/>
      <c r="PUR71" s="117"/>
      <c r="PUS71" s="117"/>
      <c r="PUT71" s="117"/>
      <c r="PUU71" s="117"/>
      <c r="PUV71" s="117"/>
      <c r="PUW71" s="117"/>
      <c r="PUX71" s="117"/>
      <c r="PUY71" s="117"/>
      <c r="PUZ71" s="117"/>
      <c r="PVA71" s="117"/>
      <c r="PVB71" s="117"/>
      <c r="PVC71" s="117"/>
      <c r="PVD71" s="117"/>
      <c r="PVE71" s="117"/>
      <c r="PVF71" s="117"/>
      <c r="PVG71" s="117"/>
      <c r="PVH71" s="117"/>
      <c r="PVI71" s="117"/>
      <c r="PVJ71" s="117"/>
      <c r="PVK71" s="117"/>
      <c r="PVL71" s="117"/>
      <c r="PVM71" s="117"/>
      <c r="PVN71" s="117"/>
      <c r="PVO71" s="117"/>
      <c r="PVP71" s="117"/>
      <c r="PVQ71" s="117"/>
      <c r="PVR71" s="117"/>
      <c r="PVS71" s="117"/>
      <c r="PVT71" s="117"/>
      <c r="PVU71" s="117"/>
      <c r="PVV71" s="117"/>
      <c r="PVW71" s="117"/>
      <c r="PVX71" s="117"/>
      <c r="PVY71" s="117"/>
      <c r="PVZ71" s="117"/>
      <c r="PWA71" s="117"/>
      <c r="PWB71" s="117"/>
      <c r="PWC71" s="117"/>
      <c r="PWD71" s="117"/>
      <c r="PWE71" s="117"/>
      <c r="PWF71" s="117"/>
      <c r="PWG71" s="117"/>
      <c r="PWH71" s="117"/>
      <c r="PWI71" s="117"/>
      <c r="PWJ71" s="117"/>
      <c r="PWK71" s="117"/>
      <c r="PWL71" s="117"/>
      <c r="PWM71" s="117"/>
      <c r="PWN71" s="117"/>
      <c r="PWO71" s="117"/>
      <c r="PWP71" s="117"/>
      <c r="PWQ71" s="117"/>
      <c r="PWR71" s="117"/>
      <c r="PWS71" s="117"/>
      <c r="PWT71" s="117"/>
      <c r="PWU71" s="117"/>
      <c r="PWV71" s="117"/>
      <c r="PWW71" s="117"/>
      <c r="PWX71" s="117"/>
      <c r="PWY71" s="117"/>
      <c r="PWZ71" s="117"/>
      <c r="PXA71" s="117"/>
      <c r="PXB71" s="117"/>
      <c r="PXC71" s="117"/>
      <c r="PXD71" s="117"/>
      <c r="PXE71" s="117"/>
      <c r="PXF71" s="117"/>
      <c r="PXG71" s="117"/>
      <c r="PXH71" s="117"/>
      <c r="PXI71" s="117"/>
      <c r="PXJ71" s="117"/>
      <c r="PXK71" s="117"/>
      <c r="PXL71" s="117"/>
      <c r="PXM71" s="117"/>
      <c r="PXN71" s="117"/>
      <c r="PXO71" s="117"/>
      <c r="PXP71" s="117"/>
      <c r="PXQ71" s="117"/>
      <c r="PXR71" s="117"/>
      <c r="PXS71" s="117"/>
      <c r="PXT71" s="117"/>
      <c r="PXU71" s="117"/>
      <c r="PXV71" s="117"/>
      <c r="PXW71" s="117"/>
      <c r="PXX71" s="117"/>
      <c r="PXY71" s="117"/>
      <c r="PXZ71" s="117"/>
      <c r="PYA71" s="117"/>
      <c r="PYB71" s="117"/>
      <c r="PYC71" s="117"/>
      <c r="PYD71" s="117"/>
      <c r="PYE71" s="117"/>
      <c r="PYF71" s="117"/>
      <c r="PYG71" s="117"/>
      <c r="PYH71" s="117"/>
      <c r="PYI71" s="117"/>
      <c r="PYJ71" s="117"/>
      <c r="PYK71" s="117"/>
      <c r="PYL71" s="117"/>
      <c r="PYM71" s="117"/>
      <c r="PYN71" s="117"/>
      <c r="PYO71" s="117"/>
      <c r="PYP71" s="117"/>
      <c r="PYQ71" s="117"/>
      <c r="PYR71" s="117"/>
      <c r="PYS71" s="117"/>
      <c r="PYT71" s="117"/>
      <c r="PYU71" s="117"/>
      <c r="PYV71" s="117"/>
      <c r="PYW71" s="117"/>
      <c r="PYX71" s="117"/>
      <c r="PYY71" s="117"/>
      <c r="PYZ71" s="117"/>
      <c r="PZA71" s="117"/>
      <c r="PZB71" s="117"/>
      <c r="PZC71" s="117"/>
      <c r="PZD71" s="117"/>
      <c r="PZE71" s="117"/>
      <c r="PZF71" s="117"/>
      <c r="PZG71" s="117"/>
      <c r="PZH71" s="117"/>
      <c r="PZI71" s="117"/>
      <c r="PZJ71" s="117"/>
      <c r="PZK71" s="117"/>
      <c r="PZL71" s="117"/>
      <c r="PZM71" s="117"/>
      <c r="PZN71" s="117"/>
      <c r="PZO71" s="117"/>
      <c r="PZP71" s="117"/>
      <c r="PZQ71" s="117"/>
      <c r="PZR71" s="117"/>
      <c r="PZS71" s="117"/>
      <c r="PZT71" s="117"/>
      <c r="PZU71" s="117"/>
      <c r="PZV71" s="117"/>
      <c r="PZW71" s="117"/>
      <c r="PZX71" s="117"/>
      <c r="PZY71" s="117"/>
      <c r="PZZ71" s="117"/>
      <c r="QAA71" s="117"/>
      <c r="QAB71" s="117"/>
      <c r="QAC71" s="117"/>
      <c r="QAD71" s="117"/>
      <c r="QAE71" s="117"/>
      <c r="QAF71" s="117"/>
      <c r="QAG71" s="117"/>
      <c r="QAH71" s="117"/>
      <c r="QAI71" s="117"/>
      <c r="QAJ71" s="117"/>
      <c r="QAK71" s="117"/>
      <c r="QAL71" s="117"/>
      <c r="QAM71" s="117"/>
      <c r="QAN71" s="117"/>
      <c r="QAO71" s="117"/>
      <c r="QAP71" s="117"/>
      <c r="QAQ71" s="117"/>
      <c r="QAR71" s="117"/>
      <c r="QAS71" s="117"/>
      <c r="QAT71" s="117"/>
      <c r="QAU71" s="117"/>
      <c r="QAV71" s="117"/>
      <c r="QAW71" s="117"/>
      <c r="QAX71" s="117"/>
      <c r="QAY71" s="117"/>
      <c r="QAZ71" s="117"/>
      <c r="QBA71" s="117"/>
      <c r="QBB71" s="117"/>
      <c r="QBC71" s="117"/>
      <c r="QBD71" s="117"/>
      <c r="QBE71" s="117"/>
      <c r="QBF71" s="117"/>
      <c r="QBG71" s="117"/>
      <c r="QBH71" s="117"/>
      <c r="QBI71" s="117"/>
      <c r="QBJ71" s="117"/>
      <c r="QBK71" s="117"/>
      <c r="QBL71" s="117"/>
      <c r="QBM71" s="117"/>
      <c r="QBN71" s="117"/>
      <c r="QBO71" s="117"/>
      <c r="QBP71" s="117"/>
      <c r="QBQ71" s="117"/>
      <c r="QBR71" s="117"/>
      <c r="QBS71" s="117"/>
      <c r="QBT71" s="117"/>
      <c r="QBU71" s="117"/>
      <c r="QBV71" s="117"/>
      <c r="QBW71" s="117"/>
      <c r="QBX71" s="117"/>
      <c r="QBY71" s="117"/>
      <c r="QBZ71" s="117"/>
      <c r="QCA71" s="117"/>
      <c r="QCB71" s="117"/>
      <c r="QCC71" s="117"/>
      <c r="QCD71" s="117"/>
      <c r="QCE71" s="117"/>
      <c r="QCF71" s="117"/>
      <c r="QCG71" s="117"/>
      <c r="QCH71" s="117"/>
      <c r="QCI71" s="117"/>
      <c r="QCJ71" s="117"/>
      <c r="QCK71" s="117"/>
      <c r="QCL71" s="117"/>
      <c r="QCM71" s="117"/>
      <c r="QCN71" s="117"/>
      <c r="QCO71" s="117"/>
      <c r="QCP71" s="117"/>
      <c r="QCQ71" s="117"/>
      <c r="QCR71" s="117"/>
      <c r="QCS71" s="117"/>
      <c r="QCT71" s="117"/>
      <c r="QCU71" s="117"/>
      <c r="QCV71" s="117"/>
      <c r="QCW71" s="117"/>
      <c r="QCX71" s="117"/>
      <c r="QCY71" s="117"/>
      <c r="QCZ71" s="117"/>
      <c r="QDA71" s="117"/>
      <c r="QDB71" s="117"/>
      <c r="QDC71" s="117"/>
      <c r="QDD71" s="117"/>
      <c r="QDE71" s="117"/>
      <c r="QDF71" s="117"/>
      <c r="QDG71" s="117"/>
      <c r="QDH71" s="117"/>
      <c r="QDI71" s="117"/>
      <c r="QDJ71" s="117"/>
      <c r="QDK71" s="117"/>
      <c r="QDL71" s="117"/>
      <c r="QDM71" s="117"/>
      <c r="QDN71" s="117"/>
      <c r="QDO71" s="117"/>
      <c r="QDP71" s="117"/>
      <c r="QDQ71" s="117"/>
      <c r="QDR71" s="117"/>
      <c r="QDS71" s="117"/>
      <c r="QDT71" s="117"/>
      <c r="QDU71" s="117"/>
      <c r="QDV71" s="117"/>
      <c r="QDW71" s="117"/>
      <c r="QDX71" s="117"/>
      <c r="QDY71" s="117"/>
      <c r="QDZ71" s="117"/>
      <c r="QEA71" s="117"/>
      <c r="QEB71" s="117"/>
      <c r="QEC71" s="117"/>
      <c r="QED71" s="117"/>
      <c r="QEE71" s="117"/>
      <c r="QEF71" s="117"/>
      <c r="QEG71" s="117"/>
      <c r="QEH71" s="117"/>
      <c r="QEI71" s="117"/>
      <c r="QEJ71" s="117"/>
      <c r="QEK71" s="117"/>
      <c r="QEL71" s="117"/>
      <c r="QEM71" s="117"/>
      <c r="QEN71" s="117"/>
      <c r="QEO71" s="117"/>
      <c r="QEP71" s="117"/>
      <c r="QEQ71" s="117"/>
      <c r="QER71" s="117"/>
      <c r="QES71" s="117"/>
      <c r="QET71" s="117"/>
      <c r="QEU71" s="117"/>
      <c r="QEV71" s="117"/>
      <c r="QEW71" s="117"/>
      <c r="QEX71" s="117"/>
      <c r="QEY71" s="117"/>
      <c r="QEZ71" s="117"/>
      <c r="QFA71" s="117"/>
      <c r="QFB71" s="117"/>
      <c r="QFC71" s="117"/>
      <c r="QFD71" s="117"/>
      <c r="QFE71" s="117"/>
      <c r="QFF71" s="117"/>
      <c r="QFG71" s="117"/>
      <c r="QFH71" s="117"/>
      <c r="QFI71" s="117"/>
      <c r="QFJ71" s="117"/>
      <c r="QFK71" s="117"/>
      <c r="QFL71" s="117"/>
      <c r="QFM71" s="117"/>
      <c r="QFN71" s="117"/>
      <c r="QFO71" s="117"/>
      <c r="QFP71" s="117"/>
      <c r="QFQ71" s="117"/>
      <c r="QFR71" s="117"/>
      <c r="QFS71" s="117"/>
      <c r="QFT71" s="117"/>
      <c r="QFU71" s="117"/>
      <c r="QFV71" s="117"/>
      <c r="QFW71" s="117"/>
      <c r="QFX71" s="117"/>
      <c r="QFY71" s="117"/>
      <c r="QFZ71" s="117"/>
      <c r="QGA71" s="117"/>
      <c r="QGB71" s="117"/>
      <c r="QGC71" s="117"/>
      <c r="QGD71" s="117"/>
      <c r="QGE71" s="117"/>
      <c r="QGF71" s="117"/>
      <c r="QGG71" s="117"/>
      <c r="QGH71" s="117"/>
      <c r="QGI71" s="117"/>
      <c r="QGJ71" s="117"/>
      <c r="QGK71" s="117"/>
      <c r="QGL71" s="117"/>
      <c r="QGM71" s="117"/>
      <c r="QGN71" s="117"/>
      <c r="QGO71" s="117"/>
      <c r="QGP71" s="117"/>
      <c r="QGQ71" s="117"/>
      <c r="QGR71" s="117"/>
      <c r="QGS71" s="117"/>
      <c r="QGT71" s="117"/>
      <c r="QGU71" s="117"/>
      <c r="QGV71" s="117"/>
      <c r="QGW71" s="117"/>
      <c r="QGX71" s="117"/>
      <c r="QGY71" s="117"/>
      <c r="QGZ71" s="117"/>
      <c r="QHA71" s="117"/>
      <c r="QHB71" s="117"/>
      <c r="QHC71" s="117"/>
      <c r="QHD71" s="117"/>
      <c r="QHE71" s="117"/>
      <c r="QHF71" s="117"/>
      <c r="QHG71" s="117"/>
      <c r="QHH71" s="117"/>
      <c r="QHI71" s="117"/>
      <c r="QHJ71" s="117"/>
      <c r="QHK71" s="117"/>
      <c r="QHL71" s="117"/>
      <c r="QHM71" s="117"/>
      <c r="QHN71" s="117"/>
      <c r="QHO71" s="117"/>
      <c r="QHP71" s="117"/>
      <c r="QHQ71" s="117"/>
      <c r="QHR71" s="117"/>
      <c r="QHS71" s="117"/>
      <c r="QHT71" s="117"/>
      <c r="QHU71" s="117"/>
      <c r="QHV71" s="117"/>
      <c r="QHW71" s="117"/>
      <c r="QHX71" s="117"/>
      <c r="QHY71" s="117"/>
      <c r="QHZ71" s="117"/>
      <c r="QIA71" s="117"/>
      <c r="QIB71" s="117"/>
      <c r="QIC71" s="117"/>
      <c r="QID71" s="117"/>
      <c r="QIE71" s="117"/>
      <c r="QIF71" s="117"/>
      <c r="QIG71" s="117"/>
      <c r="QIH71" s="117"/>
      <c r="QII71" s="117"/>
      <c r="QIJ71" s="117"/>
      <c r="QIK71" s="117"/>
      <c r="QIL71" s="117"/>
      <c r="QIM71" s="117"/>
      <c r="QIN71" s="117"/>
      <c r="QIO71" s="117"/>
      <c r="QIP71" s="117"/>
      <c r="QIQ71" s="117"/>
      <c r="QIR71" s="117"/>
      <c r="QIS71" s="117"/>
      <c r="QIT71" s="117"/>
      <c r="QIU71" s="117"/>
      <c r="QIV71" s="117"/>
      <c r="QIW71" s="117"/>
      <c r="QIX71" s="117"/>
      <c r="QIY71" s="117"/>
      <c r="QIZ71" s="117"/>
      <c r="QJA71" s="117"/>
      <c r="QJB71" s="117"/>
      <c r="QJC71" s="117"/>
      <c r="QJD71" s="117"/>
      <c r="QJE71" s="117"/>
      <c r="QJF71" s="117"/>
      <c r="QJG71" s="117"/>
      <c r="QJH71" s="117"/>
      <c r="QJI71" s="117"/>
      <c r="QJJ71" s="117"/>
      <c r="QJK71" s="117"/>
      <c r="QJL71" s="117"/>
      <c r="QJM71" s="117"/>
      <c r="QJN71" s="117"/>
      <c r="QJO71" s="117"/>
      <c r="QJP71" s="117"/>
      <c r="QJQ71" s="117"/>
      <c r="QJR71" s="117"/>
      <c r="QJS71" s="117"/>
      <c r="QJT71" s="117"/>
      <c r="QJU71" s="117"/>
      <c r="QJV71" s="117"/>
      <c r="QJW71" s="117"/>
      <c r="QJX71" s="117"/>
      <c r="QJY71" s="117"/>
      <c r="QJZ71" s="117"/>
      <c r="QKA71" s="117"/>
      <c r="QKB71" s="117"/>
      <c r="QKC71" s="117"/>
      <c r="QKD71" s="117"/>
      <c r="QKE71" s="117"/>
      <c r="QKF71" s="117"/>
      <c r="QKG71" s="117"/>
      <c r="QKH71" s="117"/>
      <c r="QKI71" s="117"/>
      <c r="QKJ71" s="117"/>
      <c r="QKK71" s="117"/>
      <c r="QKL71" s="117"/>
      <c r="QKM71" s="117"/>
      <c r="QKN71" s="117"/>
      <c r="QKO71" s="117"/>
      <c r="QKP71" s="117"/>
      <c r="QKQ71" s="117"/>
      <c r="QKR71" s="117"/>
      <c r="QKS71" s="117"/>
      <c r="QKT71" s="117"/>
      <c r="QKU71" s="117"/>
      <c r="QKV71" s="117"/>
      <c r="QKW71" s="117"/>
      <c r="QKX71" s="117"/>
      <c r="QKY71" s="117"/>
      <c r="QKZ71" s="117"/>
      <c r="QLA71" s="117"/>
      <c r="QLB71" s="117"/>
      <c r="QLC71" s="117"/>
      <c r="QLD71" s="117"/>
      <c r="QLE71" s="117"/>
      <c r="QLF71" s="117"/>
      <c r="QLG71" s="117"/>
      <c r="QLH71" s="117"/>
      <c r="QLI71" s="117"/>
      <c r="QLJ71" s="117"/>
      <c r="QLK71" s="117"/>
      <c r="QLL71" s="117"/>
      <c r="QLM71" s="117"/>
      <c r="QLN71" s="117"/>
      <c r="QLO71" s="117"/>
      <c r="QLP71" s="117"/>
      <c r="QLQ71" s="117"/>
      <c r="QLR71" s="117"/>
      <c r="QLS71" s="117"/>
      <c r="QLT71" s="117"/>
      <c r="QLU71" s="117"/>
      <c r="QLV71" s="117"/>
      <c r="QLW71" s="117"/>
      <c r="QLX71" s="117"/>
      <c r="QLY71" s="117"/>
      <c r="QLZ71" s="117"/>
      <c r="QMA71" s="117"/>
      <c r="QMB71" s="117"/>
      <c r="QMC71" s="117"/>
      <c r="QMD71" s="117"/>
      <c r="QME71" s="117"/>
      <c r="QMF71" s="117"/>
      <c r="QMG71" s="117"/>
      <c r="QMH71" s="117"/>
      <c r="QMI71" s="117"/>
      <c r="QMJ71" s="117"/>
      <c r="QMK71" s="117"/>
      <c r="QML71" s="117"/>
      <c r="QMM71" s="117"/>
      <c r="QMN71" s="117"/>
      <c r="QMO71" s="117"/>
      <c r="QMP71" s="117"/>
      <c r="QMQ71" s="117"/>
      <c r="QMR71" s="117"/>
      <c r="QMS71" s="117"/>
      <c r="QMT71" s="117"/>
      <c r="QMU71" s="117"/>
      <c r="QMV71" s="117"/>
      <c r="QMW71" s="117"/>
      <c r="QMX71" s="117"/>
      <c r="QMY71" s="117"/>
      <c r="QMZ71" s="117"/>
      <c r="QNA71" s="117"/>
      <c r="QNB71" s="117"/>
      <c r="QNC71" s="117"/>
      <c r="QND71" s="117"/>
      <c r="QNE71" s="117"/>
      <c r="QNF71" s="117"/>
      <c r="QNG71" s="117"/>
      <c r="QNH71" s="117"/>
      <c r="QNI71" s="117"/>
      <c r="QNJ71" s="117"/>
      <c r="QNK71" s="117"/>
      <c r="QNL71" s="117"/>
      <c r="QNM71" s="117"/>
      <c r="QNN71" s="117"/>
      <c r="QNO71" s="117"/>
      <c r="QNP71" s="117"/>
      <c r="QNQ71" s="117"/>
      <c r="QNR71" s="117"/>
      <c r="QNS71" s="117"/>
      <c r="QNT71" s="117"/>
      <c r="QNU71" s="117"/>
      <c r="QNV71" s="117"/>
      <c r="QNW71" s="117"/>
      <c r="QNX71" s="117"/>
      <c r="QNY71" s="117"/>
      <c r="QNZ71" s="117"/>
      <c r="QOA71" s="117"/>
      <c r="QOB71" s="117"/>
      <c r="QOC71" s="117"/>
      <c r="QOD71" s="117"/>
      <c r="QOE71" s="117"/>
      <c r="QOF71" s="117"/>
      <c r="QOG71" s="117"/>
      <c r="QOH71" s="117"/>
      <c r="QOI71" s="117"/>
      <c r="QOJ71" s="117"/>
      <c r="QOK71" s="117"/>
      <c r="QOL71" s="117"/>
      <c r="QOM71" s="117"/>
      <c r="QON71" s="117"/>
      <c r="QOO71" s="117"/>
      <c r="QOP71" s="117"/>
      <c r="QOQ71" s="117"/>
      <c r="QOR71" s="117"/>
      <c r="QOS71" s="117"/>
      <c r="QOT71" s="117"/>
      <c r="QOU71" s="117"/>
      <c r="QOV71" s="117"/>
      <c r="QOW71" s="117"/>
      <c r="QOX71" s="117"/>
      <c r="QOY71" s="117"/>
      <c r="QOZ71" s="117"/>
      <c r="QPA71" s="117"/>
      <c r="QPB71" s="117"/>
      <c r="QPC71" s="117"/>
      <c r="QPD71" s="117"/>
      <c r="QPE71" s="117"/>
      <c r="QPF71" s="117"/>
      <c r="QPG71" s="117"/>
      <c r="QPH71" s="117"/>
      <c r="QPI71" s="117"/>
      <c r="QPJ71" s="117"/>
      <c r="QPK71" s="117"/>
      <c r="QPL71" s="117"/>
      <c r="QPM71" s="117"/>
      <c r="QPN71" s="117"/>
      <c r="QPO71" s="117"/>
      <c r="QPP71" s="117"/>
      <c r="QPQ71" s="117"/>
      <c r="QPR71" s="117"/>
      <c r="QPS71" s="117"/>
      <c r="QPT71" s="117"/>
      <c r="QPU71" s="117"/>
      <c r="QPV71" s="117"/>
      <c r="QPW71" s="117"/>
      <c r="QPX71" s="117"/>
      <c r="QPY71" s="117"/>
      <c r="QPZ71" s="117"/>
      <c r="QQA71" s="117"/>
      <c r="QQB71" s="117"/>
      <c r="QQC71" s="117"/>
      <c r="QQD71" s="117"/>
      <c r="QQE71" s="117"/>
      <c r="QQF71" s="117"/>
      <c r="QQG71" s="117"/>
      <c r="QQH71" s="117"/>
      <c r="QQI71" s="117"/>
      <c r="QQJ71" s="117"/>
      <c r="QQK71" s="117"/>
      <c r="QQL71" s="117"/>
      <c r="QQM71" s="117"/>
      <c r="QQN71" s="117"/>
      <c r="QQO71" s="117"/>
      <c r="QQP71" s="117"/>
      <c r="QQQ71" s="117"/>
      <c r="QQR71" s="117"/>
      <c r="QQS71" s="117"/>
      <c r="QQT71" s="117"/>
      <c r="QQU71" s="117"/>
      <c r="QQV71" s="117"/>
      <c r="QQW71" s="117"/>
      <c r="QQX71" s="117"/>
      <c r="QQY71" s="117"/>
      <c r="QQZ71" s="117"/>
      <c r="QRA71" s="117"/>
      <c r="QRB71" s="117"/>
      <c r="QRC71" s="117"/>
      <c r="QRD71" s="117"/>
      <c r="QRE71" s="117"/>
      <c r="QRF71" s="117"/>
      <c r="QRG71" s="117"/>
      <c r="QRH71" s="117"/>
      <c r="QRI71" s="117"/>
      <c r="QRJ71" s="117"/>
      <c r="QRK71" s="117"/>
      <c r="QRL71" s="117"/>
      <c r="QRM71" s="117"/>
      <c r="QRN71" s="117"/>
      <c r="QRO71" s="117"/>
      <c r="QRP71" s="117"/>
      <c r="QRQ71" s="117"/>
      <c r="QRR71" s="117"/>
      <c r="QRS71" s="117"/>
      <c r="QRT71" s="117"/>
      <c r="QRU71" s="117"/>
      <c r="QRV71" s="117"/>
      <c r="QRW71" s="117"/>
      <c r="QRX71" s="117"/>
      <c r="QRY71" s="117"/>
      <c r="QRZ71" s="117"/>
      <c r="QSA71" s="117"/>
      <c r="QSB71" s="117"/>
      <c r="QSC71" s="117"/>
      <c r="QSD71" s="117"/>
      <c r="QSE71" s="117"/>
      <c r="QSF71" s="117"/>
      <c r="QSG71" s="117"/>
      <c r="QSH71" s="117"/>
      <c r="QSI71" s="117"/>
      <c r="QSJ71" s="117"/>
      <c r="QSK71" s="117"/>
      <c r="QSL71" s="117"/>
      <c r="QSM71" s="117"/>
      <c r="QSN71" s="117"/>
      <c r="QSO71" s="117"/>
      <c r="QSP71" s="117"/>
      <c r="QSQ71" s="117"/>
      <c r="QSR71" s="117"/>
      <c r="QSS71" s="117"/>
      <c r="QST71" s="117"/>
      <c r="QSU71" s="117"/>
      <c r="QSV71" s="117"/>
      <c r="QSW71" s="117"/>
      <c r="QSX71" s="117"/>
      <c r="QSY71" s="117"/>
      <c r="QSZ71" s="117"/>
      <c r="QTA71" s="117"/>
      <c r="QTB71" s="117"/>
      <c r="QTC71" s="117"/>
      <c r="QTD71" s="117"/>
      <c r="QTE71" s="117"/>
      <c r="QTF71" s="117"/>
      <c r="QTG71" s="117"/>
      <c r="QTH71" s="117"/>
      <c r="QTI71" s="117"/>
      <c r="QTJ71" s="117"/>
      <c r="QTK71" s="117"/>
      <c r="QTL71" s="117"/>
      <c r="QTM71" s="117"/>
      <c r="QTN71" s="117"/>
      <c r="QTO71" s="117"/>
      <c r="QTP71" s="117"/>
      <c r="QTQ71" s="117"/>
      <c r="QTR71" s="117"/>
      <c r="QTS71" s="117"/>
      <c r="QTT71" s="117"/>
      <c r="QTU71" s="117"/>
      <c r="QTV71" s="117"/>
      <c r="QTW71" s="117"/>
      <c r="QTX71" s="117"/>
      <c r="QTY71" s="117"/>
      <c r="QTZ71" s="117"/>
      <c r="QUA71" s="117"/>
      <c r="QUB71" s="117"/>
      <c r="QUC71" s="117"/>
      <c r="QUD71" s="117"/>
      <c r="QUE71" s="117"/>
      <c r="QUF71" s="117"/>
      <c r="QUG71" s="117"/>
      <c r="QUH71" s="117"/>
      <c r="QUI71" s="117"/>
      <c r="QUJ71" s="117"/>
      <c r="QUK71" s="117"/>
      <c r="QUL71" s="117"/>
      <c r="QUM71" s="117"/>
      <c r="QUN71" s="117"/>
      <c r="QUO71" s="117"/>
      <c r="QUP71" s="117"/>
      <c r="QUQ71" s="117"/>
      <c r="QUR71" s="117"/>
      <c r="QUS71" s="117"/>
      <c r="QUT71" s="117"/>
      <c r="QUU71" s="117"/>
      <c r="QUV71" s="117"/>
      <c r="QUW71" s="117"/>
      <c r="QUX71" s="117"/>
      <c r="QUY71" s="117"/>
      <c r="QUZ71" s="117"/>
      <c r="QVA71" s="117"/>
      <c r="QVB71" s="117"/>
      <c r="QVC71" s="117"/>
      <c r="QVD71" s="117"/>
      <c r="QVE71" s="117"/>
      <c r="QVF71" s="117"/>
      <c r="QVG71" s="117"/>
      <c r="QVH71" s="117"/>
      <c r="QVI71" s="117"/>
      <c r="QVJ71" s="117"/>
      <c r="QVK71" s="117"/>
      <c r="QVL71" s="117"/>
      <c r="QVM71" s="117"/>
      <c r="QVN71" s="117"/>
      <c r="QVO71" s="117"/>
      <c r="QVP71" s="117"/>
      <c r="QVQ71" s="117"/>
      <c r="QVR71" s="117"/>
      <c r="QVS71" s="117"/>
      <c r="QVT71" s="117"/>
      <c r="QVU71" s="117"/>
      <c r="QVV71" s="117"/>
      <c r="QVW71" s="117"/>
      <c r="QVX71" s="117"/>
      <c r="QVY71" s="117"/>
      <c r="QVZ71" s="117"/>
      <c r="QWA71" s="117"/>
      <c r="QWB71" s="117"/>
      <c r="QWC71" s="117"/>
      <c r="QWD71" s="117"/>
      <c r="QWE71" s="117"/>
      <c r="QWF71" s="117"/>
      <c r="QWG71" s="117"/>
      <c r="QWH71" s="117"/>
      <c r="QWI71" s="117"/>
      <c r="QWJ71" s="117"/>
      <c r="QWK71" s="117"/>
      <c r="QWL71" s="117"/>
      <c r="QWM71" s="117"/>
      <c r="QWN71" s="117"/>
      <c r="QWO71" s="117"/>
      <c r="QWP71" s="117"/>
      <c r="QWQ71" s="117"/>
      <c r="QWR71" s="117"/>
      <c r="QWS71" s="117"/>
      <c r="QWT71" s="117"/>
      <c r="QWU71" s="117"/>
      <c r="QWV71" s="117"/>
      <c r="QWW71" s="117"/>
      <c r="QWX71" s="117"/>
      <c r="QWY71" s="117"/>
      <c r="QWZ71" s="117"/>
      <c r="QXA71" s="117"/>
      <c r="QXB71" s="117"/>
      <c r="QXC71" s="117"/>
      <c r="QXD71" s="117"/>
      <c r="QXE71" s="117"/>
      <c r="QXF71" s="117"/>
      <c r="QXG71" s="117"/>
      <c r="QXH71" s="117"/>
      <c r="QXI71" s="117"/>
      <c r="QXJ71" s="117"/>
      <c r="QXK71" s="117"/>
      <c r="QXL71" s="117"/>
      <c r="QXM71" s="117"/>
      <c r="QXN71" s="117"/>
      <c r="QXO71" s="117"/>
      <c r="QXP71" s="117"/>
      <c r="QXQ71" s="117"/>
      <c r="QXR71" s="117"/>
      <c r="QXS71" s="117"/>
      <c r="QXT71" s="117"/>
      <c r="QXU71" s="117"/>
      <c r="QXV71" s="117"/>
      <c r="QXW71" s="117"/>
      <c r="QXX71" s="117"/>
      <c r="QXY71" s="117"/>
      <c r="QXZ71" s="117"/>
      <c r="QYA71" s="117"/>
      <c r="QYB71" s="117"/>
      <c r="QYC71" s="117"/>
      <c r="QYD71" s="117"/>
      <c r="QYE71" s="117"/>
      <c r="QYF71" s="117"/>
      <c r="QYG71" s="117"/>
      <c r="QYH71" s="117"/>
      <c r="QYI71" s="117"/>
      <c r="QYJ71" s="117"/>
      <c r="QYK71" s="117"/>
      <c r="QYL71" s="117"/>
      <c r="QYM71" s="117"/>
      <c r="QYN71" s="117"/>
      <c r="QYO71" s="117"/>
      <c r="QYP71" s="117"/>
      <c r="QYQ71" s="117"/>
      <c r="QYR71" s="117"/>
      <c r="QYS71" s="117"/>
      <c r="QYT71" s="117"/>
      <c r="QYU71" s="117"/>
      <c r="QYV71" s="117"/>
      <c r="QYW71" s="117"/>
      <c r="QYX71" s="117"/>
      <c r="QYY71" s="117"/>
      <c r="QYZ71" s="117"/>
      <c r="QZA71" s="117"/>
      <c r="QZB71" s="117"/>
      <c r="QZC71" s="117"/>
      <c r="QZD71" s="117"/>
      <c r="QZE71" s="117"/>
      <c r="QZF71" s="117"/>
      <c r="QZG71" s="117"/>
      <c r="QZH71" s="117"/>
      <c r="QZI71" s="117"/>
      <c r="QZJ71" s="117"/>
      <c r="QZK71" s="117"/>
      <c r="QZL71" s="117"/>
      <c r="QZM71" s="117"/>
      <c r="QZN71" s="117"/>
      <c r="QZO71" s="117"/>
      <c r="QZP71" s="117"/>
      <c r="QZQ71" s="117"/>
      <c r="QZR71" s="117"/>
      <c r="QZS71" s="117"/>
      <c r="QZT71" s="117"/>
      <c r="QZU71" s="117"/>
      <c r="QZV71" s="117"/>
      <c r="QZW71" s="117"/>
      <c r="QZX71" s="117"/>
      <c r="QZY71" s="117"/>
      <c r="QZZ71" s="117"/>
      <c r="RAA71" s="117"/>
      <c r="RAB71" s="117"/>
      <c r="RAC71" s="117"/>
      <c r="RAD71" s="117"/>
      <c r="RAE71" s="117"/>
      <c r="RAF71" s="117"/>
      <c r="RAG71" s="117"/>
      <c r="RAH71" s="117"/>
      <c r="RAI71" s="117"/>
      <c r="RAJ71" s="117"/>
      <c r="RAK71" s="117"/>
      <c r="RAL71" s="117"/>
      <c r="RAM71" s="117"/>
      <c r="RAN71" s="117"/>
      <c r="RAO71" s="117"/>
      <c r="RAP71" s="117"/>
      <c r="RAQ71" s="117"/>
      <c r="RAR71" s="117"/>
      <c r="RAS71" s="117"/>
      <c r="RAT71" s="117"/>
      <c r="RAU71" s="117"/>
      <c r="RAV71" s="117"/>
      <c r="RAW71" s="117"/>
      <c r="RAX71" s="117"/>
      <c r="RAY71" s="117"/>
      <c r="RAZ71" s="117"/>
      <c r="RBA71" s="117"/>
      <c r="RBB71" s="117"/>
      <c r="RBC71" s="117"/>
      <c r="RBD71" s="117"/>
      <c r="RBE71" s="117"/>
      <c r="RBF71" s="117"/>
      <c r="RBG71" s="117"/>
      <c r="RBH71" s="117"/>
      <c r="RBI71" s="117"/>
      <c r="RBJ71" s="117"/>
      <c r="RBK71" s="117"/>
      <c r="RBL71" s="117"/>
      <c r="RBM71" s="117"/>
      <c r="RBN71" s="117"/>
      <c r="RBO71" s="117"/>
      <c r="RBP71" s="117"/>
      <c r="RBQ71" s="117"/>
      <c r="RBR71" s="117"/>
      <c r="RBS71" s="117"/>
      <c r="RBT71" s="117"/>
      <c r="RBU71" s="117"/>
      <c r="RBV71" s="117"/>
      <c r="RBW71" s="117"/>
      <c r="RBX71" s="117"/>
      <c r="RBY71" s="117"/>
      <c r="RBZ71" s="117"/>
      <c r="RCA71" s="117"/>
      <c r="RCB71" s="117"/>
      <c r="RCC71" s="117"/>
      <c r="RCD71" s="117"/>
      <c r="RCE71" s="117"/>
      <c r="RCF71" s="117"/>
      <c r="RCG71" s="117"/>
      <c r="RCH71" s="117"/>
      <c r="RCI71" s="117"/>
      <c r="RCJ71" s="117"/>
      <c r="RCK71" s="117"/>
      <c r="RCL71" s="117"/>
      <c r="RCM71" s="117"/>
      <c r="RCN71" s="117"/>
      <c r="RCO71" s="117"/>
      <c r="RCP71" s="117"/>
      <c r="RCQ71" s="117"/>
      <c r="RCR71" s="117"/>
      <c r="RCS71" s="117"/>
      <c r="RCT71" s="117"/>
      <c r="RCU71" s="117"/>
      <c r="RCV71" s="117"/>
      <c r="RCW71" s="117"/>
      <c r="RCX71" s="117"/>
      <c r="RCY71" s="117"/>
      <c r="RCZ71" s="117"/>
      <c r="RDA71" s="117"/>
      <c r="RDB71" s="117"/>
      <c r="RDC71" s="117"/>
      <c r="RDD71" s="117"/>
      <c r="RDE71" s="117"/>
      <c r="RDF71" s="117"/>
      <c r="RDG71" s="117"/>
      <c r="RDH71" s="117"/>
      <c r="RDI71" s="117"/>
      <c r="RDJ71" s="117"/>
      <c r="RDK71" s="117"/>
      <c r="RDL71" s="117"/>
      <c r="RDM71" s="117"/>
      <c r="RDN71" s="117"/>
      <c r="RDO71" s="117"/>
      <c r="RDP71" s="117"/>
      <c r="RDQ71" s="117"/>
      <c r="RDR71" s="117"/>
      <c r="RDS71" s="117"/>
      <c r="RDT71" s="117"/>
      <c r="RDU71" s="117"/>
      <c r="RDV71" s="117"/>
      <c r="RDW71" s="117"/>
      <c r="RDX71" s="117"/>
      <c r="RDY71" s="117"/>
      <c r="RDZ71" s="117"/>
      <c r="REA71" s="117"/>
      <c r="REB71" s="117"/>
      <c r="REC71" s="117"/>
      <c r="RED71" s="117"/>
      <c r="REE71" s="117"/>
      <c r="REF71" s="117"/>
      <c r="REG71" s="117"/>
      <c r="REH71" s="117"/>
      <c r="REI71" s="117"/>
      <c r="REJ71" s="117"/>
      <c r="REK71" s="117"/>
      <c r="REL71" s="117"/>
      <c r="REM71" s="117"/>
      <c r="REN71" s="117"/>
      <c r="REO71" s="117"/>
      <c r="REP71" s="117"/>
      <c r="REQ71" s="117"/>
      <c r="RER71" s="117"/>
      <c r="RES71" s="117"/>
      <c r="RET71" s="117"/>
      <c r="REU71" s="117"/>
      <c r="REV71" s="117"/>
      <c r="REW71" s="117"/>
      <c r="REX71" s="117"/>
      <c r="REY71" s="117"/>
      <c r="REZ71" s="117"/>
      <c r="RFA71" s="117"/>
      <c r="RFB71" s="117"/>
      <c r="RFC71" s="117"/>
      <c r="RFD71" s="117"/>
      <c r="RFE71" s="117"/>
      <c r="RFF71" s="117"/>
      <c r="RFG71" s="117"/>
      <c r="RFH71" s="117"/>
      <c r="RFI71" s="117"/>
      <c r="RFJ71" s="117"/>
      <c r="RFK71" s="117"/>
      <c r="RFL71" s="117"/>
      <c r="RFM71" s="117"/>
      <c r="RFN71" s="117"/>
      <c r="RFO71" s="117"/>
      <c r="RFP71" s="117"/>
      <c r="RFQ71" s="117"/>
      <c r="RFR71" s="117"/>
      <c r="RFS71" s="117"/>
      <c r="RFT71" s="117"/>
      <c r="RFU71" s="117"/>
      <c r="RFV71" s="117"/>
      <c r="RFW71" s="117"/>
      <c r="RFX71" s="117"/>
      <c r="RFY71" s="117"/>
      <c r="RFZ71" s="117"/>
      <c r="RGA71" s="117"/>
      <c r="RGB71" s="117"/>
      <c r="RGC71" s="117"/>
      <c r="RGD71" s="117"/>
      <c r="RGE71" s="117"/>
      <c r="RGF71" s="117"/>
      <c r="RGG71" s="117"/>
      <c r="RGH71" s="117"/>
      <c r="RGI71" s="117"/>
      <c r="RGJ71" s="117"/>
      <c r="RGK71" s="117"/>
      <c r="RGL71" s="117"/>
      <c r="RGM71" s="117"/>
      <c r="RGN71" s="117"/>
      <c r="RGO71" s="117"/>
      <c r="RGP71" s="117"/>
      <c r="RGQ71" s="117"/>
      <c r="RGR71" s="117"/>
      <c r="RGS71" s="117"/>
      <c r="RGT71" s="117"/>
      <c r="RGU71" s="117"/>
      <c r="RGV71" s="117"/>
      <c r="RGW71" s="117"/>
      <c r="RGX71" s="117"/>
      <c r="RGY71" s="117"/>
      <c r="RGZ71" s="117"/>
      <c r="RHA71" s="117"/>
      <c r="RHB71" s="117"/>
      <c r="RHC71" s="117"/>
      <c r="RHD71" s="117"/>
      <c r="RHE71" s="117"/>
      <c r="RHF71" s="117"/>
      <c r="RHG71" s="117"/>
      <c r="RHH71" s="117"/>
      <c r="RHI71" s="117"/>
      <c r="RHJ71" s="117"/>
      <c r="RHK71" s="117"/>
      <c r="RHL71" s="117"/>
      <c r="RHM71" s="117"/>
      <c r="RHN71" s="117"/>
      <c r="RHO71" s="117"/>
      <c r="RHP71" s="117"/>
      <c r="RHQ71" s="117"/>
      <c r="RHR71" s="117"/>
      <c r="RHS71" s="117"/>
      <c r="RHT71" s="117"/>
      <c r="RHU71" s="117"/>
      <c r="RHV71" s="117"/>
      <c r="RHW71" s="117"/>
      <c r="RHX71" s="117"/>
      <c r="RHY71" s="117"/>
      <c r="RHZ71" s="117"/>
      <c r="RIA71" s="117"/>
      <c r="RIB71" s="117"/>
      <c r="RIC71" s="117"/>
      <c r="RID71" s="117"/>
      <c r="RIE71" s="117"/>
      <c r="RIF71" s="117"/>
      <c r="RIG71" s="117"/>
      <c r="RIH71" s="117"/>
      <c r="RII71" s="117"/>
      <c r="RIJ71" s="117"/>
      <c r="RIK71" s="117"/>
      <c r="RIL71" s="117"/>
      <c r="RIM71" s="117"/>
      <c r="RIN71" s="117"/>
      <c r="RIO71" s="117"/>
      <c r="RIP71" s="117"/>
      <c r="RIQ71" s="117"/>
      <c r="RIR71" s="117"/>
      <c r="RIS71" s="117"/>
      <c r="RIT71" s="117"/>
      <c r="RIU71" s="117"/>
      <c r="RIV71" s="117"/>
      <c r="RIW71" s="117"/>
      <c r="RIX71" s="117"/>
      <c r="RIY71" s="117"/>
      <c r="RIZ71" s="117"/>
      <c r="RJA71" s="117"/>
      <c r="RJB71" s="117"/>
      <c r="RJC71" s="117"/>
      <c r="RJD71" s="117"/>
      <c r="RJE71" s="117"/>
      <c r="RJF71" s="117"/>
      <c r="RJG71" s="117"/>
      <c r="RJH71" s="117"/>
      <c r="RJI71" s="117"/>
      <c r="RJJ71" s="117"/>
      <c r="RJK71" s="117"/>
      <c r="RJL71" s="117"/>
      <c r="RJM71" s="117"/>
      <c r="RJN71" s="117"/>
      <c r="RJO71" s="117"/>
      <c r="RJP71" s="117"/>
      <c r="RJQ71" s="117"/>
      <c r="RJR71" s="117"/>
      <c r="RJS71" s="117"/>
      <c r="RJT71" s="117"/>
      <c r="RJU71" s="117"/>
      <c r="RJV71" s="117"/>
      <c r="RJW71" s="117"/>
      <c r="RJX71" s="117"/>
      <c r="RJY71" s="117"/>
      <c r="RJZ71" s="117"/>
      <c r="RKA71" s="117"/>
      <c r="RKB71" s="117"/>
      <c r="RKC71" s="117"/>
      <c r="RKD71" s="117"/>
      <c r="RKE71" s="117"/>
      <c r="RKF71" s="117"/>
      <c r="RKG71" s="117"/>
      <c r="RKH71" s="117"/>
      <c r="RKI71" s="117"/>
      <c r="RKJ71" s="117"/>
      <c r="RKK71" s="117"/>
      <c r="RKL71" s="117"/>
      <c r="RKM71" s="117"/>
      <c r="RKN71" s="117"/>
      <c r="RKO71" s="117"/>
      <c r="RKP71" s="117"/>
      <c r="RKQ71" s="117"/>
      <c r="RKR71" s="117"/>
      <c r="RKS71" s="117"/>
      <c r="RKT71" s="117"/>
      <c r="RKU71" s="117"/>
      <c r="RKV71" s="117"/>
      <c r="RKW71" s="117"/>
      <c r="RKX71" s="117"/>
      <c r="RKY71" s="117"/>
      <c r="RKZ71" s="117"/>
      <c r="RLA71" s="117"/>
      <c r="RLB71" s="117"/>
      <c r="RLC71" s="117"/>
      <c r="RLD71" s="117"/>
      <c r="RLE71" s="117"/>
      <c r="RLF71" s="117"/>
      <c r="RLG71" s="117"/>
      <c r="RLH71" s="117"/>
      <c r="RLI71" s="117"/>
      <c r="RLJ71" s="117"/>
      <c r="RLK71" s="117"/>
      <c r="RLL71" s="117"/>
      <c r="RLM71" s="117"/>
      <c r="RLN71" s="117"/>
      <c r="RLO71" s="117"/>
      <c r="RLP71" s="117"/>
      <c r="RLQ71" s="117"/>
      <c r="RLR71" s="117"/>
      <c r="RLS71" s="117"/>
      <c r="RLT71" s="117"/>
      <c r="RLU71" s="117"/>
      <c r="RLV71" s="117"/>
      <c r="RLW71" s="117"/>
      <c r="RLX71" s="117"/>
      <c r="RLY71" s="117"/>
      <c r="RLZ71" s="117"/>
      <c r="RMA71" s="117"/>
      <c r="RMB71" s="117"/>
      <c r="RMC71" s="117"/>
      <c r="RMD71" s="117"/>
      <c r="RME71" s="117"/>
      <c r="RMF71" s="117"/>
      <c r="RMG71" s="117"/>
      <c r="RMH71" s="117"/>
      <c r="RMI71" s="117"/>
      <c r="RMJ71" s="117"/>
      <c r="RMK71" s="117"/>
      <c r="RML71" s="117"/>
      <c r="RMM71" s="117"/>
      <c r="RMN71" s="117"/>
      <c r="RMO71" s="117"/>
      <c r="RMP71" s="117"/>
      <c r="RMQ71" s="117"/>
      <c r="RMR71" s="117"/>
      <c r="RMS71" s="117"/>
      <c r="RMT71" s="117"/>
      <c r="RMU71" s="117"/>
      <c r="RMV71" s="117"/>
      <c r="RMW71" s="117"/>
      <c r="RMX71" s="117"/>
      <c r="RMY71" s="117"/>
      <c r="RMZ71" s="117"/>
      <c r="RNA71" s="117"/>
      <c r="RNB71" s="117"/>
      <c r="RNC71" s="117"/>
      <c r="RND71" s="117"/>
      <c r="RNE71" s="117"/>
      <c r="RNF71" s="117"/>
      <c r="RNG71" s="117"/>
      <c r="RNH71" s="117"/>
      <c r="RNI71" s="117"/>
      <c r="RNJ71" s="117"/>
      <c r="RNK71" s="117"/>
      <c r="RNL71" s="117"/>
      <c r="RNM71" s="117"/>
      <c r="RNN71" s="117"/>
      <c r="RNO71" s="117"/>
      <c r="RNP71" s="117"/>
      <c r="RNQ71" s="117"/>
      <c r="RNR71" s="117"/>
      <c r="RNS71" s="117"/>
      <c r="RNT71" s="117"/>
      <c r="RNU71" s="117"/>
      <c r="RNV71" s="117"/>
      <c r="RNW71" s="117"/>
      <c r="RNX71" s="117"/>
      <c r="RNY71" s="117"/>
      <c r="RNZ71" s="117"/>
      <c r="ROA71" s="117"/>
      <c r="ROB71" s="117"/>
      <c r="ROC71" s="117"/>
      <c r="ROD71" s="117"/>
      <c r="ROE71" s="117"/>
      <c r="ROF71" s="117"/>
      <c r="ROG71" s="117"/>
      <c r="ROH71" s="117"/>
      <c r="ROI71" s="117"/>
      <c r="ROJ71" s="117"/>
      <c r="ROK71" s="117"/>
      <c r="ROL71" s="117"/>
      <c r="ROM71" s="117"/>
      <c r="RON71" s="117"/>
      <c r="ROO71" s="117"/>
      <c r="ROP71" s="117"/>
      <c r="ROQ71" s="117"/>
      <c r="ROR71" s="117"/>
      <c r="ROS71" s="117"/>
      <c r="ROT71" s="117"/>
      <c r="ROU71" s="117"/>
      <c r="ROV71" s="117"/>
      <c r="ROW71" s="117"/>
      <c r="ROX71" s="117"/>
      <c r="ROY71" s="117"/>
      <c r="ROZ71" s="117"/>
      <c r="RPA71" s="117"/>
      <c r="RPB71" s="117"/>
      <c r="RPC71" s="117"/>
      <c r="RPD71" s="117"/>
      <c r="RPE71" s="117"/>
      <c r="RPF71" s="117"/>
      <c r="RPG71" s="117"/>
      <c r="RPH71" s="117"/>
      <c r="RPI71" s="117"/>
      <c r="RPJ71" s="117"/>
      <c r="RPK71" s="117"/>
      <c r="RPL71" s="117"/>
      <c r="RPM71" s="117"/>
      <c r="RPN71" s="117"/>
      <c r="RPO71" s="117"/>
      <c r="RPP71" s="117"/>
      <c r="RPQ71" s="117"/>
      <c r="RPR71" s="117"/>
      <c r="RPS71" s="117"/>
      <c r="RPT71" s="117"/>
      <c r="RPU71" s="117"/>
      <c r="RPV71" s="117"/>
      <c r="RPW71" s="117"/>
      <c r="RPX71" s="117"/>
      <c r="RPY71" s="117"/>
      <c r="RPZ71" s="117"/>
      <c r="RQA71" s="117"/>
      <c r="RQB71" s="117"/>
      <c r="RQC71" s="117"/>
      <c r="RQD71" s="117"/>
      <c r="RQE71" s="117"/>
      <c r="RQF71" s="117"/>
      <c r="RQG71" s="117"/>
      <c r="RQH71" s="117"/>
      <c r="RQI71" s="117"/>
      <c r="RQJ71" s="117"/>
      <c r="RQK71" s="117"/>
      <c r="RQL71" s="117"/>
      <c r="RQM71" s="117"/>
      <c r="RQN71" s="117"/>
      <c r="RQO71" s="117"/>
      <c r="RQP71" s="117"/>
      <c r="RQQ71" s="117"/>
      <c r="RQR71" s="117"/>
      <c r="RQS71" s="117"/>
      <c r="RQT71" s="117"/>
      <c r="RQU71" s="117"/>
      <c r="RQV71" s="117"/>
      <c r="RQW71" s="117"/>
      <c r="RQX71" s="117"/>
      <c r="RQY71" s="117"/>
      <c r="RQZ71" s="117"/>
      <c r="RRA71" s="117"/>
      <c r="RRB71" s="117"/>
      <c r="RRC71" s="117"/>
      <c r="RRD71" s="117"/>
      <c r="RRE71" s="117"/>
      <c r="RRF71" s="117"/>
      <c r="RRG71" s="117"/>
      <c r="RRH71" s="117"/>
      <c r="RRI71" s="117"/>
      <c r="RRJ71" s="117"/>
      <c r="RRK71" s="117"/>
      <c r="RRL71" s="117"/>
      <c r="RRM71" s="117"/>
      <c r="RRN71" s="117"/>
      <c r="RRO71" s="117"/>
      <c r="RRP71" s="117"/>
      <c r="RRQ71" s="117"/>
      <c r="RRR71" s="117"/>
      <c r="RRS71" s="117"/>
      <c r="RRT71" s="117"/>
      <c r="RRU71" s="117"/>
      <c r="RRV71" s="117"/>
      <c r="RRW71" s="117"/>
      <c r="RRX71" s="117"/>
      <c r="RRY71" s="117"/>
      <c r="RRZ71" s="117"/>
      <c r="RSA71" s="117"/>
      <c r="RSB71" s="117"/>
      <c r="RSC71" s="117"/>
      <c r="RSD71" s="117"/>
      <c r="RSE71" s="117"/>
      <c r="RSF71" s="117"/>
      <c r="RSG71" s="117"/>
      <c r="RSH71" s="117"/>
      <c r="RSI71" s="117"/>
      <c r="RSJ71" s="117"/>
      <c r="RSK71" s="117"/>
      <c r="RSL71" s="117"/>
      <c r="RSM71" s="117"/>
      <c r="RSN71" s="117"/>
      <c r="RSO71" s="117"/>
      <c r="RSP71" s="117"/>
      <c r="RSQ71" s="117"/>
      <c r="RSR71" s="117"/>
      <c r="RSS71" s="117"/>
      <c r="RST71" s="117"/>
      <c r="RSU71" s="117"/>
      <c r="RSV71" s="117"/>
      <c r="RSW71" s="117"/>
      <c r="RSX71" s="117"/>
      <c r="RSY71" s="117"/>
      <c r="RSZ71" s="117"/>
      <c r="RTA71" s="117"/>
      <c r="RTB71" s="117"/>
      <c r="RTC71" s="117"/>
      <c r="RTD71" s="117"/>
      <c r="RTE71" s="117"/>
      <c r="RTF71" s="117"/>
      <c r="RTG71" s="117"/>
      <c r="RTH71" s="117"/>
      <c r="RTI71" s="117"/>
      <c r="RTJ71" s="117"/>
      <c r="RTK71" s="117"/>
      <c r="RTL71" s="117"/>
      <c r="RTM71" s="117"/>
      <c r="RTN71" s="117"/>
      <c r="RTO71" s="117"/>
      <c r="RTP71" s="117"/>
      <c r="RTQ71" s="117"/>
      <c r="RTR71" s="117"/>
      <c r="RTS71" s="117"/>
      <c r="RTT71" s="117"/>
      <c r="RTU71" s="117"/>
      <c r="RTV71" s="117"/>
      <c r="RTW71" s="117"/>
      <c r="RTX71" s="117"/>
      <c r="RTY71" s="117"/>
      <c r="RTZ71" s="117"/>
      <c r="RUA71" s="117"/>
      <c r="RUB71" s="117"/>
      <c r="RUC71" s="117"/>
      <c r="RUD71" s="117"/>
      <c r="RUE71" s="117"/>
      <c r="RUF71" s="117"/>
      <c r="RUG71" s="117"/>
      <c r="RUH71" s="117"/>
      <c r="RUI71" s="117"/>
      <c r="RUJ71" s="117"/>
      <c r="RUK71" s="117"/>
      <c r="RUL71" s="117"/>
      <c r="RUM71" s="117"/>
      <c r="RUN71" s="117"/>
      <c r="RUO71" s="117"/>
      <c r="RUP71" s="117"/>
      <c r="RUQ71" s="117"/>
      <c r="RUR71" s="117"/>
      <c r="RUS71" s="117"/>
      <c r="RUT71" s="117"/>
      <c r="RUU71" s="117"/>
      <c r="RUV71" s="117"/>
      <c r="RUW71" s="117"/>
      <c r="RUX71" s="117"/>
      <c r="RUY71" s="117"/>
      <c r="RUZ71" s="117"/>
      <c r="RVA71" s="117"/>
      <c r="RVB71" s="117"/>
      <c r="RVC71" s="117"/>
      <c r="RVD71" s="117"/>
      <c r="RVE71" s="117"/>
      <c r="RVF71" s="117"/>
      <c r="RVG71" s="117"/>
      <c r="RVH71" s="117"/>
      <c r="RVI71" s="117"/>
      <c r="RVJ71" s="117"/>
      <c r="RVK71" s="117"/>
      <c r="RVL71" s="117"/>
      <c r="RVM71" s="117"/>
      <c r="RVN71" s="117"/>
      <c r="RVO71" s="117"/>
      <c r="RVP71" s="117"/>
      <c r="RVQ71" s="117"/>
      <c r="RVR71" s="117"/>
      <c r="RVS71" s="117"/>
      <c r="RVT71" s="117"/>
      <c r="RVU71" s="117"/>
      <c r="RVV71" s="117"/>
      <c r="RVW71" s="117"/>
      <c r="RVX71" s="117"/>
      <c r="RVY71" s="117"/>
      <c r="RVZ71" s="117"/>
      <c r="RWA71" s="117"/>
      <c r="RWB71" s="117"/>
      <c r="RWC71" s="117"/>
      <c r="RWD71" s="117"/>
      <c r="RWE71" s="117"/>
      <c r="RWF71" s="117"/>
      <c r="RWG71" s="117"/>
      <c r="RWH71" s="117"/>
      <c r="RWI71" s="117"/>
      <c r="RWJ71" s="117"/>
      <c r="RWK71" s="117"/>
      <c r="RWL71" s="117"/>
      <c r="RWM71" s="117"/>
      <c r="RWN71" s="117"/>
      <c r="RWO71" s="117"/>
      <c r="RWP71" s="117"/>
      <c r="RWQ71" s="117"/>
      <c r="RWR71" s="117"/>
      <c r="RWS71" s="117"/>
      <c r="RWT71" s="117"/>
      <c r="RWU71" s="117"/>
      <c r="RWV71" s="117"/>
      <c r="RWW71" s="117"/>
      <c r="RWX71" s="117"/>
      <c r="RWY71" s="117"/>
      <c r="RWZ71" s="117"/>
      <c r="RXA71" s="117"/>
      <c r="RXB71" s="117"/>
      <c r="RXC71" s="117"/>
      <c r="RXD71" s="117"/>
      <c r="RXE71" s="117"/>
      <c r="RXF71" s="117"/>
      <c r="RXG71" s="117"/>
      <c r="RXH71" s="117"/>
      <c r="RXI71" s="117"/>
      <c r="RXJ71" s="117"/>
      <c r="RXK71" s="117"/>
      <c r="RXL71" s="117"/>
      <c r="RXM71" s="117"/>
      <c r="RXN71" s="117"/>
      <c r="RXO71" s="117"/>
      <c r="RXP71" s="117"/>
      <c r="RXQ71" s="117"/>
      <c r="RXR71" s="117"/>
      <c r="RXS71" s="117"/>
      <c r="RXT71" s="117"/>
      <c r="RXU71" s="117"/>
      <c r="RXV71" s="117"/>
      <c r="RXW71" s="117"/>
      <c r="RXX71" s="117"/>
      <c r="RXY71" s="117"/>
      <c r="RXZ71" s="117"/>
      <c r="RYA71" s="117"/>
      <c r="RYB71" s="117"/>
      <c r="RYC71" s="117"/>
      <c r="RYD71" s="117"/>
      <c r="RYE71" s="117"/>
      <c r="RYF71" s="117"/>
      <c r="RYG71" s="117"/>
      <c r="RYH71" s="117"/>
      <c r="RYI71" s="117"/>
      <c r="RYJ71" s="117"/>
      <c r="RYK71" s="117"/>
      <c r="RYL71" s="117"/>
      <c r="RYM71" s="117"/>
      <c r="RYN71" s="117"/>
      <c r="RYO71" s="117"/>
      <c r="RYP71" s="117"/>
      <c r="RYQ71" s="117"/>
      <c r="RYR71" s="117"/>
      <c r="RYS71" s="117"/>
      <c r="RYT71" s="117"/>
      <c r="RYU71" s="117"/>
      <c r="RYV71" s="117"/>
      <c r="RYW71" s="117"/>
      <c r="RYX71" s="117"/>
      <c r="RYY71" s="117"/>
      <c r="RYZ71" s="117"/>
      <c r="RZA71" s="117"/>
      <c r="RZB71" s="117"/>
      <c r="RZC71" s="117"/>
      <c r="RZD71" s="117"/>
      <c r="RZE71" s="117"/>
      <c r="RZF71" s="117"/>
      <c r="RZG71" s="117"/>
      <c r="RZH71" s="117"/>
      <c r="RZI71" s="117"/>
      <c r="RZJ71" s="117"/>
      <c r="RZK71" s="117"/>
      <c r="RZL71" s="117"/>
      <c r="RZM71" s="117"/>
      <c r="RZN71" s="117"/>
      <c r="RZO71" s="117"/>
      <c r="RZP71" s="117"/>
      <c r="RZQ71" s="117"/>
      <c r="RZR71" s="117"/>
      <c r="RZS71" s="117"/>
      <c r="RZT71" s="117"/>
      <c r="RZU71" s="117"/>
      <c r="RZV71" s="117"/>
      <c r="RZW71" s="117"/>
      <c r="RZX71" s="117"/>
      <c r="RZY71" s="117"/>
      <c r="RZZ71" s="117"/>
      <c r="SAA71" s="117"/>
      <c r="SAB71" s="117"/>
      <c r="SAC71" s="117"/>
      <c r="SAD71" s="117"/>
      <c r="SAE71" s="117"/>
      <c r="SAF71" s="117"/>
      <c r="SAG71" s="117"/>
      <c r="SAH71" s="117"/>
      <c r="SAI71" s="117"/>
      <c r="SAJ71" s="117"/>
      <c r="SAK71" s="117"/>
      <c r="SAL71" s="117"/>
      <c r="SAM71" s="117"/>
      <c r="SAN71" s="117"/>
      <c r="SAO71" s="117"/>
      <c r="SAP71" s="117"/>
      <c r="SAQ71" s="117"/>
      <c r="SAR71" s="117"/>
      <c r="SAS71" s="117"/>
      <c r="SAT71" s="117"/>
      <c r="SAU71" s="117"/>
      <c r="SAV71" s="117"/>
      <c r="SAW71" s="117"/>
      <c r="SAX71" s="117"/>
      <c r="SAY71" s="117"/>
      <c r="SAZ71" s="117"/>
      <c r="SBA71" s="117"/>
      <c r="SBB71" s="117"/>
      <c r="SBC71" s="117"/>
      <c r="SBD71" s="117"/>
      <c r="SBE71" s="117"/>
      <c r="SBF71" s="117"/>
      <c r="SBG71" s="117"/>
      <c r="SBH71" s="117"/>
      <c r="SBI71" s="117"/>
      <c r="SBJ71" s="117"/>
      <c r="SBK71" s="117"/>
      <c r="SBL71" s="117"/>
      <c r="SBM71" s="117"/>
      <c r="SBN71" s="117"/>
      <c r="SBO71" s="117"/>
      <c r="SBP71" s="117"/>
      <c r="SBQ71" s="117"/>
      <c r="SBR71" s="117"/>
      <c r="SBS71" s="117"/>
      <c r="SBT71" s="117"/>
      <c r="SBU71" s="117"/>
      <c r="SBV71" s="117"/>
      <c r="SBW71" s="117"/>
      <c r="SBX71" s="117"/>
      <c r="SBY71" s="117"/>
      <c r="SBZ71" s="117"/>
      <c r="SCA71" s="117"/>
      <c r="SCB71" s="117"/>
      <c r="SCC71" s="117"/>
      <c r="SCD71" s="117"/>
      <c r="SCE71" s="117"/>
      <c r="SCF71" s="117"/>
      <c r="SCG71" s="117"/>
      <c r="SCH71" s="117"/>
      <c r="SCI71" s="117"/>
      <c r="SCJ71" s="117"/>
      <c r="SCK71" s="117"/>
      <c r="SCL71" s="117"/>
      <c r="SCM71" s="117"/>
      <c r="SCN71" s="117"/>
      <c r="SCO71" s="117"/>
      <c r="SCP71" s="117"/>
      <c r="SCQ71" s="117"/>
      <c r="SCR71" s="117"/>
      <c r="SCS71" s="117"/>
      <c r="SCT71" s="117"/>
      <c r="SCU71" s="117"/>
      <c r="SCV71" s="117"/>
      <c r="SCW71" s="117"/>
      <c r="SCX71" s="117"/>
      <c r="SCY71" s="117"/>
      <c r="SCZ71" s="117"/>
      <c r="SDA71" s="117"/>
      <c r="SDB71" s="117"/>
      <c r="SDC71" s="117"/>
      <c r="SDD71" s="117"/>
      <c r="SDE71" s="117"/>
      <c r="SDF71" s="117"/>
      <c r="SDG71" s="117"/>
      <c r="SDH71" s="117"/>
      <c r="SDI71" s="117"/>
      <c r="SDJ71" s="117"/>
      <c r="SDK71" s="117"/>
      <c r="SDL71" s="117"/>
      <c r="SDM71" s="117"/>
      <c r="SDN71" s="117"/>
      <c r="SDO71" s="117"/>
      <c r="SDP71" s="117"/>
      <c r="SDQ71" s="117"/>
      <c r="SDR71" s="117"/>
      <c r="SDS71" s="117"/>
      <c r="SDT71" s="117"/>
      <c r="SDU71" s="117"/>
      <c r="SDV71" s="117"/>
      <c r="SDW71" s="117"/>
      <c r="SDX71" s="117"/>
      <c r="SDY71" s="117"/>
      <c r="SDZ71" s="117"/>
      <c r="SEA71" s="117"/>
      <c r="SEB71" s="117"/>
      <c r="SEC71" s="117"/>
      <c r="SED71" s="117"/>
      <c r="SEE71" s="117"/>
      <c r="SEF71" s="117"/>
      <c r="SEG71" s="117"/>
      <c r="SEH71" s="117"/>
      <c r="SEI71" s="117"/>
      <c r="SEJ71" s="117"/>
      <c r="SEK71" s="117"/>
      <c r="SEL71" s="117"/>
      <c r="SEM71" s="117"/>
      <c r="SEN71" s="117"/>
      <c r="SEO71" s="117"/>
      <c r="SEP71" s="117"/>
      <c r="SEQ71" s="117"/>
      <c r="SER71" s="117"/>
      <c r="SES71" s="117"/>
      <c r="SET71" s="117"/>
      <c r="SEU71" s="117"/>
      <c r="SEV71" s="117"/>
      <c r="SEW71" s="117"/>
      <c r="SEX71" s="117"/>
      <c r="SEY71" s="117"/>
      <c r="SEZ71" s="117"/>
      <c r="SFA71" s="117"/>
      <c r="SFB71" s="117"/>
      <c r="SFC71" s="117"/>
      <c r="SFD71" s="117"/>
      <c r="SFE71" s="117"/>
      <c r="SFF71" s="117"/>
      <c r="SFG71" s="117"/>
      <c r="SFH71" s="117"/>
      <c r="SFI71" s="117"/>
      <c r="SFJ71" s="117"/>
      <c r="SFK71" s="117"/>
      <c r="SFL71" s="117"/>
      <c r="SFM71" s="117"/>
      <c r="SFN71" s="117"/>
      <c r="SFO71" s="117"/>
      <c r="SFP71" s="117"/>
      <c r="SFQ71" s="117"/>
      <c r="SFR71" s="117"/>
      <c r="SFS71" s="117"/>
      <c r="SFT71" s="117"/>
      <c r="SFU71" s="117"/>
      <c r="SFV71" s="117"/>
      <c r="SFW71" s="117"/>
      <c r="SFX71" s="117"/>
      <c r="SFY71" s="117"/>
      <c r="SFZ71" s="117"/>
      <c r="SGA71" s="117"/>
      <c r="SGB71" s="117"/>
      <c r="SGC71" s="117"/>
      <c r="SGD71" s="117"/>
      <c r="SGE71" s="117"/>
      <c r="SGF71" s="117"/>
      <c r="SGG71" s="117"/>
      <c r="SGH71" s="117"/>
      <c r="SGI71" s="117"/>
      <c r="SGJ71" s="117"/>
      <c r="SGK71" s="117"/>
      <c r="SGL71" s="117"/>
      <c r="SGM71" s="117"/>
      <c r="SGN71" s="117"/>
      <c r="SGO71" s="117"/>
      <c r="SGP71" s="117"/>
      <c r="SGQ71" s="117"/>
      <c r="SGR71" s="117"/>
      <c r="SGS71" s="117"/>
      <c r="SGT71" s="117"/>
      <c r="SGU71" s="117"/>
      <c r="SGV71" s="117"/>
      <c r="SGW71" s="117"/>
      <c r="SGX71" s="117"/>
      <c r="SGY71" s="117"/>
      <c r="SGZ71" s="117"/>
      <c r="SHA71" s="117"/>
      <c r="SHB71" s="117"/>
      <c r="SHC71" s="117"/>
      <c r="SHD71" s="117"/>
      <c r="SHE71" s="117"/>
      <c r="SHF71" s="117"/>
      <c r="SHG71" s="117"/>
      <c r="SHH71" s="117"/>
      <c r="SHI71" s="117"/>
      <c r="SHJ71" s="117"/>
      <c r="SHK71" s="117"/>
      <c r="SHL71" s="117"/>
      <c r="SHM71" s="117"/>
      <c r="SHN71" s="117"/>
      <c r="SHO71" s="117"/>
      <c r="SHP71" s="117"/>
      <c r="SHQ71" s="117"/>
      <c r="SHR71" s="117"/>
      <c r="SHS71" s="117"/>
      <c r="SHT71" s="117"/>
      <c r="SHU71" s="117"/>
      <c r="SHV71" s="117"/>
      <c r="SHW71" s="117"/>
      <c r="SHX71" s="117"/>
      <c r="SHY71" s="117"/>
      <c r="SHZ71" s="117"/>
      <c r="SIA71" s="117"/>
      <c r="SIB71" s="117"/>
      <c r="SIC71" s="117"/>
      <c r="SID71" s="117"/>
      <c r="SIE71" s="117"/>
      <c r="SIF71" s="117"/>
      <c r="SIG71" s="117"/>
      <c r="SIH71" s="117"/>
      <c r="SII71" s="117"/>
      <c r="SIJ71" s="117"/>
      <c r="SIK71" s="117"/>
      <c r="SIL71" s="117"/>
      <c r="SIM71" s="117"/>
      <c r="SIN71" s="117"/>
      <c r="SIO71" s="117"/>
      <c r="SIP71" s="117"/>
      <c r="SIQ71" s="117"/>
      <c r="SIR71" s="117"/>
      <c r="SIS71" s="117"/>
      <c r="SIT71" s="117"/>
      <c r="SIU71" s="117"/>
      <c r="SIV71" s="117"/>
      <c r="SIW71" s="117"/>
      <c r="SIX71" s="117"/>
      <c r="SIY71" s="117"/>
      <c r="SIZ71" s="117"/>
      <c r="SJA71" s="117"/>
      <c r="SJB71" s="117"/>
      <c r="SJC71" s="117"/>
      <c r="SJD71" s="117"/>
      <c r="SJE71" s="117"/>
      <c r="SJF71" s="117"/>
      <c r="SJG71" s="117"/>
      <c r="SJH71" s="117"/>
      <c r="SJI71" s="117"/>
      <c r="SJJ71" s="117"/>
      <c r="SJK71" s="117"/>
      <c r="SJL71" s="117"/>
      <c r="SJM71" s="117"/>
      <c r="SJN71" s="117"/>
      <c r="SJO71" s="117"/>
      <c r="SJP71" s="117"/>
      <c r="SJQ71" s="117"/>
      <c r="SJR71" s="117"/>
      <c r="SJS71" s="117"/>
      <c r="SJT71" s="117"/>
      <c r="SJU71" s="117"/>
      <c r="SJV71" s="117"/>
      <c r="SJW71" s="117"/>
      <c r="SJX71" s="117"/>
      <c r="SJY71" s="117"/>
      <c r="SJZ71" s="117"/>
      <c r="SKA71" s="117"/>
      <c r="SKB71" s="117"/>
      <c r="SKC71" s="117"/>
      <c r="SKD71" s="117"/>
      <c r="SKE71" s="117"/>
      <c r="SKF71" s="117"/>
      <c r="SKG71" s="117"/>
      <c r="SKH71" s="117"/>
      <c r="SKI71" s="117"/>
      <c r="SKJ71" s="117"/>
      <c r="SKK71" s="117"/>
      <c r="SKL71" s="117"/>
      <c r="SKM71" s="117"/>
      <c r="SKN71" s="117"/>
      <c r="SKO71" s="117"/>
      <c r="SKP71" s="117"/>
      <c r="SKQ71" s="117"/>
      <c r="SKR71" s="117"/>
      <c r="SKS71" s="117"/>
      <c r="SKT71" s="117"/>
      <c r="SKU71" s="117"/>
      <c r="SKV71" s="117"/>
      <c r="SKW71" s="117"/>
      <c r="SKX71" s="117"/>
      <c r="SKY71" s="117"/>
      <c r="SKZ71" s="117"/>
      <c r="SLA71" s="117"/>
      <c r="SLB71" s="117"/>
      <c r="SLC71" s="117"/>
      <c r="SLD71" s="117"/>
      <c r="SLE71" s="117"/>
      <c r="SLF71" s="117"/>
      <c r="SLG71" s="117"/>
      <c r="SLH71" s="117"/>
      <c r="SLI71" s="117"/>
      <c r="SLJ71" s="117"/>
      <c r="SLK71" s="117"/>
      <c r="SLL71" s="117"/>
      <c r="SLM71" s="117"/>
      <c r="SLN71" s="117"/>
      <c r="SLO71" s="117"/>
      <c r="SLP71" s="117"/>
      <c r="SLQ71" s="117"/>
      <c r="SLR71" s="117"/>
      <c r="SLS71" s="117"/>
      <c r="SLT71" s="117"/>
      <c r="SLU71" s="117"/>
      <c r="SLV71" s="117"/>
      <c r="SLW71" s="117"/>
      <c r="SLX71" s="117"/>
      <c r="SLY71" s="117"/>
      <c r="SLZ71" s="117"/>
      <c r="SMA71" s="117"/>
      <c r="SMB71" s="117"/>
      <c r="SMC71" s="117"/>
      <c r="SMD71" s="117"/>
      <c r="SME71" s="117"/>
      <c r="SMF71" s="117"/>
      <c r="SMG71" s="117"/>
      <c r="SMH71" s="117"/>
      <c r="SMI71" s="117"/>
      <c r="SMJ71" s="117"/>
      <c r="SMK71" s="117"/>
      <c r="SML71" s="117"/>
      <c r="SMM71" s="117"/>
      <c r="SMN71" s="117"/>
      <c r="SMO71" s="117"/>
      <c r="SMP71" s="117"/>
      <c r="SMQ71" s="117"/>
      <c r="SMR71" s="117"/>
      <c r="SMS71" s="117"/>
      <c r="SMT71" s="117"/>
      <c r="SMU71" s="117"/>
      <c r="SMV71" s="117"/>
      <c r="SMW71" s="117"/>
      <c r="SMX71" s="117"/>
      <c r="SMY71" s="117"/>
      <c r="SMZ71" s="117"/>
      <c r="SNA71" s="117"/>
      <c r="SNB71" s="117"/>
      <c r="SNC71" s="117"/>
      <c r="SND71" s="117"/>
      <c r="SNE71" s="117"/>
      <c r="SNF71" s="117"/>
      <c r="SNG71" s="117"/>
      <c r="SNH71" s="117"/>
      <c r="SNI71" s="117"/>
      <c r="SNJ71" s="117"/>
      <c r="SNK71" s="117"/>
      <c r="SNL71" s="117"/>
      <c r="SNM71" s="117"/>
      <c r="SNN71" s="117"/>
      <c r="SNO71" s="117"/>
      <c r="SNP71" s="117"/>
      <c r="SNQ71" s="117"/>
      <c r="SNR71" s="117"/>
      <c r="SNS71" s="117"/>
      <c r="SNT71" s="117"/>
      <c r="SNU71" s="117"/>
      <c r="SNV71" s="117"/>
      <c r="SNW71" s="117"/>
      <c r="SNX71" s="117"/>
      <c r="SNY71" s="117"/>
      <c r="SNZ71" s="117"/>
      <c r="SOA71" s="117"/>
      <c r="SOB71" s="117"/>
      <c r="SOC71" s="117"/>
      <c r="SOD71" s="117"/>
      <c r="SOE71" s="117"/>
      <c r="SOF71" s="117"/>
      <c r="SOG71" s="117"/>
      <c r="SOH71" s="117"/>
      <c r="SOI71" s="117"/>
      <c r="SOJ71" s="117"/>
      <c r="SOK71" s="117"/>
      <c r="SOL71" s="117"/>
      <c r="SOM71" s="117"/>
      <c r="SON71" s="117"/>
      <c r="SOO71" s="117"/>
      <c r="SOP71" s="117"/>
      <c r="SOQ71" s="117"/>
      <c r="SOR71" s="117"/>
      <c r="SOS71" s="117"/>
      <c r="SOT71" s="117"/>
      <c r="SOU71" s="117"/>
      <c r="SOV71" s="117"/>
      <c r="SOW71" s="117"/>
      <c r="SOX71" s="117"/>
      <c r="SOY71" s="117"/>
      <c r="SOZ71" s="117"/>
      <c r="SPA71" s="117"/>
      <c r="SPB71" s="117"/>
      <c r="SPC71" s="117"/>
      <c r="SPD71" s="117"/>
      <c r="SPE71" s="117"/>
      <c r="SPF71" s="117"/>
      <c r="SPG71" s="117"/>
      <c r="SPH71" s="117"/>
      <c r="SPI71" s="117"/>
      <c r="SPJ71" s="117"/>
      <c r="SPK71" s="117"/>
      <c r="SPL71" s="117"/>
      <c r="SPM71" s="117"/>
      <c r="SPN71" s="117"/>
      <c r="SPO71" s="117"/>
      <c r="SPP71" s="117"/>
      <c r="SPQ71" s="117"/>
      <c r="SPR71" s="117"/>
      <c r="SPS71" s="117"/>
      <c r="SPT71" s="117"/>
      <c r="SPU71" s="117"/>
      <c r="SPV71" s="117"/>
      <c r="SPW71" s="117"/>
      <c r="SPX71" s="117"/>
      <c r="SPY71" s="117"/>
      <c r="SPZ71" s="117"/>
      <c r="SQA71" s="117"/>
      <c r="SQB71" s="117"/>
      <c r="SQC71" s="117"/>
      <c r="SQD71" s="117"/>
      <c r="SQE71" s="117"/>
      <c r="SQF71" s="117"/>
      <c r="SQG71" s="117"/>
      <c r="SQH71" s="117"/>
      <c r="SQI71" s="117"/>
      <c r="SQJ71" s="117"/>
      <c r="SQK71" s="117"/>
      <c r="SQL71" s="117"/>
      <c r="SQM71" s="117"/>
      <c r="SQN71" s="117"/>
      <c r="SQO71" s="117"/>
      <c r="SQP71" s="117"/>
      <c r="SQQ71" s="117"/>
      <c r="SQR71" s="117"/>
      <c r="SQS71" s="117"/>
      <c r="SQT71" s="117"/>
      <c r="SQU71" s="117"/>
      <c r="SQV71" s="117"/>
      <c r="SQW71" s="117"/>
      <c r="SQX71" s="117"/>
      <c r="SQY71" s="117"/>
      <c r="SQZ71" s="117"/>
      <c r="SRA71" s="117"/>
      <c r="SRB71" s="117"/>
      <c r="SRC71" s="117"/>
      <c r="SRD71" s="117"/>
      <c r="SRE71" s="117"/>
      <c r="SRF71" s="117"/>
      <c r="SRG71" s="117"/>
      <c r="SRH71" s="117"/>
      <c r="SRI71" s="117"/>
      <c r="SRJ71" s="117"/>
      <c r="SRK71" s="117"/>
      <c r="SRL71" s="117"/>
      <c r="SRM71" s="117"/>
      <c r="SRN71" s="117"/>
      <c r="SRO71" s="117"/>
      <c r="SRP71" s="117"/>
      <c r="SRQ71" s="117"/>
      <c r="SRR71" s="117"/>
      <c r="SRS71" s="117"/>
      <c r="SRT71" s="117"/>
      <c r="SRU71" s="117"/>
      <c r="SRV71" s="117"/>
      <c r="SRW71" s="117"/>
      <c r="SRX71" s="117"/>
      <c r="SRY71" s="117"/>
      <c r="SRZ71" s="117"/>
      <c r="SSA71" s="117"/>
      <c r="SSB71" s="117"/>
      <c r="SSC71" s="117"/>
      <c r="SSD71" s="117"/>
      <c r="SSE71" s="117"/>
      <c r="SSF71" s="117"/>
      <c r="SSG71" s="117"/>
      <c r="SSH71" s="117"/>
      <c r="SSI71" s="117"/>
      <c r="SSJ71" s="117"/>
      <c r="SSK71" s="117"/>
      <c r="SSL71" s="117"/>
      <c r="SSM71" s="117"/>
      <c r="SSN71" s="117"/>
      <c r="SSO71" s="117"/>
      <c r="SSP71" s="117"/>
      <c r="SSQ71" s="117"/>
      <c r="SSR71" s="117"/>
      <c r="SSS71" s="117"/>
      <c r="SST71" s="117"/>
      <c r="SSU71" s="117"/>
      <c r="SSV71" s="117"/>
      <c r="SSW71" s="117"/>
      <c r="SSX71" s="117"/>
      <c r="SSY71" s="117"/>
      <c r="SSZ71" s="117"/>
      <c r="STA71" s="117"/>
      <c r="STB71" s="117"/>
      <c r="STC71" s="117"/>
      <c r="STD71" s="117"/>
      <c r="STE71" s="117"/>
      <c r="STF71" s="117"/>
      <c r="STG71" s="117"/>
      <c r="STH71" s="117"/>
      <c r="STI71" s="117"/>
      <c r="STJ71" s="117"/>
      <c r="STK71" s="117"/>
      <c r="STL71" s="117"/>
      <c r="STM71" s="117"/>
      <c r="STN71" s="117"/>
      <c r="STO71" s="117"/>
      <c r="STP71" s="117"/>
      <c r="STQ71" s="117"/>
      <c r="STR71" s="117"/>
      <c r="STS71" s="117"/>
      <c r="STT71" s="117"/>
      <c r="STU71" s="117"/>
      <c r="STV71" s="117"/>
      <c r="STW71" s="117"/>
      <c r="STX71" s="117"/>
      <c r="STY71" s="117"/>
      <c r="STZ71" s="117"/>
      <c r="SUA71" s="117"/>
      <c r="SUB71" s="117"/>
      <c r="SUC71" s="117"/>
      <c r="SUD71" s="117"/>
      <c r="SUE71" s="117"/>
      <c r="SUF71" s="117"/>
      <c r="SUG71" s="117"/>
      <c r="SUH71" s="117"/>
      <c r="SUI71" s="117"/>
      <c r="SUJ71" s="117"/>
      <c r="SUK71" s="117"/>
      <c r="SUL71" s="117"/>
      <c r="SUM71" s="117"/>
      <c r="SUN71" s="117"/>
      <c r="SUO71" s="117"/>
      <c r="SUP71" s="117"/>
      <c r="SUQ71" s="117"/>
      <c r="SUR71" s="117"/>
      <c r="SUS71" s="117"/>
      <c r="SUT71" s="117"/>
      <c r="SUU71" s="117"/>
      <c r="SUV71" s="117"/>
      <c r="SUW71" s="117"/>
      <c r="SUX71" s="117"/>
      <c r="SUY71" s="117"/>
      <c r="SUZ71" s="117"/>
      <c r="SVA71" s="117"/>
      <c r="SVB71" s="117"/>
      <c r="SVC71" s="117"/>
      <c r="SVD71" s="117"/>
      <c r="SVE71" s="117"/>
      <c r="SVF71" s="117"/>
      <c r="SVG71" s="117"/>
      <c r="SVH71" s="117"/>
      <c r="SVI71" s="117"/>
      <c r="SVJ71" s="117"/>
      <c r="SVK71" s="117"/>
      <c r="SVL71" s="117"/>
      <c r="SVM71" s="117"/>
      <c r="SVN71" s="117"/>
      <c r="SVO71" s="117"/>
      <c r="SVP71" s="117"/>
      <c r="SVQ71" s="117"/>
      <c r="SVR71" s="117"/>
      <c r="SVS71" s="117"/>
      <c r="SVT71" s="117"/>
      <c r="SVU71" s="117"/>
      <c r="SVV71" s="117"/>
      <c r="SVW71" s="117"/>
      <c r="SVX71" s="117"/>
      <c r="SVY71" s="117"/>
      <c r="SVZ71" s="117"/>
      <c r="SWA71" s="117"/>
      <c r="SWB71" s="117"/>
      <c r="SWC71" s="117"/>
      <c r="SWD71" s="117"/>
      <c r="SWE71" s="117"/>
      <c r="SWF71" s="117"/>
      <c r="SWG71" s="117"/>
      <c r="SWH71" s="117"/>
      <c r="SWI71" s="117"/>
      <c r="SWJ71" s="117"/>
      <c r="SWK71" s="117"/>
      <c r="SWL71" s="117"/>
      <c r="SWM71" s="117"/>
      <c r="SWN71" s="117"/>
      <c r="SWO71" s="117"/>
      <c r="SWP71" s="117"/>
      <c r="SWQ71" s="117"/>
      <c r="SWR71" s="117"/>
      <c r="SWS71" s="117"/>
      <c r="SWT71" s="117"/>
      <c r="SWU71" s="117"/>
      <c r="SWV71" s="117"/>
      <c r="SWW71" s="117"/>
      <c r="SWX71" s="117"/>
      <c r="SWY71" s="117"/>
      <c r="SWZ71" s="117"/>
      <c r="SXA71" s="117"/>
      <c r="SXB71" s="117"/>
      <c r="SXC71" s="117"/>
      <c r="SXD71" s="117"/>
      <c r="SXE71" s="117"/>
      <c r="SXF71" s="117"/>
      <c r="SXG71" s="117"/>
      <c r="SXH71" s="117"/>
      <c r="SXI71" s="117"/>
      <c r="SXJ71" s="117"/>
      <c r="SXK71" s="117"/>
      <c r="SXL71" s="117"/>
      <c r="SXM71" s="117"/>
      <c r="SXN71" s="117"/>
      <c r="SXO71" s="117"/>
      <c r="SXP71" s="117"/>
      <c r="SXQ71" s="117"/>
      <c r="SXR71" s="117"/>
      <c r="SXS71" s="117"/>
      <c r="SXT71" s="117"/>
      <c r="SXU71" s="117"/>
      <c r="SXV71" s="117"/>
      <c r="SXW71" s="117"/>
      <c r="SXX71" s="117"/>
      <c r="SXY71" s="117"/>
      <c r="SXZ71" s="117"/>
      <c r="SYA71" s="117"/>
      <c r="SYB71" s="117"/>
      <c r="SYC71" s="117"/>
      <c r="SYD71" s="117"/>
      <c r="SYE71" s="117"/>
      <c r="SYF71" s="117"/>
      <c r="SYG71" s="117"/>
      <c r="SYH71" s="117"/>
      <c r="SYI71" s="117"/>
      <c r="SYJ71" s="117"/>
      <c r="SYK71" s="117"/>
      <c r="SYL71" s="117"/>
      <c r="SYM71" s="117"/>
      <c r="SYN71" s="117"/>
      <c r="SYO71" s="117"/>
      <c r="SYP71" s="117"/>
      <c r="SYQ71" s="117"/>
      <c r="SYR71" s="117"/>
      <c r="SYS71" s="117"/>
      <c r="SYT71" s="117"/>
      <c r="SYU71" s="117"/>
      <c r="SYV71" s="117"/>
      <c r="SYW71" s="117"/>
      <c r="SYX71" s="117"/>
      <c r="SYY71" s="117"/>
      <c r="SYZ71" s="117"/>
      <c r="SZA71" s="117"/>
      <c r="SZB71" s="117"/>
      <c r="SZC71" s="117"/>
      <c r="SZD71" s="117"/>
      <c r="SZE71" s="117"/>
      <c r="SZF71" s="117"/>
      <c r="SZG71" s="117"/>
      <c r="SZH71" s="117"/>
      <c r="SZI71" s="117"/>
      <c r="SZJ71" s="117"/>
      <c r="SZK71" s="117"/>
      <c r="SZL71" s="117"/>
      <c r="SZM71" s="117"/>
      <c r="SZN71" s="117"/>
      <c r="SZO71" s="117"/>
      <c r="SZP71" s="117"/>
      <c r="SZQ71" s="117"/>
      <c r="SZR71" s="117"/>
      <c r="SZS71" s="117"/>
      <c r="SZT71" s="117"/>
      <c r="SZU71" s="117"/>
      <c r="SZV71" s="117"/>
      <c r="SZW71" s="117"/>
      <c r="SZX71" s="117"/>
      <c r="SZY71" s="117"/>
      <c r="SZZ71" s="117"/>
      <c r="TAA71" s="117"/>
      <c r="TAB71" s="117"/>
      <c r="TAC71" s="117"/>
      <c r="TAD71" s="117"/>
      <c r="TAE71" s="117"/>
      <c r="TAF71" s="117"/>
      <c r="TAG71" s="117"/>
      <c r="TAH71" s="117"/>
      <c r="TAI71" s="117"/>
      <c r="TAJ71" s="117"/>
      <c r="TAK71" s="117"/>
      <c r="TAL71" s="117"/>
      <c r="TAM71" s="117"/>
      <c r="TAN71" s="117"/>
      <c r="TAO71" s="117"/>
      <c r="TAP71" s="117"/>
      <c r="TAQ71" s="117"/>
      <c r="TAR71" s="117"/>
      <c r="TAS71" s="117"/>
      <c r="TAT71" s="117"/>
      <c r="TAU71" s="117"/>
      <c r="TAV71" s="117"/>
      <c r="TAW71" s="117"/>
      <c r="TAX71" s="117"/>
      <c r="TAY71" s="117"/>
      <c r="TAZ71" s="117"/>
      <c r="TBA71" s="117"/>
      <c r="TBB71" s="117"/>
      <c r="TBC71" s="117"/>
      <c r="TBD71" s="117"/>
      <c r="TBE71" s="117"/>
      <c r="TBF71" s="117"/>
      <c r="TBG71" s="117"/>
      <c r="TBH71" s="117"/>
      <c r="TBI71" s="117"/>
      <c r="TBJ71" s="117"/>
      <c r="TBK71" s="117"/>
      <c r="TBL71" s="117"/>
      <c r="TBM71" s="117"/>
      <c r="TBN71" s="117"/>
      <c r="TBO71" s="117"/>
      <c r="TBP71" s="117"/>
      <c r="TBQ71" s="117"/>
      <c r="TBR71" s="117"/>
      <c r="TBS71" s="117"/>
      <c r="TBT71" s="117"/>
      <c r="TBU71" s="117"/>
      <c r="TBV71" s="117"/>
      <c r="TBW71" s="117"/>
      <c r="TBX71" s="117"/>
      <c r="TBY71" s="117"/>
      <c r="TBZ71" s="117"/>
      <c r="TCA71" s="117"/>
      <c r="TCB71" s="117"/>
      <c r="TCC71" s="117"/>
      <c r="TCD71" s="117"/>
      <c r="TCE71" s="117"/>
      <c r="TCF71" s="117"/>
      <c r="TCG71" s="117"/>
      <c r="TCH71" s="117"/>
      <c r="TCI71" s="117"/>
      <c r="TCJ71" s="117"/>
      <c r="TCK71" s="117"/>
      <c r="TCL71" s="117"/>
      <c r="TCM71" s="117"/>
      <c r="TCN71" s="117"/>
      <c r="TCO71" s="117"/>
      <c r="TCP71" s="117"/>
      <c r="TCQ71" s="117"/>
      <c r="TCR71" s="117"/>
      <c r="TCS71" s="117"/>
      <c r="TCT71" s="117"/>
      <c r="TCU71" s="117"/>
      <c r="TCV71" s="117"/>
      <c r="TCW71" s="117"/>
      <c r="TCX71" s="117"/>
      <c r="TCY71" s="117"/>
      <c r="TCZ71" s="117"/>
      <c r="TDA71" s="117"/>
      <c r="TDB71" s="117"/>
      <c r="TDC71" s="117"/>
      <c r="TDD71" s="117"/>
      <c r="TDE71" s="117"/>
      <c r="TDF71" s="117"/>
      <c r="TDG71" s="117"/>
      <c r="TDH71" s="117"/>
      <c r="TDI71" s="117"/>
      <c r="TDJ71" s="117"/>
      <c r="TDK71" s="117"/>
      <c r="TDL71" s="117"/>
      <c r="TDM71" s="117"/>
      <c r="TDN71" s="117"/>
      <c r="TDO71" s="117"/>
      <c r="TDP71" s="117"/>
      <c r="TDQ71" s="117"/>
      <c r="TDR71" s="117"/>
      <c r="TDS71" s="117"/>
      <c r="TDT71" s="117"/>
      <c r="TDU71" s="117"/>
      <c r="TDV71" s="117"/>
      <c r="TDW71" s="117"/>
      <c r="TDX71" s="117"/>
      <c r="TDY71" s="117"/>
      <c r="TDZ71" s="117"/>
      <c r="TEA71" s="117"/>
      <c r="TEB71" s="117"/>
      <c r="TEC71" s="117"/>
      <c r="TED71" s="117"/>
      <c r="TEE71" s="117"/>
      <c r="TEF71" s="117"/>
      <c r="TEG71" s="117"/>
      <c r="TEH71" s="117"/>
      <c r="TEI71" s="117"/>
      <c r="TEJ71" s="117"/>
      <c r="TEK71" s="117"/>
      <c r="TEL71" s="117"/>
      <c r="TEM71" s="117"/>
      <c r="TEN71" s="117"/>
      <c r="TEO71" s="117"/>
      <c r="TEP71" s="117"/>
      <c r="TEQ71" s="117"/>
      <c r="TER71" s="117"/>
      <c r="TES71" s="117"/>
      <c r="TET71" s="117"/>
      <c r="TEU71" s="117"/>
      <c r="TEV71" s="117"/>
      <c r="TEW71" s="117"/>
      <c r="TEX71" s="117"/>
      <c r="TEY71" s="117"/>
      <c r="TEZ71" s="117"/>
      <c r="TFA71" s="117"/>
      <c r="TFB71" s="117"/>
      <c r="TFC71" s="117"/>
      <c r="TFD71" s="117"/>
      <c r="TFE71" s="117"/>
      <c r="TFF71" s="117"/>
      <c r="TFG71" s="117"/>
      <c r="TFH71" s="117"/>
      <c r="TFI71" s="117"/>
      <c r="TFJ71" s="117"/>
      <c r="TFK71" s="117"/>
      <c r="TFL71" s="117"/>
      <c r="TFM71" s="117"/>
      <c r="TFN71" s="117"/>
      <c r="TFO71" s="117"/>
      <c r="TFP71" s="117"/>
      <c r="TFQ71" s="117"/>
      <c r="TFR71" s="117"/>
      <c r="TFS71" s="117"/>
      <c r="TFT71" s="117"/>
      <c r="TFU71" s="117"/>
      <c r="TFV71" s="117"/>
      <c r="TFW71" s="117"/>
      <c r="TFX71" s="117"/>
      <c r="TFY71" s="117"/>
      <c r="TFZ71" s="117"/>
      <c r="TGA71" s="117"/>
      <c r="TGB71" s="117"/>
      <c r="TGC71" s="117"/>
      <c r="TGD71" s="117"/>
      <c r="TGE71" s="117"/>
      <c r="TGF71" s="117"/>
      <c r="TGG71" s="117"/>
      <c r="TGH71" s="117"/>
      <c r="TGI71" s="117"/>
      <c r="TGJ71" s="117"/>
      <c r="TGK71" s="117"/>
      <c r="TGL71" s="117"/>
      <c r="TGM71" s="117"/>
      <c r="TGN71" s="117"/>
      <c r="TGO71" s="117"/>
      <c r="TGP71" s="117"/>
      <c r="TGQ71" s="117"/>
      <c r="TGR71" s="117"/>
      <c r="TGS71" s="117"/>
      <c r="TGT71" s="117"/>
      <c r="TGU71" s="117"/>
      <c r="TGV71" s="117"/>
      <c r="TGW71" s="117"/>
      <c r="TGX71" s="117"/>
      <c r="TGY71" s="117"/>
      <c r="TGZ71" s="117"/>
      <c r="THA71" s="117"/>
      <c r="THB71" s="117"/>
      <c r="THC71" s="117"/>
      <c r="THD71" s="117"/>
      <c r="THE71" s="117"/>
      <c r="THF71" s="117"/>
      <c r="THG71" s="117"/>
      <c r="THH71" s="117"/>
      <c r="THI71" s="117"/>
      <c r="THJ71" s="117"/>
      <c r="THK71" s="117"/>
      <c r="THL71" s="117"/>
      <c r="THM71" s="117"/>
      <c r="THN71" s="117"/>
      <c r="THO71" s="117"/>
      <c r="THP71" s="117"/>
      <c r="THQ71" s="117"/>
      <c r="THR71" s="117"/>
      <c r="THS71" s="117"/>
      <c r="THT71" s="117"/>
      <c r="THU71" s="117"/>
      <c r="THV71" s="117"/>
      <c r="THW71" s="117"/>
      <c r="THX71" s="117"/>
      <c r="THY71" s="117"/>
      <c r="THZ71" s="117"/>
      <c r="TIA71" s="117"/>
      <c r="TIB71" s="117"/>
      <c r="TIC71" s="117"/>
      <c r="TID71" s="117"/>
      <c r="TIE71" s="117"/>
      <c r="TIF71" s="117"/>
      <c r="TIG71" s="117"/>
      <c r="TIH71" s="117"/>
      <c r="TII71" s="117"/>
      <c r="TIJ71" s="117"/>
      <c r="TIK71" s="117"/>
      <c r="TIL71" s="117"/>
      <c r="TIM71" s="117"/>
      <c r="TIN71" s="117"/>
      <c r="TIO71" s="117"/>
      <c r="TIP71" s="117"/>
      <c r="TIQ71" s="117"/>
      <c r="TIR71" s="117"/>
      <c r="TIS71" s="117"/>
      <c r="TIT71" s="117"/>
      <c r="TIU71" s="117"/>
      <c r="TIV71" s="117"/>
      <c r="TIW71" s="117"/>
      <c r="TIX71" s="117"/>
      <c r="TIY71" s="117"/>
      <c r="TIZ71" s="117"/>
      <c r="TJA71" s="117"/>
      <c r="TJB71" s="117"/>
      <c r="TJC71" s="117"/>
      <c r="TJD71" s="117"/>
      <c r="TJE71" s="117"/>
      <c r="TJF71" s="117"/>
      <c r="TJG71" s="117"/>
      <c r="TJH71" s="117"/>
      <c r="TJI71" s="117"/>
      <c r="TJJ71" s="117"/>
      <c r="TJK71" s="117"/>
      <c r="TJL71" s="117"/>
      <c r="TJM71" s="117"/>
      <c r="TJN71" s="117"/>
      <c r="TJO71" s="117"/>
      <c r="TJP71" s="117"/>
      <c r="TJQ71" s="117"/>
      <c r="TJR71" s="117"/>
      <c r="TJS71" s="117"/>
      <c r="TJT71" s="117"/>
      <c r="TJU71" s="117"/>
      <c r="TJV71" s="117"/>
      <c r="TJW71" s="117"/>
      <c r="TJX71" s="117"/>
      <c r="TJY71" s="117"/>
      <c r="TJZ71" s="117"/>
      <c r="TKA71" s="117"/>
      <c r="TKB71" s="117"/>
      <c r="TKC71" s="117"/>
      <c r="TKD71" s="117"/>
      <c r="TKE71" s="117"/>
      <c r="TKF71" s="117"/>
      <c r="TKG71" s="117"/>
      <c r="TKH71" s="117"/>
      <c r="TKI71" s="117"/>
      <c r="TKJ71" s="117"/>
      <c r="TKK71" s="117"/>
      <c r="TKL71" s="117"/>
      <c r="TKM71" s="117"/>
      <c r="TKN71" s="117"/>
      <c r="TKO71" s="117"/>
      <c r="TKP71" s="117"/>
      <c r="TKQ71" s="117"/>
      <c r="TKR71" s="117"/>
      <c r="TKS71" s="117"/>
      <c r="TKT71" s="117"/>
      <c r="TKU71" s="117"/>
      <c r="TKV71" s="117"/>
      <c r="TKW71" s="117"/>
      <c r="TKX71" s="117"/>
      <c r="TKY71" s="117"/>
      <c r="TKZ71" s="117"/>
      <c r="TLA71" s="117"/>
      <c r="TLB71" s="117"/>
      <c r="TLC71" s="117"/>
      <c r="TLD71" s="117"/>
      <c r="TLE71" s="117"/>
      <c r="TLF71" s="117"/>
      <c r="TLG71" s="117"/>
      <c r="TLH71" s="117"/>
      <c r="TLI71" s="117"/>
      <c r="TLJ71" s="117"/>
      <c r="TLK71" s="117"/>
      <c r="TLL71" s="117"/>
      <c r="TLM71" s="117"/>
      <c r="TLN71" s="117"/>
      <c r="TLO71" s="117"/>
      <c r="TLP71" s="117"/>
      <c r="TLQ71" s="117"/>
      <c r="TLR71" s="117"/>
      <c r="TLS71" s="117"/>
      <c r="TLT71" s="117"/>
      <c r="TLU71" s="117"/>
      <c r="TLV71" s="117"/>
      <c r="TLW71" s="117"/>
      <c r="TLX71" s="117"/>
      <c r="TLY71" s="117"/>
      <c r="TLZ71" s="117"/>
      <c r="TMA71" s="117"/>
      <c r="TMB71" s="117"/>
      <c r="TMC71" s="117"/>
      <c r="TMD71" s="117"/>
      <c r="TME71" s="117"/>
      <c r="TMF71" s="117"/>
      <c r="TMG71" s="117"/>
      <c r="TMH71" s="117"/>
      <c r="TMI71" s="117"/>
      <c r="TMJ71" s="117"/>
      <c r="TMK71" s="117"/>
      <c r="TML71" s="117"/>
      <c r="TMM71" s="117"/>
      <c r="TMN71" s="117"/>
      <c r="TMO71" s="117"/>
      <c r="TMP71" s="117"/>
      <c r="TMQ71" s="117"/>
      <c r="TMR71" s="117"/>
      <c r="TMS71" s="117"/>
      <c r="TMT71" s="117"/>
      <c r="TMU71" s="117"/>
      <c r="TMV71" s="117"/>
      <c r="TMW71" s="117"/>
      <c r="TMX71" s="117"/>
      <c r="TMY71" s="117"/>
      <c r="TMZ71" s="117"/>
      <c r="TNA71" s="117"/>
      <c r="TNB71" s="117"/>
      <c r="TNC71" s="117"/>
      <c r="TND71" s="117"/>
      <c r="TNE71" s="117"/>
      <c r="TNF71" s="117"/>
      <c r="TNG71" s="117"/>
      <c r="TNH71" s="117"/>
      <c r="TNI71" s="117"/>
      <c r="TNJ71" s="117"/>
      <c r="TNK71" s="117"/>
      <c r="TNL71" s="117"/>
      <c r="TNM71" s="117"/>
      <c r="TNN71" s="117"/>
      <c r="TNO71" s="117"/>
      <c r="TNP71" s="117"/>
      <c r="TNQ71" s="117"/>
      <c r="TNR71" s="117"/>
      <c r="TNS71" s="117"/>
      <c r="TNT71" s="117"/>
      <c r="TNU71" s="117"/>
      <c r="TNV71" s="117"/>
      <c r="TNW71" s="117"/>
      <c r="TNX71" s="117"/>
      <c r="TNY71" s="117"/>
      <c r="TNZ71" s="117"/>
      <c r="TOA71" s="117"/>
      <c r="TOB71" s="117"/>
      <c r="TOC71" s="117"/>
      <c r="TOD71" s="117"/>
      <c r="TOE71" s="117"/>
      <c r="TOF71" s="117"/>
      <c r="TOG71" s="117"/>
      <c r="TOH71" s="117"/>
      <c r="TOI71" s="117"/>
      <c r="TOJ71" s="117"/>
      <c r="TOK71" s="117"/>
      <c r="TOL71" s="117"/>
      <c r="TOM71" s="117"/>
      <c r="TON71" s="117"/>
      <c r="TOO71" s="117"/>
      <c r="TOP71" s="117"/>
      <c r="TOQ71" s="117"/>
      <c r="TOR71" s="117"/>
      <c r="TOS71" s="117"/>
      <c r="TOT71" s="117"/>
      <c r="TOU71" s="117"/>
      <c r="TOV71" s="117"/>
      <c r="TOW71" s="117"/>
      <c r="TOX71" s="117"/>
      <c r="TOY71" s="117"/>
      <c r="TOZ71" s="117"/>
      <c r="TPA71" s="117"/>
      <c r="TPB71" s="117"/>
      <c r="TPC71" s="117"/>
      <c r="TPD71" s="117"/>
      <c r="TPE71" s="117"/>
      <c r="TPF71" s="117"/>
      <c r="TPG71" s="117"/>
      <c r="TPH71" s="117"/>
      <c r="TPI71" s="117"/>
      <c r="TPJ71" s="117"/>
      <c r="TPK71" s="117"/>
      <c r="TPL71" s="117"/>
      <c r="TPM71" s="117"/>
      <c r="TPN71" s="117"/>
      <c r="TPO71" s="117"/>
      <c r="TPP71" s="117"/>
      <c r="TPQ71" s="117"/>
      <c r="TPR71" s="117"/>
      <c r="TPS71" s="117"/>
      <c r="TPT71" s="117"/>
      <c r="TPU71" s="117"/>
      <c r="TPV71" s="117"/>
      <c r="TPW71" s="117"/>
      <c r="TPX71" s="117"/>
      <c r="TPY71" s="117"/>
      <c r="TPZ71" s="117"/>
      <c r="TQA71" s="117"/>
      <c r="TQB71" s="117"/>
      <c r="TQC71" s="117"/>
      <c r="TQD71" s="117"/>
      <c r="TQE71" s="117"/>
      <c r="TQF71" s="117"/>
      <c r="TQG71" s="117"/>
      <c r="TQH71" s="117"/>
      <c r="TQI71" s="117"/>
      <c r="TQJ71" s="117"/>
      <c r="TQK71" s="117"/>
      <c r="TQL71" s="117"/>
      <c r="TQM71" s="117"/>
      <c r="TQN71" s="117"/>
      <c r="TQO71" s="117"/>
      <c r="TQP71" s="117"/>
      <c r="TQQ71" s="117"/>
      <c r="TQR71" s="117"/>
      <c r="TQS71" s="117"/>
      <c r="TQT71" s="117"/>
      <c r="TQU71" s="117"/>
      <c r="TQV71" s="117"/>
      <c r="TQW71" s="117"/>
      <c r="TQX71" s="117"/>
      <c r="TQY71" s="117"/>
      <c r="TQZ71" s="117"/>
      <c r="TRA71" s="117"/>
      <c r="TRB71" s="117"/>
      <c r="TRC71" s="117"/>
      <c r="TRD71" s="117"/>
      <c r="TRE71" s="117"/>
      <c r="TRF71" s="117"/>
      <c r="TRG71" s="117"/>
      <c r="TRH71" s="117"/>
      <c r="TRI71" s="117"/>
      <c r="TRJ71" s="117"/>
      <c r="TRK71" s="117"/>
      <c r="TRL71" s="117"/>
      <c r="TRM71" s="117"/>
      <c r="TRN71" s="117"/>
      <c r="TRO71" s="117"/>
      <c r="TRP71" s="117"/>
      <c r="TRQ71" s="117"/>
      <c r="TRR71" s="117"/>
      <c r="TRS71" s="117"/>
      <c r="TRT71" s="117"/>
      <c r="TRU71" s="117"/>
      <c r="TRV71" s="117"/>
      <c r="TRW71" s="117"/>
      <c r="TRX71" s="117"/>
      <c r="TRY71" s="117"/>
      <c r="TRZ71" s="117"/>
      <c r="TSA71" s="117"/>
      <c r="TSB71" s="117"/>
      <c r="TSC71" s="117"/>
      <c r="TSD71" s="117"/>
      <c r="TSE71" s="117"/>
      <c r="TSF71" s="117"/>
      <c r="TSG71" s="117"/>
      <c r="TSH71" s="117"/>
      <c r="TSI71" s="117"/>
      <c r="TSJ71" s="117"/>
      <c r="TSK71" s="117"/>
      <c r="TSL71" s="117"/>
      <c r="TSM71" s="117"/>
      <c r="TSN71" s="117"/>
      <c r="TSO71" s="117"/>
      <c r="TSP71" s="117"/>
      <c r="TSQ71" s="117"/>
      <c r="TSR71" s="117"/>
      <c r="TSS71" s="117"/>
      <c r="TST71" s="117"/>
      <c r="TSU71" s="117"/>
      <c r="TSV71" s="117"/>
      <c r="TSW71" s="117"/>
      <c r="TSX71" s="117"/>
      <c r="TSY71" s="117"/>
      <c r="TSZ71" s="117"/>
      <c r="TTA71" s="117"/>
      <c r="TTB71" s="117"/>
      <c r="TTC71" s="117"/>
      <c r="TTD71" s="117"/>
      <c r="TTE71" s="117"/>
      <c r="TTF71" s="117"/>
      <c r="TTG71" s="117"/>
      <c r="TTH71" s="117"/>
      <c r="TTI71" s="117"/>
      <c r="TTJ71" s="117"/>
      <c r="TTK71" s="117"/>
      <c r="TTL71" s="117"/>
      <c r="TTM71" s="117"/>
      <c r="TTN71" s="117"/>
      <c r="TTO71" s="117"/>
      <c r="TTP71" s="117"/>
      <c r="TTQ71" s="117"/>
      <c r="TTR71" s="117"/>
      <c r="TTS71" s="117"/>
      <c r="TTT71" s="117"/>
      <c r="TTU71" s="117"/>
      <c r="TTV71" s="117"/>
      <c r="TTW71" s="117"/>
      <c r="TTX71" s="117"/>
      <c r="TTY71" s="117"/>
      <c r="TTZ71" s="117"/>
      <c r="TUA71" s="117"/>
      <c r="TUB71" s="117"/>
      <c r="TUC71" s="117"/>
      <c r="TUD71" s="117"/>
      <c r="TUE71" s="117"/>
      <c r="TUF71" s="117"/>
      <c r="TUG71" s="117"/>
      <c r="TUH71" s="117"/>
      <c r="TUI71" s="117"/>
      <c r="TUJ71" s="117"/>
      <c r="TUK71" s="117"/>
      <c r="TUL71" s="117"/>
      <c r="TUM71" s="117"/>
      <c r="TUN71" s="117"/>
      <c r="TUO71" s="117"/>
      <c r="TUP71" s="117"/>
      <c r="TUQ71" s="117"/>
      <c r="TUR71" s="117"/>
      <c r="TUS71" s="117"/>
      <c r="TUT71" s="117"/>
      <c r="TUU71" s="117"/>
      <c r="TUV71" s="117"/>
      <c r="TUW71" s="117"/>
      <c r="TUX71" s="117"/>
      <c r="TUY71" s="117"/>
      <c r="TUZ71" s="117"/>
      <c r="TVA71" s="117"/>
      <c r="TVB71" s="117"/>
      <c r="TVC71" s="117"/>
      <c r="TVD71" s="117"/>
      <c r="TVE71" s="117"/>
      <c r="TVF71" s="117"/>
      <c r="TVG71" s="117"/>
      <c r="TVH71" s="117"/>
      <c r="TVI71" s="117"/>
      <c r="TVJ71" s="117"/>
      <c r="TVK71" s="117"/>
      <c r="TVL71" s="117"/>
      <c r="TVM71" s="117"/>
      <c r="TVN71" s="117"/>
      <c r="TVO71" s="117"/>
      <c r="TVP71" s="117"/>
      <c r="TVQ71" s="117"/>
      <c r="TVR71" s="117"/>
      <c r="TVS71" s="117"/>
      <c r="TVT71" s="117"/>
      <c r="TVU71" s="117"/>
      <c r="TVV71" s="117"/>
      <c r="TVW71" s="117"/>
      <c r="TVX71" s="117"/>
      <c r="TVY71" s="117"/>
      <c r="TVZ71" s="117"/>
      <c r="TWA71" s="117"/>
      <c r="TWB71" s="117"/>
      <c r="TWC71" s="117"/>
      <c r="TWD71" s="117"/>
      <c r="TWE71" s="117"/>
      <c r="TWF71" s="117"/>
      <c r="TWG71" s="117"/>
      <c r="TWH71" s="117"/>
      <c r="TWI71" s="117"/>
      <c r="TWJ71" s="117"/>
      <c r="TWK71" s="117"/>
      <c r="TWL71" s="117"/>
      <c r="TWM71" s="117"/>
      <c r="TWN71" s="117"/>
      <c r="TWO71" s="117"/>
      <c r="TWP71" s="117"/>
      <c r="TWQ71" s="117"/>
      <c r="TWR71" s="117"/>
      <c r="TWS71" s="117"/>
      <c r="TWT71" s="117"/>
      <c r="TWU71" s="117"/>
      <c r="TWV71" s="117"/>
      <c r="TWW71" s="117"/>
      <c r="TWX71" s="117"/>
      <c r="TWY71" s="117"/>
      <c r="TWZ71" s="117"/>
      <c r="TXA71" s="117"/>
      <c r="TXB71" s="117"/>
      <c r="TXC71" s="117"/>
      <c r="TXD71" s="117"/>
      <c r="TXE71" s="117"/>
      <c r="TXF71" s="117"/>
      <c r="TXG71" s="117"/>
      <c r="TXH71" s="117"/>
      <c r="TXI71" s="117"/>
      <c r="TXJ71" s="117"/>
      <c r="TXK71" s="117"/>
      <c r="TXL71" s="117"/>
      <c r="TXM71" s="117"/>
      <c r="TXN71" s="117"/>
      <c r="TXO71" s="117"/>
      <c r="TXP71" s="117"/>
      <c r="TXQ71" s="117"/>
      <c r="TXR71" s="117"/>
      <c r="TXS71" s="117"/>
      <c r="TXT71" s="117"/>
      <c r="TXU71" s="117"/>
      <c r="TXV71" s="117"/>
      <c r="TXW71" s="117"/>
      <c r="TXX71" s="117"/>
      <c r="TXY71" s="117"/>
      <c r="TXZ71" s="117"/>
      <c r="TYA71" s="117"/>
      <c r="TYB71" s="117"/>
      <c r="TYC71" s="117"/>
      <c r="TYD71" s="117"/>
      <c r="TYE71" s="117"/>
      <c r="TYF71" s="117"/>
      <c r="TYG71" s="117"/>
      <c r="TYH71" s="117"/>
      <c r="TYI71" s="117"/>
      <c r="TYJ71" s="117"/>
      <c r="TYK71" s="117"/>
      <c r="TYL71" s="117"/>
      <c r="TYM71" s="117"/>
      <c r="TYN71" s="117"/>
      <c r="TYO71" s="117"/>
      <c r="TYP71" s="117"/>
      <c r="TYQ71" s="117"/>
      <c r="TYR71" s="117"/>
      <c r="TYS71" s="117"/>
      <c r="TYT71" s="117"/>
      <c r="TYU71" s="117"/>
      <c r="TYV71" s="117"/>
      <c r="TYW71" s="117"/>
      <c r="TYX71" s="117"/>
      <c r="TYY71" s="117"/>
      <c r="TYZ71" s="117"/>
      <c r="TZA71" s="117"/>
      <c r="TZB71" s="117"/>
      <c r="TZC71" s="117"/>
      <c r="TZD71" s="117"/>
      <c r="TZE71" s="117"/>
      <c r="TZF71" s="117"/>
      <c r="TZG71" s="117"/>
      <c r="TZH71" s="117"/>
      <c r="TZI71" s="117"/>
      <c r="TZJ71" s="117"/>
      <c r="TZK71" s="117"/>
      <c r="TZL71" s="117"/>
      <c r="TZM71" s="117"/>
      <c r="TZN71" s="117"/>
      <c r="TZO71" s="117"/>
      <c r="TZP71" s="117"/>
      <c r="TZQ71" s="117"/>
      <c r="TZR71" s="117"/>
      <c r="TZS71" s="117"/>
      <c r="TZT71" s="117"/>
      <c r="TZU71" s="117"/>
      <c r="TZV71" s="117"/>
      <c r="TZW71" s="117"/>
      <c r="TZX71" s="117"/>
      <c r="TZY71" s="117"/>
      <c r="TZZ71" s="117"/>
      <c r="UAA71" s="117"/>
      <c r="UAB71" s="117"/>
      <c r="UAC71" s="117"/>
      <c r="UAD71" s="117"/>
      <c r="UAE71" s="117"/>
      <c r="UAF71" s="117"/>
      <c r="UAG71" s="117"/>
      <c r="UAH71" s="117"/>
      <c r="UAI71" s="117"/>
      <c r="UAJ71" s="117"/>
      <c r="UAK71" s="117"/>
      <c r="UAL71" s="117"/>
      <c r="UAM71" s="117"/>
      <c r="UAN71" s="117"/>
      <c r="UAO71" s="117"/>
      <c r="UAP71" s="117"/>
      <c r="UAQ71" s="117"/>
      <c r="UAR71" s="117"/>
      <c r="UAS71" s="117"/>
      <c r="UAT71" s="117"/>
      <c r="UAU71" s="117"/>
      <c r="UAV71" s="117"/>
      <c r="UAW71" s="117"/>
      <c r="UAX71" s="117"/>
      <c r="UAY71" s="117"/>
      <c r="UAZ71" s="117"/>
      <c r="UBA71" s="117"/>
      <c r="UBB71" s="117"/>
      <c r="UBC71" s="117"/>
      <c r="UBD71" s="117"/>
      <c r="UBE71" s="117"/>
      <c r="UBF71" s="117"/>
      <c r="UBG71" s="117"/>
      <c r="UBH71" s="117"/>
      <c r="UBI71" s="117"/>
      <c r="UBJ71" s="117"/>
      <c r="UBK71" s="117"/>
      <c r="UBL71" s="117"/>
      <c r="UBM71" s="117"/>
      <c r="UBN71" s="117"/>
      <c r="UBO71" s="117"/>
      <c r="UBP71" s="117"/>
      <c r="UBQ71" s="117"/>
      <c r="UBR71" s="117"/>
      <c r="UBS71" s="117"/>
      <c r="UBT71" s="117"/>
      <c r="UBU71" s="117"/>
      <c r="UBV71" s="117"/>
      <c r="UBW71" s="117"/>
      <c r="UBX71" s="117"/>
      <c r="UBY71" s="117"/>
      <c r="UBZ71" s="117"/>
      <c r="UCA71" s="117"/>
      <c r="UCB71" s="117"/>
      <c r="UCC71" s="117"/>
      <c r="UCD71" s="117"/>
      <c r="UCE71" s="117"/>
      <c r="UCF71" s="117"/>
      <c r="UCG71" s="117"/>
      <c r="UCH71" s="117"/>
      <c r="UCI71" s="117"/>
      <c r="UCJ71" s="117"/>
      <c r="UCK71" s="117"/>
      <c r="UCL71" s="117"/>
      <c r="UCM71" s="117"/>
      <c r="UCN71" s="117"/>
      <c r="UCO71" s="117"/>
      <c r="UCP71" s="117"/>
      <c r="UCQ71" s="117"/>
      <c r="UCR71" s="117"/>
      <c r="UCS71" s="117"/>
      <c r="UCT71" s="117"/>
      <c r="UCU71" s="117"/>
      <c r="UCV71" s="117"/>
      <c r="UCW71" s="117"/>
      <c r="UCX71" s="117"/>
      <c r="UCY71" s="117"/>
      <c r="UCZ71" s="117"/>
      <c r="UDA71" s="117"/>
      <c r="UDB71" s="117"/>
      <c r="UDC71" s="117"/>
      <c r="UDD71" s="117"/>
      <c r="UDE71" s="117"/>
      <c r="UDF71" s="117"/>
      <c r="UDG71" s="117"/>
      <c r="UDH71" s="117"/>
      <c r="UDI71" s="117"/>
      <c r="UDJ71" s="117"/>
      <c r="UDK71" s="117"/>
      <c r="UDL71" s="117"/>
      <c r="UDM71" s="117"/>
      <c r="UDN71" s="117"/>
      <c r="UDO71" s="117"/>
      <c r="UDP71" s="117"/>
      <c r="UDQ71" s="117"/>
      <c r="UDR71" s="117"/>
      <c r="UDS71" s="117"/>
      <c r="UDT71" s="117"/>
      <c r="UDU71" s="117"/>
      <c r="UDV71" s="117"/>
      <c r="UDW71" s="117"/>
      <c r="UDX71" s="117"/>
      <c r="UDY71" s="117"/>
      <c r="UDZ71" s="117"/>
      <c r="UEA71" s="117"/>
      <c r="UEB71" s="117"/>
      <c r="UEC71" s="117"/>
      <c r="UED71" s="117"/>
      <c r="UEE71" s="117"/>
      <c r="UEF71" s="117"/>
      <c r="UEG71" s="117"/>
      <c r="UEH71" s="117"/>
      <c r="UEI71" s="117"/>
      <c r="UEJ71" s="117"/>
      <c r="UEK71" s="117"/>
      <c r="UEL71" s="117"/>
      <c r="UEM71" s="117"/>
      <c r="UEN71" s="117"/>
      <c r="UEO71" s="117"/>
      <c r="UEP71" s="117"/>
      <c r="UEQ71" s="117"/>
      <c r="UER71" s="117"/>
      <c r="UES71" s="117"/>
      <c r="UET71" s="117"/>
      <c r="UEU71" s="117"/>
      <c r="UEV71" s="117"/>
      <c r="UEW71" s="117"/>
      <c r="UEX71" s="117"/>
      <c r="UEY71" s="117"/>
      <c r="UEZ71" s="117"/>
      <c r="UFA71" s="117"/>
      <c r="UFB71" s="117"/>
      <c r="UFC71" s="117"/>
      <c r="UFD71" s="117"/>
      <c r="UFE71" s="117"/>
      <c r="UFF71" s="117"/>
      <c r="UFG71" s="117"/>
      <c r="UFH71" s="117"/>
      <c r="UFI71" s="117"/>
      <c r="UFJ71" s="117"/>
      <c r="UFK71" s="117"/>
      <c r="UFL71" s="117"/>
      <c r="UFM71" s="117"/>
      <c r="UFN71" s="117"/>
      <c r="UFO71" s="117"/>
      <c r="UFP71" s="117"/>
      <c r="UFQ71" s="117"/>
      <c r="UFR71" s="117"/>
      <c r="UFS71" s="117"/>
      <c r="UFT71" s="117"/>
      <c r="UFU71" s="117"/>
      <c r="UFV71" s="117"/>
      <c r="UFW71" s="117"/>
      <c r="UFX71" s="117"/>
      <c r="UFY71" s="117"/>
      <c r="UFZ71" s="117"/>
      <c r="UGA71" s="117"/>
      <c r="UGB71" s="117"/>
      <c r="UGC71" s="117"/>
      <c r="UGD71" s="117"/>
      <c r="UGE71" s="117"/>
      <c r="UGF71" s="117"/>
      <c r="UGG71" s="117"/>
      <c r="UGH71" s="117"/>
      <c r="UGI71" s="117"/>
      <c r="UGJ71" s="117"/>
      <c r="UGK71" s="117"/>
      <c r="UGL71" s="117"/>
      <c r="UGM71" s="117"/>
      <c r="UGN71" s="117"/>
      <c r="UGO71" s="117"/>
      <c r="UGP71" s="117"/>
      <c r="UGQ71" s="117"/>
      <c r="UGR71" s="117"/>
      <c r="UGS71" s="117"/>
      <c r="UGT71" s="117"/>
      <c r="UGU71" s="117"/>
      <c r="UGV71" s="117"/>
      <c r="UGW71" s="117"/>
      <c r="UGX71" s="117"/>
      <c r="UGY71" s="117"/>
      <c r="UGZ71" s="117"/>
      <c r="UHA71" s="117"/>
      <c r="UHB71" s="117"/>
      <c r="UHC71" s="117"/>
      <c r="UHD71" s="117"/>
      <c r="UHE71" s="117"/>
      <c r="UHF71" s="117"/>
      <c r="UHG71" s="117"/>
      <c r="UHH71" s="117"/>
      <c r="UHI71" s="117"/>
      <c r="UHJ71" s="117"/>
      <c r="UHK71" s="117"/>
      <c r="UHL71" s="117"/>
      <c r="UHM71" s="117"/>
      <c r="UHN71" s="117"/>
      <c r="UHO71" s="117"/>
      <c r="UHP71" s="117"/>
      <c r="UHQ71" s="117"/>
      <c r="UHR71" s="117"/>
      <c r="UHS71" s="117"/>
      <c r="UHT71" s="117"/>
      <c r="UHU71" s="117"/>
      <c r="UHV71" s="117"/>
      <c r="UHW71" s="117"/>
      <c r="UHX71" s="117"/>
      <c r="UHY71" s="117"/>
      <c r="UHZ71" s="117"/>
      <c r="UIA71" s="117"/>
      <c r="UIB71" s="117"/>
      <c r="UIC71" s="117"/>
      <c r="UID71" s="117"/>
      <c r="UIE71" s="117"/>
      <c r="UIF71" s="117"/>
      <c r="UIG71" s="117"/>
      <c r="UIH71" s="117"/>
      <c r="UII71" s="117"/>
      <c r="UIJ71" s="117"/>
      <c r="UIK71" s="117"/>
      <c r="UIL71" s="117"/>
      <c r="UIM71" s="117"/>
      <c r="UIN71" s="117"/>
      <c r="UIO71" s="117"/>
      <c r="UIP71" s="117"/>
      <c r="UIQ71" s="117"/>
      <c r="UIR71" s="117"/>
      <c r="UIS71" s="117"/>
      <c r="UIT71" s="117"/>
      <c r="UIU71" s="117"/>
      <c r="UIV71" s="117"/>
      <c r="UIW71" s="117"/>
      <c r="UIX71" s="117"/>
      <c r="UIY71" s="117"/>
      <c r="UIZ71" s="117"/>
      <c r="UJA71" s="117"/>
      <c r="UJB71" s="117"/>
      <c r="UJC71" s="117"/>
      <c r="UJD71" s="117"/>
      <c r="UJE71" s="117"/>
      <c r="UJF71" s="117"/>
      <c r="UJG71" s="117"/>
      <c r="UJH71" s="117"/>
      <c r="UJI71" s="117"/>
      <c r="UJJ71" s="117"/>
      <c r="UJK71" s="117"/>
      <c r="UJL71" s="117"/>
      <c r="UJM71" s="117"/>
      <c r="UJN71" s="117"/>
      <c r="UJO71" s="117"/>
      <c r="UJP71" s="117"/>
      <c r="UJQ71" s="117"/>
      <c r="UJR71" s="117"/>
      <c r="UJS71" s="117"/>
      <c r="UJT71" s="117"/>
      <c r="UJU71" s="117"/>
      <c r="UJV71" s="117"/>
      <c r="UJW71" s="117"/>
      <c r="UJX71" s="117"/>
      <c r="UJY71" s="117"/>
      <c r="UJZ71" s="117"/>
      <c r="UKA71" s="117"/>
      <c r="UKB71" s="117"/>
      <c r="UKC71" s="117"/>
      <c r="UKD71" s="117"/>
      <c r="UKE71" s="117"/>
      <c r="UKF71" s="117"/>
      <c r="UKG71" s="117"/>
      <c r="UKH71" s="117"/>
      <c r="UKI71" s="117"/>
      <c r="UKJ71" s="117"/>
      <c r="UKK71" s="117"/>
      <c r="UKL71" s="117"/>
      <c r="UKM71" s="117"/>
      <c r="UKN71" s="117"/>
      <c r="UKO71" s="117"/>
      <c r="UKP71" s="117"/>
      <c r="UKQ71" s="117"/>
      <c r="UKR71" s="117"/>
      <c r="UKS71" s="117"/>
      <c r="UKT71" s="117"/>
      <c r="UKU71" s="117"/>
      <c r="UKV71" s="117"/>
      <c r="UKW71" s="117"/>
      <c r="UKX71" s="117"/>
      <c r="UKY71" s="117"/>
      <c r="UKZ71" s="117"/>
      <c r="ULA71" s="117"/>
      <c r="ULB71" s="117"/>
      <c r="ULC71" s="117"/>
      <c r="ULD71" s="117"/>
      <c r="ULE71" s="117"/>
      <c r="ULF71" s="117"/>
      <c r="ULG71" s="117"/>
      <c r="ULH71" s="117"/>
      <c r="ULI71" s="117"/>
      <c r="ULJ71" s="117"/>
      <c r="ULK71" s="117"/>
      <c r="ULL71" s="117"/>
      <c r="ULM71" s="117"/>
      <c r="ULN71" s="117"/>
      <c r="ULO71" s="117"/>
      <c r="ULP71" s="117"/>
      <c r="ULQ71" s="117"/>
      <c r="ULR71" s="117"/>
      <c r="ULS71" s="117"/>
      <c r="ULT71" s="117"/>
      <c r="ULU71" s="117"/>
      <c r="ULV71" s="117"/>
      <c r="ULW71" s="117"/>
      <c r="ULX71" s="117"/>
      <c r="ULY71" s="117"/>
      <c r="ULZ71" s="117"/>
      <c r="UMA71" s="117"/>
      <c r="UMB71" s="117"/>
      <c r="UMC71" s="117"/>
      <c r="UMD71" s="117"/>
      <c r="UME71" s="117"/>
      <c r="UMF71" s="117"/>
      <c r="UMG71" s="117"/>
      <c r="UMH71" s="117"/>
      <c r="UMI71" s="117"/>
      <c r="UMJ71" s="117"/>
      <c r="UMK71" s="117"/>
      <c r="UML71" s="117"/>
      <c r="UMM71" s="117"/>
      <c r="UMN71" s="117"/>
      <c r="UMO71" s="117"/>
      <c r="UMP71" s="117"/>
      <c r="UMQ71" s="117"/>
      <c r="UMR71" s="117"/>
      <c r="UMS71" s="117"/>
      <c r="UMT71" s="117"/>
      <c r="UMU71" s="117"/>
      <c r="UMV71" s="117"/>
      <c r="UMW71" s="117"/>
      <c r="UMX71" s="117"/>
      <c r="UMY71" s="117"/>
      <c r="UMZ71" s="117"/>
      <c r="UNA71" s="117"/>
      <c r="UNB71" s="117"/>
      <c r="UNC71" s="117"/>
      <c r="UND71" s="117"/>
      <c r="UNE71" s="117"/>
      <c r="UNF71" s="117"/>
      <c r="UNG71" s="117"/>
      <c r="UNH71" s="117"/>
      <c r="UNI71" s="117"/>
      <c r="UNJ71" s="117"/>
      <c r="UNK71" s="117"/>
      <c r="UNL71" s="117"/>
      <c r="UNM71" s="117"/>
      <c r="UNN71" s="117"/>
      <c r="UNO71" s="117"/>
      <c r="UNP71" s="117"/>
      <c r="UNQ71" s="117"/>
      <c r="UNR71" s="117"/>
      <c r="UNS71" s="117"/>
      <c r="UNT71" s="117"/>
      <c r="UNU71" s="117"/>
      <c r="UNV71" s="117"/>
      <c r="UNW71" s="117"/>
      <c r="UNX71" s="117"/>
      <c r="UNY71" s="117"/>
      <c r="UNZ71" s="117"/>
      <c r="UOA71" s="117"/>
      <c r="UOB71" s="117"/>
      <c r="UOC71" s="117"/>
      <c r="UOD71" s="117"/>
      <c r="UOE71" s="117"/>
      <c r="UOF71" s="117"/>
      <c r="UOG71" s="117"/>
      <c r="UOH71" s="117"/>
      <c r="UOI71" s="117"/>
      <c r="UOJ71" s="117"/>
      <c r="UOK71" s="117"/>
      <c r="UOL71" s="117"/>
      <c r="UOM71" s="117"/>
      <c r="UON71" s="117"/>
      <c r="UOO71" s="117"/>
      <c r="UOP71" s="117"/>
      <c r="UOQ71" s="117"/>
      <c r="UOR71" s="117"/>
      <c r="UOS71" s="117"/>
      <c r="UOT71" s="117"/>
      <c r="UOU71" s="117"/>
      <c r="UOV71" s="117"/>
      <c r="UOW71" s="117"/>
      <c r="UOX71" s="117"/>
      <c r="UOY71" s="117"/>
      <c r="UOZ71" s="117"/>
      <c r="UPA71" s="117"/>
      <c r="UPB71" s="117"/>
      <c r="UPC71" s="117"/>
      <c r="UPD71" s="117"/>
      <c r="UPE71" s="117"/>
      <c r="UPF71" s="117"/>
      <c r="UPG71" s="117"/>
      <c r="UPH71" s="117"/>
      <c r="UPI71" s="117"/>
      <c r="UPJ71" s="117"/>
      <c r="UPK71" s="117"/>
      <c r="UPL71" s="117"/>
      <c r="UPM71" s="117"/>
      <c r="UPN71" s="117"/>
      <c r="UPO71" s="117"/>
      <c r="UPP71" s="117"/>
      <c r="UPQ71" s="117"/>
      <c r="UPR71" s="117"/>
      <c r="UPS71" s="117"/>
      <c r="UPT71" s="117"/>
      <c r="UPU71" s="117"/>
      <c r="UPV71" s="117"/>
      <c r="UPW71" s="117"/>
      <c r="UPX71" s="117"/>
      <c r="UPY71" s="117"/>
      <c r="UPZ71" s="117"/>
      <c r="UQA71" s="117"/>
      <c r="UQB71" s="117"/>
      <c r="UQC71" s="117"/>
      <c r="UQD71" s="117"/>
      <c r="UQE71" s="117"/>
      <c r="UQF71" s="117"/>
      <c r="UQG71" s="117"/>
      <c r="UQH71" s="117"/>
      <c r="UQI71" s="117"/>
      <c r="UQJ71" s="117"/>
      <c r="UQK71" s="117"/>
      <c r="UQL71" s="117"/>
      <c r="UQM71" s="117"/>
      <c r="UQN71" s="117"/>
      <c r="UQO71" s="117"/>
      <c r="UQP71" s="117"/>
      <c r="UQQ71" s="117"/>
      <c r="UQR71" s="117"/>
      <c r="UQS71" s="117"/>
      <c r="UQT71" s="117"/>
      <c r="UQU71" s="117"/>
      <c r="UQV71" s="117"/>
      <c r="UQW71" s="117"/>
      <c r="UQX71" s="117"/>
      <c r="UQY71" s="117"/>
      <c r="UQZ71" s="117"/>
      <c r="URA71" s="117"/>
      <c r="URB71" s="117"/>
      <c r="URC71" s="117"/>
      <c r="URD71" s="117"/>
      <c r="URE71" s="117"/>
      <c r="URF71" s="117"/>
      <c r="URG71" s="117"/>
      <c r="URH71" s="117"/>
      <c r="URI71" s="117"/>
      <c r="URJ71" s="117"/>
      <c r="URK71" s="117"/>
      <c r="URL71" s="117"/>
      <c r="URM71" s="117"/>
      <c r="URN71" s="117"/>
      <c r="URO71" s="117"/>
      <c r="URP71" s="117"/>
      <c r="URQ71" s="117"/>
      <c r="URR71" s="117"/>
      <c r="URS71" s="117"/>
      <c r="URT71" s="117"/>
      <c r="URU71" s="117"/>
      <c r="URV71" s="117"/>
      <c r="URW71" s="117"/>
      <c r="URX71" s="117"/>
      <c r="URY71" s="117"/>
      <c r="URZ71" s="117"/>
      <c r="USA71" s="117"/>
      <c r="USB71" s="117"/>
      <c r="USC71" s="117"/>
      <c r="USD71" s="117"/>
      <c r="USE71" s="117"/>
      <c r="USF71" s="117"/>
      <c r="USG71" s="117"/>
      <c r="USH71" s="117"/>
      <c r="USI71" s="117"/>
      <c r="USJ71" s="117"/>
      <c r="USK71" s="117"/>
      <c r="USL71" s="117"/>
      <c r="USM71" s="117"/>
      <c r="USN71" s="117"/>
      <c r="USO71" s="117"/>
      <c r="USP71" s="117"/>
      <c r="USQ71" s="117"/>
      <c r="USR71" s="117"/>
      <c r="USS71" s="117"/>
      <c r="UST71" s="117"/>
      <c r="USU71" s="117"/>
      <c r="USV71" s="117"/>
      <c r="USW71" s="117"/>
      <c r="USX71" s="117"/>
      <c r="USY71" s="117"/>
      <c r="USZ71" s="117"/>
      <c r="UTA71" s="117"/>
      <c r="UTB71" s="117"/>
      <c r="UTC71" s="117"/>
      <c r="UTD71" s="117"/>
      <c r="UTE71" s="117"/>
      <c r="UTF71" s="117"/>
      <c r="UTG71" s="117"/>
      <c r="UTH71" s="117"/>
      <c r="UTI71" s="117"/>
      <c r="UTJ71" s="117"/>
      <c r="UTK71" s="117"/>
      <c r="UTL71" s="117"/>
      <c r="UTM71" s="117"/>
      <c r="UTN71" s="117"/>
      <c r="UTO71" s="117"/>
      <c r="UTP71" s="117"/>
      <c r="UTQ71" s="117"/>
      <c r="UTR71" s="117"/>
      <c r="UTS71" s="117"/>
      <c r="UTT71" s="117"/>
      <c r="UTU71" s="117"/>
      <c r="UTV71" s="117"/>
      <c r="UTW71" s="117"/>
      <c r="UTX71" s="117"/>
      <c r="UTY71" s="117"/>
      <c r="UTZ71" s="117"/>
      <c r="UUA71" s="117"/>
      <c r="UUB71" s="117"/>
      <c r="UUC71" s="117"/>
      <c r="UUD71" s="117"/>
      <c r="UUE71" s="117"/>
      <c r="UUF71" s="117"/>
      <c r="UUG71" s="117"/>
      <c r="UUH71" s="117"/>
      <c r="UUI71" s="117"/>
      <c r="UUJ71" s="117"/>
      <c r="UUK71" s="117"/>
      <c r="UUL71" s="117"/>
      <c r="UUM71" s="117"/>
      <c r="UUN71" s="117"/>
      <c r="UUO71" s="117"/>
      <c r="UUP71" s="117"/>
      <c r="UUQ71" s="117"/>
      <c r="UUR71" s="117"/>
      <c r="UUS71" s="117"/>
      <c r="UUT71" s="117"/>
      <c r="UUU71" s="117"/>
      <c r="UUV71" s="117"/>
      <c r="UUW71" s="117"/>
      <c r="UUX71" s="117"/>
      <c r="UUY71" s="117"/>
      <c r="UUZ71" s="117"/>
      <c r="UVA71" s="117"/>
      <c r="UVB71" s="117"/>
      <c r="UVC71" s="117"/>
      <c r="UVD71" s="117"/>
      <c r="UVE71" s="117"/>
      <c r="UVF71" s="117"/>
      <c r="UVG71" s="117"/>
      <c r="UVH71" s="117"/>
      <c r="UVI71" s="117"/>
      <c r="UVJ71" s="117"/>
      <c r="UVK71" s="117"/>
      <c r="UVL71" s="117"/>
      <c r="UVM71" s="117"/>
      <c r="UVN71" s="117"/>
      <c r="UVO71" s="117"/>
      <c r="UVP71" s="117"/>
      <c r="UVQ71" s="117"/>
      <c r="UVR71" s="117"/>
      <c r="UVS71" s="117"/>
      <c r="UVT71" s="117"/>
      <c r="UVU71" s="117"/>
      <c r="UVV71" s="117"/>
      <c r="UVW71" s="117"/>
      <c r="UVX71" s="117"/>
      <c r="UVY71" s="117"/>
      <c r="UVZ71" s="117"/>
      <c r="UWA71" s="117"/>
      <c r="UWB71" s="117"/>
      <c r="UWC71" s="117"/>
      <c r="UWD71" s="117"/>
      <c r="UWE71" s="117"/>
      <c r="UWF71" s="117"/>
      <c r="UWG71" s="117"/>
      <c r="UWH71" s="117"/>
      <c r="UWI71" s="117"/>
      <c r="UWJ71" s="117"/>
      <c r="UWK71" s="117"/>
      <c r="UWL71" s="117"/>
      <c r="UWM71" s="117"/>
      <c r="UWN71" s="117"/>
      <c r="UWO71" s="117"/>
      <c r="UWP71" s="117"/>
      <c r="UWQ71" s="117"/>
      <c r="UWR71" s="117"/>
      <c r="UWS71" s="117"/>
      <c r="UWT71" s="117"/>
      <c r="UWU71" s="117"/>
      <c r="UWV71" s="117"/>
      <c r="UWW71" s="117"/>
      <c r="UWX71" s="117"/>
      <c r="UWY71" s="117"/>
      <c r="UWZ71" s="117"/>
      <c r="UXA71" s="117"/>
      <c r="UXB71" s="117"/>
      <c r="UXC71" s="117"/>
      <c r="UXD71" s="117"/>
      <c r="UXE71" s="117"/>
      <c r="UXF71" s="117"/>
      <c r="UXG71" s="117"/>
      <c r="UXH71" s="117"/>
      <c r="UXI71" s="117"/>
      <c r="UXJ71" s="117"/>
      <c r="UXK71" s="117"/>
      <c r="UXL71" s="117"/>
      <c r="UXM71" s="117"/>
      <c r="UXN71" s="117"/>
      <c r="UXO71" s="117"/>
      <c r="UXP71" s="117"/>
      <c r="UXQ71" s="117"/>
      <c r="UXR71" s="117"/>
      <c r="UXS71" s="117"/>
      <c r="UXT71" s="117"/>
      <c r="UXU71" s="117"/>
      <c r="UXV71" s="117"/>
      <c r="UXW71" s="117"/>
      <c r="UXX71" s="117"/>
      <c r="UXY71" s="117"/>
      <c r="UXZ71" s="117"/>
      <c r="UYA71" s="117"/>
      <c r="UYB71" s="117"/>
      <c r="UYC71" s="117"/>
      <c r="UYD71" s="117"/>
      <c r="UYE71" s="117"/>
      <c r="UYF71" s="117"/>
      <c r="UYG71" s="117"/>
      <c r="UYH71" s="117"/>
      <c r="UYI71" s="117"/>
      <c r="UYJ71" s="117"/>
      <c r="UYK71" s="117"/>
      <c r="UYL71" s="117"/>
      <c r="UYM71" s="117"/>
      <c r="UYN71" s="117"/>
      <c r="UYO71" s="117"/>
      <c r="UYP71" s="117"/>
      <c r="UYQ71" s="117"/>
      <c r="UYR71" s="117"/>
      <c r="UYS71" s="117"/>
      <c r="UYT71" s="117"/>
      <c r="UYU71" s="117"/>
      <c r="UYV71" s="117"/>
      <c r="UYW71" s="117"/>
      <c r="UYX71" s="117"/>
      <c r="UYY71" s="117"/>
      <c r="UYZ71" s="117"/>
      <c r="UZA71" s="117"/>
      <c r="UZB71" s="117"/>
      <c r="UZC71" s="117"/>
      <c r="UZD71" s="117"/>
      <c r="UZE71" s="117"/>
      <c r="UZF71" s="117"/>
      <c r="UZG71" s="117"/>
      <c r="UZH71" s="117"/>
      <c r="UZI71" s="117"/>
      <c r="UZJ71" s="117"/>
      <c r="UZK71" s="117"/>
      <c r="UZL71" s="117"/>
      <c r="UZM71" s="117"/>
      <c r="UZN71" s="117"/>
      <c r="UZO71" s="117"/>
      <c r="UZP71" s="117"/>
      <c r="UZQ71" s="117"/>
      <c r="UZR71" s="117"/>
      <c r="UZS71" s="117"/>
      <c r="UZT71" s="117"/>
      <c r="UZU71" s="117"/>
      <c r="UZV71" s="117"/>
      <c r="UZW71" s="117"/>
      <c r="UZX71" s="117"/>
      <c r="UZY71" s="117"/>
      <c r="UZZ71" s="117"/>
      <c r="VAA71" s="117"/>
      <c r="VAB71" s="117"/>
      <c r="VAC71" s="117"/>
      <c r="VAD71" s="117"/>
      <c r="VAE71" s="117"/>
      <c r="VAF71" s="117"/>
      <c r="VAG71" s="117"/>
      <c r="VAH71" s="117"/>
      <c r="VAI71" s="117"/>
      <c r="VAJ71" s="117"/>
      <c r="VAK71" s="117"/>
      <c r="VAL71" s="117"/>
      <c r="VAM71" s="117"/>
      <c r="VAN71" s="117"/>
      <c r="VAO71" s="117"/>
      <c r="VAP71" s="117"/>
      <c r="VAQ71" s="117"/>
      <c r="VAR71" s="117"/>
      <c r="VAS71" s="117"/>
      <c r="VAT71" s="117"/>
      <c r="VAU71" s="117"/>
      <c r="VAV71" s="117"/>
      <c r="VAW71" s="117"/>
      <c r="VAX71" s="117"/>
      <c r="VAY71" s="117"/>
      <c r="VAZ71" s="117"/>
      <c r="VBA71" s="117"/>
      <c r="VBB71" s="117"/>
      <c r="VBC71" s="117"/>
      <c r="VBD71" s="117"/>
      <c r="VBE71" s="117"/>
      <c r="VBF71" s="117"/>
      <c r="VBG71" s="117"/>
      <c r="VBH71" s="117"/>
      <c r="VBI71" s="117"/>
      <c r="VBJ71" s="117"/>
      <c r="VBK71" s="117"/>
      <c r="VBL71" s="117"/>
      <c r="VBM71" s="117"/>
      <c r="VBN71" s="117"/>
      <c r="VBO71" s="117"/>
      <c r="VBP71" s="117"/>
      <c r="VBQ71" s="117"/>
      <c r="VBR71" s="117"/>
      <c r="VBS71" s="117"/>
      <c r="VBT71" s="117"/>
      <c r="VBU71" s="117"/>
      <c r="VBV71" s="117"/>
      <c r="VBW71" s="117"/>
      <c r="VBX71" s="117"/>
      <c r="VBY71" s="117"/>
      <c r="VBZ71" s="117"/>
      <c r="VCA71" s="117"/>
      <c r="VCB71" s="117"/>
      <c r="VCC71" s="117"/>
      <c r="VCD71" s="117"/>
      <c r="VCE71" s="117"/>
      <c r="VCF71" s="117"/>
      <c r="VCG71" s="117"/>
      <c r="VCH71" s="117"/>
      <c r="VCI71" s="117"/>
      <c r="VCJ71" s="117"/>
      <c r="VCK71" s="117"/>
      <c r="VCL71" s="117"/>
      <c r="VCM71" s="117"/>
      <c r="VCN71" s="117"/>
      <c r="VCO71" s="117"/>
      <c r="VCP71" s="117"/>
      <c r="VCQ71" s="117"/>
      <c r="VCR71" s="117"/>
      <c r="VCS71" s="117"/>
      <c r="VCT71" s="117"/>
      <c r="VCU71" s="117"/>
      <c r="VCV71" s="117"/>
      <c r="VCW71" s="117"/>
      <c r="VCX71" s="117"/>
      <c r="VCY71" s="117"/>
      <c r="VCZ71" s="117"/>
      <c r="VDA71" s="117"/>
      <c r="VDB71" s="117"/>
      <c r="VDC71" s="117"/>
      <c r="VDD71" s="117"/>
      <c r="VDE71" s="117"/>
      <c r="VDF71" s="117"/>
      <c r="VDG71" s="117"/>
      <c r="VDH71" s="117"/>
      <c r="VDI71" s="117"/>
      <c r="VDJ71" s="117"/>
      <c r="VDK71" s="117"/>
      <c r="VDL71" s="117"/>
      <c r="VDM71" s="117"/>
      <c r="VDN71" s="117"/>
      <c r="VDO71" s="117"/>
      <c r="VDP71" s="117"/>
      <c r="VDQ71" s="117"/>
      <c r="VDR71" s="117"/>
      <c r="VDS71" s="117"/>
      <c r="VDT71" s="117"/>
      <c r="VDU71" s="117"/>
      <c r="VDV71" s="117"/>
      <c r="VDW71" s="117"/>
      <c r="VDX71" s="117"/>
      <c r="VDY71" s="117"/>
      <c r="VDZ71" s="117"/>
      <c r="VEA71" s="117"/>
      <c r="VEB71" s="117"/>
      <c r="VEC71" s="117"/>
      <c r="VED71" s="117"/>
      <c r="VEE71" s="117"/>
      <c r="VEF71" s="117"/>
      <c r="VEG71" s="117"/>
      <c r="VEH71" s="117"/>
      <c r="VEI71" s="117"/>
      <c r="VEJ71" s="117"/>
      <c r="VEK71" s="117"/>
      <c r="VEL71" s="117"/>
      <c r="VEM71" s="117"/>
      <c r="VEN71" s="117"/>
      <c r="VEO71" s="117"/>
      <c r="VEP71" s="117"/>
      <c r="VEQ71" s="117"/>
      <c r="VER71" s="117"/>
      <c r="VES71" s="117"/>
      <c r="VET71" s="117"/>
      <c r="VEU71" s="117"/>
      <c r="VEV71" s="117"/>
      <c r="VEW71" s="117"/>
      <c r="VEX71" s="117"/>
      <c r="VEY71" s="117"/>
      <c r="VEZ71" s="117"/>
      <c r="VFA71" s="117"/>
      <c r="VFB71" s="117"/>
      <c r="VFC71" s="117"/>
      <c r="VFD71" s="117"/>
      <c r="VFE71" s="117"/>
      <c r="VFF71" s="117"/>
      <c r="VFG71" s="117"/>
      <c r="VFH71" s="117"/>
      <c r="VFI71" s="117"/>
      <c r="VFJ71" s="117"/>
      <c r="VFK71" s="117"/>
      <c r="VFL71" s="117"/>
      <c r="VFM71" s="117"/>
      <c r="VFN71" s="117"/>
      <c r="VFO71" s="117"/>
      <c r="VFP71" s="117"/>
      <c r="VFQ71" s="117"/>
      <c r="VFR71" s="117"/>
      <c r="VFS71" s="117"/>
      <c r="VFT71" s="117"/>
      <c r="VFU71" s="117"/>
      <c r="VFV71" s="117"/>
      <c r="VFW71" s="117"/>
      <c r="VFX71" s="117"/>
      <c r="VFY71" s="117"/>
      <c r="VFZ71" s="117"/>
      <c r="VGA71" s="117"/>
      <c r="VGB71" s="117"/>
      <c r="VGC71" s="117"/>
      <c r="VGD71" s="117"/>
      <c r="VGE71" s="117"/>
      <c r="VGF71" s="117"/>
      <c r="VGG71" s="117"/>
      <c r="VGH71" s="117"/>
      <c r="VGI71" s="117"/>
      <c r="VGJ71" s="117"/>
      <c r="VGK71" s="117"/>
      <c r="VGL71" s="117"/>
      <c r="VGM71" s="117"/>
      <c r="VGN71" s="117"/>
      <c r="VGO71" s="117"/>
      <c r="VGP71" s="117"/>
      <c r="VGQ71" s="117"/>
      <c r="VGR71" s="117"/>
      <c r="VGS71" s="117"/>
      <c r="VGT71" s="117"/>
      <c r="VGU71" s="117"/>
      <c r="VGV71" s="117"/>
      <c r="VGW71" s="117"/>
      <c r="VGX71" s="117"/>
      <c r="VGY71" s="117"/>
      <c r="VGZ71" s="117"/>
      <c r="VHA71" s="117"/>
      <c r="VHB71" s="117"/>
      <c r="VHC71" s="117"/>
      <c r="VHD71" s="117"/>
      <c r="VHE71" s="117"/>
      <c r="VHF71" s="117"/>
      <c r="VHG71" s="117"/>
      <c r="VHH71" s="117"/>
      <c r="VHI71" s="117"/>
      <c r="VHJ71" s="117"/>
      <c r="VHK71" s="117"/>
      <c r="VHL71" s="117"/>
      <c r="VHM71" s="117"/>
      <c r="VHN71" s="117"/>
      <c r="VHO71" s="117"/>
      <c r="VHP71" s="117"/>
      <c r="VHQ71" s="117"/>
      <c r="VHR71" s="117"/>
      <c r="VHS71" s="117"/>
      <c r="VHT71" s="117"/>
      <c r="VHU71" s="117"/>
      <c r="VHV71" s="117"/>
      <c r="VHW71" s="117"/>
      <c r="VHX71" s="117"/>
      <c r="VHY71" s="117"/>
      <c r="VHZ71" s="117"/>
      <c r="VIA71" s="117"/>
      <c r="VIB71" s="117"/>
      <c r="VIC71" s="117"/>
      <c r="VID71" s="117"/>
      <c r="VIE71" s="117"/>
      <c r="VIF71" s="117"/>
      <c r="VIG71" s="117"/>
      <c r="VIH71" s="117"/>
      <c r="VII71" s="117"/>
      <c r="VIJ71" s="117"/>
      <c r="VIK71" s="117"/>
      <c r="VIL71" s="117"/>
      <c r="VIM71" s="117"/>
      <c r="VIN71" s="117"/>
      <c r="VIO71" s="117"/>
      <c r="VIP71" s="117"/>
      <c r="VIQ71" s="117"/>
      <c r="VIR71" s="117"/>
      <c r="VIS71" s="117"/>
      <c r="VIT71" s="117"/>
      <c r="VIU71" s="117"/>
      <c r="VIV71" s="117"/>
      <c r="VIW71" s="117"/>
      <c r="VIX71" s="117"/>
      <c r="VIY71" s="117"/>
      <c r="VIZ71" s="117"/>
      <c r="VJA71" s="117"/>
      <c r="VJB71" s="117"/>
      <c r="VJC71" s="117"/>
      <c r="VJD71" s="117"/>
      <c r="VJE71" s="117"/>
      <c r="VJF71" s="117"/>
      <c r="VJG71" s="117"/>
      <c r="VJH71" s="117"/>
      <c r="VJI71" s="117"/>
      <c r="VJJ71" s="117"/>
      <c r="VJK71" s="117"/>
      <c r="VJL71" s="117"/>
      <c r="VJM71" s="117"/>
      <c r="VJN71" s="117"/>
      <c r="VJO71" s="117"/>
      <c r="VJP71" s="117"/>
      <c r="VJQ71" s="117"/>
      <c r="VJR71" s="117"/>
      <c r="VJS71" s="117"/>
      <c r="VJT71" s="117"/>
      <c r="VJU71" s="117"/>
      <c r="VJV71" s="117"/>
      <c r="VJW71" s="117"/>
      <c r="VJX71" s="117"/>
      <c r="VJY71" s="117"/>
      <c r="VJZ71" s="117"/>
      <c r="VKA71" s="117"/>
      <c r="VKB71" s="117"/>
      <c r="VKC71" s="117"/>
      <c r="VKD71" s="117"/>
      <c r="VKE71" s="117"/>
      <c r="VKF71" s="117"/>
      <c r="VKG71" s="117"/>
      <c r="VKH71" s="117"/>
      <c r="VKI71" s="117"/>
      <c r="VKJ71" s="117"/>
      <c r="VKK71" s="117"/>
      <c r="VKL71" s="117"/>
      <c r="VKM71" s="117"/>
      <c r="VKN71" s="117"/>
      <c r="VKO71" s="117"/>
      <c r="VKP71" s="117"/>
      <c r="VKQ71" s="117"/>
      <c r="VKR71" s="117"/>
      <c r="VKS71" s="117"/>
      <c r="VKT71" s="117"/>
      <c r="VKU71" s="117"/>
      <c r="VKV71" s="117"/>
      <c r="VKW71" s="117"/>
      <c r="VKX71" s="117"/>
      <c r="VKY71" s="117"/>
      <c r="VKZ71" s="117"/>
      <c r="VLA71" s="117"/>
      <c r="VLB71" s="117"/>
      <c r="VLC71" s="117"/>
      <c r="VLD71" s="117"/>
      <c r="VLE71" s="117"/>
      <c r="VLF71" s="117"/>
      <c r="VLG71" s="117"/>
      <c r="VLH71" s="117"/>
      <c r="VLI71" s="117"/>
      <c r="VLJ71" s="117"/>
      <c r="VLK71" s="117"/>
      <c r="VLL71" s="117"/>
      <c r="VLM71" s="117"/>
      <c r="VLN71" s="117"/>
      <c r="VLO71" s="117"/>
      <c r="VLP71" s="117"/>
      <c r="VLQ71" s="117"/>
      <c r="VLR71" s="117"/>
      <c r="VLS71" s="117"/>
      <c r="VLT71" s="117"/>
      <c r="VLU71" s="117"/>
      <c r="VLV71" s="117"/>
      <c r="VLW71" s="117"/>
      <c r="VLX71" s="117"/>
      <c r="VLY71" s="117"/>
      <c r="VLZ71" s="117"/>
      <c r="VMA71" s="117"/>
      <c r="VMB71" s="117"/>
      <c r="VMC71" s="117"/>
      <c r="VMD71" s="117"/>
      <c r="VME71" s="117"/>
      <c r="VMF71" s="117"/>
      <c r="VMG71" s="117"/>
      <c r="VMH71" s="117"/>
      <c r="VMI71" s="117"/>
      <c r="VMJ71" s="117"/>
      <c r="VMK71" s="117"/>
      <c r="VML71" s="117"/>
      <c r="VMM71" s="117"/>
      <c r="VMN71" s="117"/>
      <c r="VMO71" s="117"/>
      <c r="VMP71" s="117"/>
      <c r="VMQ71" s="117"/>
      <c r="VMR71" s="117"/>
      <c r="VMS71" s="117"/>
      <c r="VMT71" s="117"/>
      <c r="VMU71" s="117"/>
      <c r="VMV71" s="117"/>
      <c r="VMW71" s="117"/>
      <c r="VMX71" s="117"/>
      <c r="VMY71" s="117"/>
      <c r="VMZ71" s="117"/>
      <c r="VNA71" s="117"/>
      <c r="VNB71" s="117"/>
      <c r="VNC71" s="117"/>
      <c r="VND71" s="117"/>
      <c r="VNE71" s="117"/>
      <c r="VNF71" s="117"/>
      <c r="VNG71" s="117"/>
      <c r="VNH71" s="117"/>
      <c r="VNI71" s="117"/>
      <c r="VNJ71" s="117"/>
      <c r="VNK71" s="117"/>
      <c r="VNL71" s="117"/>
      <c r="VNM71" s="117"/>
      <c r="VNN71" s="117"/>
      <c r="VNO71" s="117"/>
      <c r="VNP71" s="117"/>
      <c r="VNQ71" s="117"/>
      <c r="VNR71" s="117"/>
      <c r="VNS71" s="117"/>
      <c r="VNT71" s="117"/>
      <c r="VNU71" s="117"/>
      <c r="VNV71" s="117"/>
      <c r="VNW71" s="117"/>
      <c r="VNX71" s="117"/>
      <c r="VNY71" s="117"/>
      <c r="VNZ71" s="117"/>
      <c r="VOA71" s="117"/>
      <c r="VOB71" s="117"/>
      <c r="VOC71" s="117"/>
      <c r="VOD71" s="117"/>
      <c r="VOE71" s="117"/>
      <c r="VOF71" s="117"/>
      <c r="VOG71" s="117"/>
      <c r="VOH71" s="117"/>
      <c r="VOI71" s="117"/>
      <c r="VOJ71" s="117"/>
      <c r="VOK71" s="117"/>
      <c r="VOL71" s="117"/>
      <c r="VOM71" s="117"/>
      <c r="VON71" s="117"/>
      <c r="VOO71" s="117"/>
      <c r="VOP71" s="117"/>
      <c r="VOQ71" s="117"/>
      <c r="VOR71" s="117"/>
      <c r="VOS71" s="117"/>
      <c r="VOT71" s="117"/>
      <c r="VOU71" s="117"/>
      <c r="VOV71" s="117"/>
      <c r="VOW71" s="117"/>
      <c r="VOX71" s="117"/>
      <c r="VOY71" s="117"/>
      <c r="VOZ71" s="117"/>
      <c r="VPA71" s="117"/>
      <c r="VPB71" s="117"/>
      <c r="VPC71" s="117"/>
      <c r="VPD71" s="117"/>
      <c r="VPE71" s="117"/>
      <c r="VPF71" s="117"/>
      <c r="VPG71" s="117"/>
      <c r="VPH71" s="117"/>
      <c r="VPI71" s="117"/>
      <c r="VPJ71" s="117"/>
      <c r="VPK71" s="117"/>
      <c r="VPL71" s="117"/>
      <c r="VPM71" s="117"/>
      <c r="VPN71" s="117"/>
      <c r="VPO71" s="117"/>
      <c r="VPP71" s="117"/>
      <c r="VPQ71" s="117"/>
      <c r="VPR71" s="117"/>
      <c r="VPS71" s="117"/>
      <c r="VPT71" s="117"/>
      <c r="VPU71" s="117"/>
      <c r="VPV71" s="117"/>
      <c r="VPW71" s="117"/>
      <c r="VPX71" s="117"/>
      <c r="VPY71" s="117"/>
      <c r="VPZ71" s="117"/>
      <c r="VQA71" s="117"/>
      <c r="VQB71" s="117"/>
      <c r="VQC71" s="117"/>
      <c r="VQD71" s="117"/>
      <c r="VQE71" s="117"/>
      <c r="VQF71" s="117"/>
      <c r="VQG71" s="117"/>
      <c r="VQH71" s="117"/>
      <c r="VQI71" s="117"/>
      <c r="VQJ71" s="117"/>
      <c r="VQK71" s="117"/>
      <c r="VQL71" s="117"/>
      <c r="VQM71" s="117"/>
      <c r="VQN71" s="117"/>
      <c r="VQO71" s="117"/>
      <c r="VQP71" s="117"/>
      <c r="VQQ71" s="117"/>
      <c r="VQR71" s="117"/>
      <c r="VQS71" s="117"/>
      <c r="VQT71" s="117"/>
      <c r="VQU71" s="117"/>
      <c r="VQV71" s="117"/>
      <c r="VQW71" s="117"/>
      <c r="VQX71" s="117"/>
      <c r="VQY71" s="117"/>
      <c r="VQZ71" s="117"/>
      <c r="VRA71" s="117"/>
      <c r="VRB71" s="117"/>
      <c r="VRC71" s="117"/>
      <c r="VRD71" s="117"/>
      <c r="VRE71" s="117"/>
      <c r="VRF71" s="117"/>
      <c r="VRG71" s="117"/>
      <c r="VRH71" s="117"/>
      <c r="VRI71" s="117"/>
      <c r="VRJ71" s="117"/>
      <c r="VRK71" s="117"/>
      <c r="VRL71" s="117"/>
      <c r="VRM71" s="117"/>
      <c r="VRN71" s="117"/>
      <c r="VRO71" s="117"/>
      <c r="VRP71" s="117"/>
      <c r="VRQ71" s="117"/>
      <c r="VRR71" s="117"/>
      <c r="VRS71" s="117"/>
      <c r="VRT71" s="117"/>
      <c r="VRU71" s="117"/>
      <c r="VRV71" s="117"/>
      <c r="VRW71" s="117"/>
      <c r="VRX71" s="117"/>
      <c r="VRY71" s="117"/>
      <c r="VRZ71" s="117"/>
      <c r="VSA71" s="117"/>
      <c r="VSB71" s="117"/>
      <c r="VSC71" s="117"/>
      <c r="VSD71" s="117"/>
      <c r="VSE71" s="117"/>
      <c r="VSF71" s="117"/>
      <c r="VSG71" s="117"/>
      <c r="VSH71" s="117"/>
      <c r="VSI71" s="117"/>
      <c r="VSJ71" s="117"/>
      <c r="VSK71" s="117"/>
      <c r="VSL71" s="117"/>
      <c r="VSM71" s="117"/>
      <c r="VSN71" s="117"/>
      <c r="VSO71" s="117"/>
      <c r="VSP71" s="117"/>
      <c r="VSQ71" s="117"/>
      <c r="VSR71" s="117"/>
      <c r="VSS71" s="117"/>
      <c r="VST71" s="117"/>
      <c r="VSU71" s="117"/>
      <c r="VSV71" s="117"/>
      <c r="VSW71" s="117"/>
      <c r="VSX71" s="117"/>
      <c r="VSY71" s="117"/>
      <c r="VSZ71" s="117"/>
      <c r="VTA71" s="117"/>
      <c r="VTB71" s="117"/>
      <c r="VTC71" s="117"/>
      <c r="VTD71" s="117"/>
      <c r="VTE71" s="117"/>
      <c r="VTF71" s="117"/>
      <c r="VTG71" s="117"/>
      <c r="VTH71" s="117"/>
      <c r="VTI71" s="117"/>
      <c r="VTJ71" s="117"/>
      <c r="VTK71" s="117"/>
      <c r="VTL71" s="117"/>
      <c r="VTM71" s="117"/>
      <c r="VTN71" s="117"/>
      <c r="VTO71" s="117"/>
      <c r="VTP71" s="117"/>
      <c r="VTQ71" s="117"/>
      <c r="VTR71" s="117"/>
      <c r="VTS71" s="117"/>
      <c r="VTT71" s="117"/>
      <c r="VTU71" s="117"/>
      <c r="VTV71" s="117"/>
      <c r="VTW71" s="117"/>
      <c r="VTX71" s="117"/>
      <c r="VTY71" s="117"/>
      <c r="VTZ71" s="117"/>
      <c r="VUA71" s="117"/>
      <c r="VUB71" s="117"/>
      <c r="VUC71" s="117"/>
      <c r="VUD71" s="117"/>
      <c r="VUE71" s="117"/>
      <c r="VUF71" s="117"/>
      <c r="VUG71" s="117"/>
      <c r="VUH71" s="117"/>
      <c r="VUI71" s="117"/>
      <c r="VUJ71" s="117"/>
      <c r="VUK71" s="117"/>
      <c r="VUL71" s="117"/>
      <c r="VUM71" s="117"/>
      <c r="VUN71" s="117"/>
      <c r="VUO71" s="117"/>
      <c r="VUP71" s="117"/>
      <c r="VUQ71" s="117"/>
      <c r="VUR71" s="117"/>
      <c r="VUS71" s="117"/>
      <c r="VUT71" s="117"/>
      <c r="VUU71" s="117"/>
      <c r="VUV71" s="117"/>
      <c r="VUW71" s="117"/>
      <c r="VUX71" s="117"/>
      <c r="VUY71" s="117"/>
      <c r="VUZ71" s="117"/>
      <c r="VVA71" s="117"/>
      <c r="VVB71" s="117"/>
      <c r="VVC71" s="117"/>
      <c r="VVD71" s="117"/>
      <c r="VVE71" s="117"/>
      <c r="VVF71" s="117"/>
      <c r="VVG71" s="117"/>
      <c r="VVH71" s="117"/>
      <c r="VVI71" s="117"/>
      <c r="VVJ71" s="117"/>
      <c r="VVK71" s="117"/>
      <c r="VVL71" s="117"/>
      <c r="VVM71" s="117"/>
      <c r="VVN71" s="117"/>
      <c r="VVO71" s="117"/>
      <c r="VVP71" s="117"/>
      <c r="VVQ71" s="117"/>
      <c r="VVR71" s="117"/>
      <c r="VVS71" s="117"/>
      <c r="VVT71" s="117"/>
      <c r="VVU71" s="117"/>
      <c r="VVV71" s="117"/>
      <c r="VVW71" s="117"/>
      <c r="VVX71" s="117"/>
      <c r="VVY71" s="117"/>
      <c r="VVZ71" s="117"/>
      <c r="VWA71" s="117"/>
      <c r="VWB71" s="117"/>
      <c r="VWC71" s="117"/>
      <c r="VWD71" s="117"/>
      <c r="VWE71" s="117"/>
      <c r="VWF71" s="117"/>
      <c r="VWG71" s="117"/>
      <c r="VWH71" s="117"/>
      <c r="VWI71" s="117"/>
      <c r="VWJ71" s="117"/>
      <c r="VWK71" s="117"/>
      <c r="VWL71" s="117"/>
      <c r="VWM71" s="117"/>
      <c r="VWN71" s="117"/>
      <c r="VWO71" s="117"/>
      <c r="VWP71" s="117"/>
      <c r="VWQ71" s="117"/>
      <c r="VWR71" s="117"/>
      <c r="VWS71" s="117"/>
      <c r="VWT71" s="117"/>
      <c r="VWU71" s="117"/>
      <c r="VWV71" s="117"/>
      <c r="VWW71" s="117"/>
      <c r="VWX71" s="117"/>
      <c r="VWY71" s="117"/>
      <c r="VWZ71" s="117"/>
      <c r="VXA71" s="117"/>
      <c r="VXB71" s="117"/>
      <c r="VXC71" s="117"/>
      <c r="VXD71" s="117"/>
      <c r="VXE71" s="117"/>
      <c r="VXF71" s="117"/>
      <c r="VXG71" s="117"/>
      <c r="VXH71" s="117"/>
      <c r="VXI71" s="117"/>
      <c r="VXJ71" s="117"/>
      <c r="VXK71" s="117"/>
      <c r="VXL71" s="117"/>
      <c r="VXM71" s="117"/>
      <c r="VXN71" s="117"/>
      <c r="VXO71" s="117"/>
      <c r="VXP71" s="117"/>
      <c r="VXQ71" s="117"/>
      <c r="VXR71" s="117"/>
      <c r="VXS71" s="117"/>
      <c r="VXT71" s="117"/>
      <c r="VXU71" s="117"/>
      <c r="VXV71" s="117"/>
      <c r="VXW71" s="117"/>
      <c r="VXX71" s="117"/>
      <c r="VXY71" s="117"/>
      <c r="VXZ71" s="117"/>
      <c r="VYA71" s="117"/>
      <c r="VYB71" s="117"/>
      <c r="VYC71" s="117"/>
      <c r="VYD71" s="117"/>
      <c r="VYE71" s="117"/>
      <c r="VYF71" s="117"/>
      <c r="VYG71" s="117"/>
      <c r="VYH71" s="117"/>
      <c r="VYI71" s="117"/>
      <c r="VYJ71" s="117"/>
      <c r="VYK71" s="117"/>
      <c r="VYL71" s="117"/>
      <c r="VYM71" s="117"/>
      <c r="VYN71" s="117"/>
      <c r="VYO71" s="117"/>
      <c r="VYP71" s="117"/>
      <c r="VYQ71" s="117"/>
      <c r="VYR71" s="117"/>
      <c r="VYS71" s="117"/>
      <c r="VYT71" s="117"/>
      <c r="VYU71" s="117"/>
      <c r="VYV71" s="117"/>
      <c r="VYW71" s="117"/>
      <c r="VYX71" s="117"/>
      <c r="VYY71" s="117"/>
      <c r="VYZ71" s="117"/>
      <c r="VZA71" s="117"/>
      <c r="VZB71" s="117"/>
      <c r="VZC71" s="117"/>
      <c r="VZD71" s="117"/>
      <c r="VZE71" s="117"/>
      <c r="VZF71" s="117"/>
      <c r="VZG71" s="117"/>
      <c r="VZH71" s="117"/>
      <c r="VZI71" s="117"/>
      <c r="VZJ71" s="117"/>
      <c r="VZK71" s="117"/>
      <c r="VZL71" s="117"/>
      <c r="VZM71" s="117"/>
      <c r="VZN71" s="117"/>
      <c r="VZO71" s="117"/>
      <c r="VZP71" s="117"/>
      <c r="VZQ71" s="117"/>
      <c r="VZR71" s="117"/>
      <c r="VZS71" s="117"/>
      <c r="VZT71" s="117"/>
      <c r="VZU71" s="117"/>
      <c r="VZV71" s="117"/>
      <c r="VZW71" s="117"/>
      <c r="VZX71" s="117"/>
      <c r="VZY71" s="117"/>
      <c r="VZZ71" s="117"/>
      <c r="WAA71" s="117"/>
      <c r="WAB71" s="117"/>
      <c r="WAC71" s="117"/>
      <c r="WAD71" s="117"/>
      <c r="WAE71" s="117"/>
      <c r="WAF71" s="117"/>
      <c r="WAG71" s="117"/>
      <c r="WAH71" s="117"/>
      <c r="WAI71" s="117"/>
      <c r="WAJ71" s="117"/>
      <c r="WAK71" s="117"/>
      <c r="WAL71" s="117"/>
      <c r="WAM71" s="117"/>
      <c r="WAN71" s="117"/>
      <c r="WAO71" s="117"/>
      <c r="WAP71" s="117"/>
      <c r="WAQ71" s="117"/>
      <c r="WAR71" s="117"/>
      <c r="WAS71" s="117"/>
      <c r="WAT71" s="117"/>
      <c r="WAU71" s="117"/>
      <c r="WAV71" s="117"/>
      <c r="WAW71" s="117"/>
      <c r="WAX71" s="117"/>
      <c r="WAY71" s="117"/>
      <c r="WAZ71" s="117"/>
      <c r="WBA71" s="117"/>
      <c r="WBB71" s="117"/>
      <c r="WBC71" s="117"/>
      <c r="WBD71" s="117"/>
      <c r="WBE71" s="117"/>
      <c r="WBF71" s="117"/>
      <c r="WBG71" s="117"/>
      <c r="WBH71" s="117"/>
      <c r="WBI71" s="117"/>
      <c r="WBJ71" s="117"/>
      <c r="WBK71" s="117"/>
      <c r="WBL71" s="117"/>
      <c r="WBM71" s="117"/>
      <c r="WBN71" s="117"/>
      <c r="WBO71" s="117"/>
      <c r="WBP71" s="117"/>
      <c r="WBQ71" s="117"/>
      <c r="WBR71" s="117"/>
      <c r="WBS71" s="117"/>
      <c r="WBT71" s="117"/>
      <c r="WBU71" s="117"/>
      <c r="WBV71" s="117"/>
      <c r="WBW71" s="117"/>
      <c r="WBX71" s="117"/>
      <c r="WBY71" s="117"/>
      <c r="WBZ71" s="117"/>
      <c r="WCA71" s="117"/>
      <c r="WCB71" s="117"/>
      <c r="WCC71" s="117"/>
      <c r="WCD71" s="117"/>
      <c r="WCE71" s="117"/>
      <c r="WCF71" s="117"/>
      <c r="WCG71" s="117"/>
      <c r="WCH71" s="117"/>
      <c r="WCI71" s="117"/>
      <c r="WCJ71" s="117"/>
      <c r="WCK71" s="117"/>
      <c r="WCL71" s="117"/>
      <c r="WCM71" s="117"/>
      <c r="WCN71" s="117"/>
      <c r="WCO71" s="117"/>
      <c r="WCP71" s="117"/>
      <c r="WCQ71" s="117"/>
      <c r="WCR71" s="117"/>
      <c r="WCS71" s="117"/>
      <c r="WCT71" s="117"/>
      <c r="WCU71" s="117"/>
      <c r="WCV71" s="117"/>
      <c r="WCW71" s="117"/>
      <c r="WCX71" s="117"/>
      <c r="WCY71" s="117"/>
      <c r="WCZ71" s="117"/>
      <c r="WDA71" s="117"/>
      <c r="WDB71" s="117"/>
      <c r="WDC71" s="117"/>
      <c r="WDD71" s="117"/>
      <c r="WDE71" s="117"/>
      <c r="WDF71" s="117"/>
      <c r="WDG71" s="117"/>
      <c r="WDH71" s="117"/>
      <c r="WDI71" s="117"/>
      <c r="WDJ71" s="117"/>
      <c r="WDK71" s="117"/>
      <c r="WDL71" s="117"/>
      <c r="WDM71" s="117"/>
      <c r="WDN71" s="117"/>
      <c r="WDO71" s="117"/>
      <c r="WDP71" s="117"/>
      <c r="WDQ71" s="117"/>
      <c r="WDR71" s="117"/>
      <c r="WDS71" s="117"/>
      <c r="WDT71" s="117"/>
      <c r="WDU71" s="117"/>
      <c r="WDV71" s="117"/>
      <c r="WDW71" s="117"/>
      <c r="WDX71" s="117"/>
      <c r="WDY71" s="117"/>
      <c r="WDZ71" s="117"/>
      <c r="WEA71" s="117"/>
      <c r="WEB71" s="117"/>
      <c r="WEC71" s="117"/>
      <c r="WED71" s="117"/>
      <c r="WEE71" s="117"/>
      <c r="WEF71" s="117"/>
      <c r="WEG71" s="117"/>
      <c r="WEH71" s="117"/>
      <c r="WEI71" s="117"/>
      <c r="WEJ71" s="117"/>
      <c r="WEK71" s="117"/>
      <c r="WEL71" s="117"/>
      <c r="WEM71" s="117"/>
      <c r="WEN71" s="117"/>
      <c r="WEO71" s="117"/>
      <c r="WEP71" s="117"/>
      <c r="WEQ71" s="117"/>
      <c r="WER71" s="117"/>
      <c r="WES71" s="117"/>
      <c r="WET71" s="117"/>
      <c r="WEU71" s="117"/>
      <c r="WEV71" s="117"/>
      <c r="WEW71" s="117"/>
      <c r="WEX71" s="117"/>
      <c r="WEY71" s="117"/>
      <c r="WEZ71" s="117"/>
      <c r="WFA71" s="117"/>
      <c r="WFB71" s="117"/>
      <c r="WFC71" s="117"/>
      <c r="WFD71" s="117"/>
      <c r="WFE71" s="117"/>
      <c r="WFF71" s="117"/>
      <c r="WFG71" s="117"/>
      <c r="WFH71" s="117"/>
      <c r="WFI71" s="117"/>
      <c r="WFJ71" s="117"/>
      <c r="WFK71" s="117"/>
      <c r="WFL71" s="117"/>
      <c r="WFM71" s="117"/>
      <c r="WFN71" s="117"/>
      <c r="WFO71" s="117"/>
      <c r="WFP71" s="117"/>
      <c r="WFQ71" s="117"/>
      <c r="WFR71" s="117"/>
      <c r="WFS71" s="117"/>
      <c r="WFT71" s="117"/>
      <c r="WFU71" s="117"/>
      <c r="WFV71" s="117"/>
      <c r="WFW71" s="117"/>
      <c r="WFX71" s="117"/>
      <c r="WFY71" s="117"/>
      <c r="WFZ71" s="117"/>
      <c r="WGA71" s="117"/>
      <c r="WGB71" s="117"/>
      <c r="WGC71" s="117"/>
      <c r="WGD71" s="117"/>
      <c r="WGE71" s="117"/>
      <c r="WGF71" s="117"/>
      <c r="WGG71" s="117"/>
      <c r="WGH71" s="117"/>
      <c r="WGI71" s="117"/>
      <c r="WGJ71" s="117"/>
      <c r="WGK71" s="117"/>
      <c r="WGL71" s="117"/>
      <c r="WGM71" s="117"/>
      <c r="WGN71" s="117"/>
      <c r="WGO71" s="117"/>
      <c r="WGP71" s="117"/>
      <c r="WGQ71" s="117"/>
      <c r="WGR71" s="117"/>
      <c r="WGS71" s="117"/>
      <c r="WGT71" s="117"/>
      <c r="WGU71" s="117"/>
      <c r="WGV71" s="117"/>
      <c r="WGW71" s="117"/>
      <c r="WGX71" s="117"/>
      <c r="WGY71" s="117"/>
      <c r="WGZ71" s="117"/>
      <c r="WHA71" s="117"/>
      <c r="WHB71" s="117"/>
      <c r="WHC71" s="117"/>
      <c r="WHD71" s="117"/>
      <c r="WHE71" s="117"/>
      <c r="WHF71" s="117"/>
      <c r="WHG71" s="117"/>
      <c r="WHH71" s="117"/>
      <c r="WHI71" s="117"/>
      <c r="WHJ71" s="117"/>
      <c r="WHK71" s="117"/>
      <c r="WHL71" s="117"/>
      <c r="WHM71" s="117"/>
      <c r="WHN71" s="117"/>
      <c r="WHO71" s="117"/>
      <c r="WHP71" s="117"/>
      <c r="WHQ71" s="117"/>
      <c r="WHR71" s="117"/>
      <c r="WHS71" s="117"/>
      <c r="WHT71" s="117"/>
      <c r="WHU71" s="117"/>
      <c r="WHV71" s="117"/>
      <c r="WHW71" s="117"/>
      <c r="WHX71" s="117"/>
      <c r="WHY71" s="117"/>
      <c r="WHZ71" s="117"/>
      <c r="WIA71" s="117"/>
      <c r="WIB71" s="117"/>
      <c r="WIC71" s="117"/>
      <c r="WID71" s="117"/>
      <c r="WIE71" s="117"/>
      <c r="WIF71" s="117"/>
      <c r="WIG71" s="117"/>
      <c r="WIH71" s="117"/>
      <c r="WII71" s="117"/>
      <c r="WIJ71" s="117"/>
      <c r="WIK71" s="117"/>
      <c r="WIL71" s="117"/>
      <c r="WIM71" s="117"/>
      <c r="WIN71" s="117"/>
      <c r="WIO71" s="117"/>
      <c r="WIP71" s="117"/>
      <c r="WIQ71" s="117"/>
      <c r="WIR71" s="117"/>
      <c r="WIS71" s="117"/>
      <c r="WIT71" s="117"/>
      <c r="WIU71" s="117"/>
      <c r="WIV71" s="117"/>
      <c r="WIW71" s="117"/>
      <c r="WIX71" s="117"/>
      <c r="WIY71" s="117"/>
      <c r="WIZ71" s="117"/>
      <c r="WJA71" s="117"/>
      <c r="WJB71" s="117"/>
      <c r="WJC71" s="117"/>
      <c r="WJD71" s="117"/>
      <c r="WJE71" s="117"/>
      <c r="WJF71" s="117"/>
      <c r="WJG71" s="117"/>
      <c r="WJH71" s="117"/>
      <c r="WJI71" s="117"/>
      <c r="WJJ71" s="117"/>
      <c r="WJK71" s="117"/>
      <c r="WJL71" s="117"/>
      <c r="WJM71" s="117"/>
      <c r="WJN71" s="117"/>
      <c r="WJO71" s="117"/>
      <c r="WJP71" s="117"/>
      <c r="WJQ71" s="117"/>
      <c r="WJR71" s="117"/>
      <c r="WJS71" s="117"/>
      <c r="WJT71" s="117"/>
      <c r="WJU71" s="117"/>
      <c r="WJV71" s="117"/>
      <c r="WJW71" s="117"/>
      <c r="WJX71" s="117"/>
      <c r="WJY71" s="117"/>
      <c r="WJZ71" s="117"/>
      <c r="WKA71" s="117"/>
      <c r="WKB71" s="117"/>
      <c r="WKC71" s="117"/>
      <c r="WKD71" s="117"/>
      <c r="WKE71" s="117"/>
      <c r="WKF71" s="117"/>
      <c r="WKG71" s="117"/>
      <c r="WKH71" s="117"/>
      <c r="WKI71" s="117"/>
      <c r="WKJ71" s="117"/>
      <c r="WKK71" s="117"/>
      <c r="WKL71" s="117"/>
      <c r="WKM71" s="117"/>
      <c r="WKN71" s="117"/>
      <c r="WKO71" s="117"/>
      <c r="WKP71" s="117"/>
      <c r="WKQ71" s="117"/>
      <c r="WKR71" s="117"/>
      <c r="WKS71" s="117"/>
      <c r="WKT71" s="117"/>
      <c r="WKU71" s="117"/>
      <c r="WKV71" s="117"/>
      <c r="WKW71" s="117"/>
      <c r="WKX71" s="117"/>
      <c r="WKY71" s="117"/>
      <c r="WKZ71" s="117"/>
      <c r="WLA71" s="117"/>
      <c r="WLB71" s="117"/>
      <c r="WLC71" s="117"/>
      <c r="WLD71" s="117"/>
      <c r="WLE71" s="117"/>
      <c r="WLF71" s="117"/>
      <c r="WLG71" s="117"/>
      <c r="WLH71" s="117"/>
      <c r="WLI71" s="117"/>
      <c r="WLJ71" s="117"/>
      <c r="WLK71" s="117"/>
      <c r="WLL71" s="117"/>
      <c r="WLM71" s="117"/>
      <c r="WLN71" s="117"/>
      <c r="WLO71" s="117"/>
      <c r="WLP71" s="117"/>
      <c r="WLQ71" s="117"/>
      <c r="WLR71" s="117"/>
      <c r="WLS71" s="117"/>
      <c r="WLT71" s="117"/>
      <c r="WLU71" s="117"/>
      <c r="WLV71" s="117"/>
      <c r="WLW71" s="117"/>
      <c r="WLX71" s="117"/>
      <c r="WLY71" s="117"/>
      <c r="WLZ71" s="117"/>
      <c r="WMA71" s="117"/>
      <c r="WMB71" s="117"/>
      <c r="WMC71" s="117"/>
      <c r="WMD71" s="117"/>
      <c r="WME71" s="117"/>
      <c r="WMF71" s="117"/>
      <c r="WMG71" s="117"/>
      <c r="WMH71" s="117"/>
      <c r="WMI71" s="117"/>
      <c r="WMJ71" s="117"/>
      <c r="WMK71" s="117"/>
      <c r="WML71" s="117"/>
      <c r="WMM71" s="117"/>
      <c r="WMN71" s="117"/>
      <c r="WMO71" s="117"/>
      <c r="WMP71" s="117"/>
      <c r="WMQ71" s="117"/>
      <c r="WMR71" s="117"/>
      <c r="WMS71" s="117"/>
      <c r="WMT71" s="117"/>
      <c r="WMU71" s="117"/>
      <c r="WMV71" s="117"/>
      <c r="WMW71" s="117"/>
      <c r="WMX71" s="117"/>
      <c r="WMY71" s="117"/>
      <c r="WMZ71" s="117"/>
      <c r="WNA71" s="117"/>
      <c r="WNB71" s="117"/>
      <c r="WNC71" s="117"/>
      <c r="WND71" s="117"/>
      <c r="WNE71" s="117"/>
      <c r="WNF71" s="117"/>
      <c r="WNG71" s="117"/>
      <c r="WNH71" s="117"/>
      <c r="WNI71" s="117"/>
      <c r="WNJ71" s="117"/>
      <c r="WNK71" s="117"/>
      <c r="WNL71" s="117"/>
      <c r="WNM71" s="117"/>
      <c r="WNN71" s="117"/>
      <c r="WNO71" s="117"/>
      <c r="WNP71" s="117"/>
      <c r="WNQ71" s="117"/>
      <c r="WNR71" s="117"/>
      <c r="WNS71" s="117"/>
      <c r="WNT71" s="117"/>
      <c r="WNU71" s="117"/>
      <c r="WNV71" s="117"/>
      <c r="WNW71" s="117"/>
      <c r="WNX71" s="117"/>
      <c r="WNY71" s="117"/>
      <c r="WNZ71" s="117"/>
      <c r="WOA71" s="117"/>
      <c r="WOB71" s="117"/>
      <c r="WOC71" s="117"/>
      <c r="WOD71" s="117"/>
      <c r="WOE71" s="117"/>
      <c r="WOF71" s="117"/>
      <c r="WOG71" s="117"/>
      <c r="WOH71" s="117"/>
      <c r="WOI71" s="117"/>
      <c r="WOJ71" s="117"/>
      <c r="WOK71" s="117"/>
      <c r="WOL71" s="117"/>
      <c r="WOM71" s="117"/>
      <c r="WON71" s="117"/>
      <c r="WOO71" s="117"/>
      <c r="WOP71" s="117"/>
      <c r="WOQ71" s="117"/>
      <c r="WOR71" s="117"/>
      <c r="WOS71" s="117"/>
      <c r="WOT71" s="117"/>
      <c r="WOU71" s="117"/>
      <c r="WOV71" s="117"/>
      <c r="WOW71" s="117"/>
      <c r="WOX71" s="117"/>
      <c r="WOY71" s="117"/>
      <c r="WOZ71" s="117"/>
      <c r="WPA71" s="117"/>
      <c r="WPB71" s="117"/>
      <c r="WPC71" s="117"/>
      <c r="WPD71" s="117"/>
      <c r="WPE71" s="117"/>
      <c r="WPF71" s="117"/>
      <c r="WPG71" s="117"/>
      <c r="WPH71" s="117"/>
      <c r="WPI71" s="117"/>
      <c r="WPJ71" s="117"/>
      <c r="WPK71" s="117"/>
      <c r="WPL71" s="117"/>
      <c r="WPM71" s="117"/>
      <c r="WPN71" s="117"/>
      <c r="WPO71" s="117"/>
      <c r="WPP71" s="117"/>
      <c r="WPQ71" s="117"/>
      <c r="WPR71" s="117"/>
      <c r="WPS71" s="117"/>
      <c r="WPT71" s="117"/>
      <c r="WPU71" s="117"/>
      <c r="WPV71" s="117"/>
      <c r="WPW71" s="117"/>
      <c r="WPX71" s="117"/>
      <c r="WPY71" s="117"/>
      <c r="WPZ71" s="117"/>
      <c r="WQA71" s="117"/>
      <c r="WQB71" s="117"/>
      <c r="WQC71" s="117"/>
      <c r="WQD71" s="117"/>
      <c r="WQE71" s="117"/>
      <c r="WQF71" s="117"/>
      <c r="WQG71" s="117"/>
      <c r="WQH71" s="117"/>
      <c r="WQI71" s="117"/>
      <c r="WQJ71" s="117"/>
      <c r="WQK71" s="117"/>
      <c r="WQL71" s="117"/>
      <c r="WQM71" s="117"/>
      <c r="WQN71" s="117"/>
      <c r="WQO71" s="117"/>
      <c r="WQP71" s="117"/>
      <c r="WQQ71" s="117"/>
      <c r="WQR71" s="117"/>
      <c r="WQS71" s="117"/>
      <c r="WQT71" s="117"/>
      <c r="WQU71" s="117"/>
      <c r="WQV71" s="117"/>
      <c r="WQW71" s="117"/>
      <c r="WQX71" s="117"/>
      <c r="WQY71" s="117"/>
      <c r="WQZ71" s="117"/>
      <c r="WRA71" s="117"/>
      <c r="WRB71" s="117"/>
      <c r="WRC71" s="117"/>
      <c r="WRD71" s="117"/>
      <c r="WRE71" s="117"/>
      <c r="WRF71" s="117"/>
      <c r="WRG71" s="117"/>
      <c r="WRH71" s="117"/>
      <c r="WRI71" s="117"/>
      <c r="WRJ71" s="117"/>
      <c r="WRK71" s="117"/>
      <c r="WRL71" s="117"/>
      <c r="WRM71" s="117"/>
      <c r="WRN71" s="117"/>
      <c r="WRO71" s="117"/>
      <c r="WRP71" s="117"/>
      <c r="WRQ71" s="117"/>
      <c r="WRR71" s="117"/>
      <c r="WRS71" s="117"/>
      <c r="WRT71" s="117"/>
      <c r="WRU71" s="117"/>
      <c r="WRV71" s="117"/>
      <c r="WRW71" s="117"/>
      <c r="WRX71" s="117"/>
      <c r="WRY71" s="117"/>
      <c r="WRZ71" s="117"/>
      <c r="WSA71" s="117"/>
      <c r="WSB71" s="117"/>
      <c r="WSC71" s="117"/>
      <c r="WSD71" s="117"/>
      <c r="WSE71" s="117"/>
      <c r="WSF71" s="117"/>
      <c r="WSG71" s="117"/>
      <c r="WSH71" s="117"/>
      <c r="WSI71" s="117"/>
      <c r="WSJ71" s="117"/>
      <c r="WSK71" s="117"/>
      <c r="WSL71" s="117"/>
      <c r="WSM71" s="117"/>
      <c r="WSN71" s="117"/>
      <c r="WSO71" s="117"/>
      <c r="WSP71" s="117"/>
      <c r="WSQ71" s="117"/>
      <c r="WSR71" s="117"/>
      <c r="WSS71" s="117"/>
      <c r="WST71" s="117"/>
      <c r="WSU71" s="117"/>
      <c r="WSV71" s="117"/>
      <c r="WSW71" s="117"/>
      <c r="WSX71" s="117"/>
      <c r="WSY71" s="117"/>
      <c r="WSZ71" s="117"/>
      <c r="WTA71" s="117"/>
      <c r="WTB71" s="117"/>
      <c r="WTC71" s="117"/>
      <c r="WTD71" s="117"/>
      <c r="WTE71" s="117"/>
      <c r="WTF71" s="117"/>
      <c r="WTG71" s="117"/>
      <c r="WTH71" s="117"/>
      <c r="WTI71" s="117"/>
      <c r="WTJ71" s="117"/>
      <c r="WTK71" s="117"/>
      <c r="WTL71" s="117"/>
      <c r="WTM71" s="117"/>
      <c r="WTN71" s="117"/>
      <c r="WTO71" s="117"/>
      <c r="WTP71" s="117"/>
      <c r="WTQ71" s="117"/>
      <c r="WTR71" s="117"/>
      <c r="WTS71" s="117"/>
      <c r="WTT71" s="117"/>
      <c r="WTU71" s="117"/>
      <c r="WTV71" s="117"/>
      <c r="WTW71" s="117"/>
      <c r="WTX71" s="117"/>
      <c r="WTY71" s="117"/>
      <c r="WTZ71" s="117"/>
      <c r="WUA71" s="117"/>
      <c r="WUB71" s="117"/>
      <c r="WUC71" s="117"/>
      <c r="WUD71" s="117"/>
      <c r="WUE71" s="117"/>
      <c r="WUF71" s="117"/>
      <c r="WUG71" s="117"/>
      <c r="WUH71" s="117"/>
      <c r="WUI71" s="117"/>
      <c r="WUJ71" s="117"/>
      <c r="WUK71" s="117"/>
      <c r="WUL71" s="117"/>
      <c r="WUM71" s="117"/>
      <c r="WUN71" s="117"/>
      <c r="WUO71" s="117"/>
      <c r="WUP71" s="117"/>
      <c r="WUQ71" s="117"/>
      <c r="WUR71" s="117"/>
      <c r="WUS71" s="117"/>
      <c r="WUT71" s="117"/>
      <c r="WUU71" s="117"/>
      <c r="WUV71" s="117"/>
      <c r="WUW71" s="117"/>
      <c r="WUX71" s="117"/>
      <c r="WUY71" s="117"/>
      <c r="WUZ71" s="117"/>
      <c r="WVA71" s="117"/>
      <c r="WVB71" s="117"/>
      <c r="WVC71" s="117"/>
      <c r="WVD71" s="117"/>
      <c r="WVE71" s="117"/>
      <c r="WVF71" s="117"/>
      <c r="WVG71" s="117"/>
      <c r="WVH71" s="117"/>
      <c r="WVI71" s="117"/>
      <c r="WVJ71" s="117"/>
      <c r="WVK71" s="117"/>
      <c r="WVL71" s="117"/>
      <c r="WVM71" s="117"/>
      <c r="WVN71" s="117"/>
      <c r="WVO71" s="117"/>
      <c r="WVP71" s="117"/>
      <c r="WVQ71" s="117"/>
      <c r="WVR71" s="117"/>
      <c r="WVS71" s="117"/>
      <c r="WVT71" s="117"/>
      <c r="WVU71" s="117"/>
      <c r="WVV71" s="117"/>
      <c r="WVW71" s="117"/>
      <c r="WVX71" s="117"/>
      <c r="WVY71" s="117"/>
      <c r="WVZ71" s="117"/>
      <c r="WWA71" s="117"/>
      <c r="WWB71" s="117"/>
      <c r="WWC71" s="117"/>
      <c r="WWD71" s="117"/>
      <c r="WWE71" s="117"/>
      <c r="WWF71" s="117"/>
      <c r="WWG71" s="117"/>
      <c r="WWH71" s="117"/>
      <c r="WWI71" s="117"/>
      <c r="WWJ71" s="117"/>
      <c r="WWK71" s="117"/>
      <c r="WWL71" s="117"/>
      <c r="WWM71" s="117"/>
      <c r="WWN71" s="117"/>
      <c r="WWO71" s="117"/>
      <c r="WWP71" s="117"/>
      <c r="WWQ71" s="117"/>
      <c r="WWR71" s="117"/>
      <c r="WWS71" s="117"/>
      <c r="WWT71" s="117"/>
      <c r="WWU71" s="117"/>
      <c r="WWV71" s="117"/>
      <c r="WWW71" s="117"/>
      <c r="WWX71" s="117"/>
      <c r="WWY71" s="117"/>
      <c r="WWZ71" s="117"/>
      <c r="WXA71" s="117"/>
      <c r="WXB71" s="117"/>
      <c r="WXC71" s="117"/>
      <c r="WXD71" s="117"/>
      <c r="WXE71" s="117"/>
      <c r="WXF71" s="117"/>
      <c r="WXG71" s="117"/>
      <c r="WXH71" s="117"/>
      <c r="WXI71" s="117"/>
      <c r="WXJ71" s="117"/>
      <c r="WXK71" s="117"/>
      <c r="WXL71" s="117"/>
      <c r="WXM71" s="117"/>
      <c r="WXN71" s="117"/>
      <c r="WXO71" s="117"/>
      <c r="WXP71" s="117"/>
      <c r="WXQ71" s="117"/>
      <c r="WXR71" s="117"/>
      <c r="WXS71" s="117"/>
      <c r="WXT71" s="117"/>
      <c r="WXU71" s="117"/>
      <c r="WXV71" s="117"/>
      <c r="WXW71" s="117"/>
      <c r="WXX71" s="117"/>
      <c r="WXY71" s="117"/>
      <c r="WXZ71" s="117"/>
      <c r="WYA71" s="117"/>
      <c r="WYB71" s="117"/>
      <c r="WYC71" s="117"/>
      <c r="WYD71" s="117"/>
      <c r="WYE71" s="117"/>
      <c r="WYF71" s="117"/>
      <c r="WYG71" s="117"/>
      <c r="WYH71" s="117"/>
      <c r="WYI71" s="117"/>
      <c r="WYJ71" s="117"/>
      <c r="WYK71" s="117"/>
      <c r="WYL71" s="117"/>
      <c r="WYM71" s="117"/>
      <c r="WYN71" s="117"/>
      <c r="WYO71" s="117"/>
      <c r="WYP71" s="117"/>
      <c r="WYQ71" s="117"/>
      <c r="WYR71" s="117"/>
      <c r="WYS71" s="117"/>
      <c r="WYT71" s="117"/>
      <c r="WYU71" s="117"/>
      <c r="WYV71" s="117"/>
      <c r="WYW71" s="117"/>
      <c r="WYX71" s="117"/>
      <c r="WYY71" s="117"/>
      <c r="WYZ71" s="117"/>
      <c r="WZA71" s="117"/>
      <c r="WZB71" s="117"/>
      <c r="WZC71" s="117"/>
      <c r="WZD71" s="117"/>
      <c r="WZE71" s="117"/>
      <c r="WZF71" s="117"/>
      <c r="WZG71" s="117"/>
      <c r="WZH71" s="117"/>
      <c r="WZI71" s="117"/>
      <c r="WZJ71" s="117"/>
      <c r="WZK71" s="117"/>
      <c r="WZL71" s="117"/>
      <c r="WZM71" s="117"/>
      <c r="WZN71" s="117"/>
      <c r="WZO71" s="117"/>
      <c r="WZP71" s="117"/>
      <c r="WZQ71" s="117"/>
      <c r="WZR71" s="117"/>
      <c r="WZS71" s="117"/>
      <c r="WZT71" s="117"/>
      <c r="WZU71" s="117"/>
      <c r="WZV71" s="117"/>
      <c r="WZW71" s="117"/>
      <c r="WZX71" s="117"/>
      <c r="WZY71" s="117"/>
      <c r="WZZ71" s="117"/>
      <c r="XAA71" s="117"/>
      <c r="XAB71" s="117"/>
      <c r="XAC71" s="117"/>
      <c r="XAD71" s="117"/>
      <c r="XAE71" s="117"/>
      <c r="XAF71" s="117"/>
      <c r="XAG71" s="117"/>
      <c r="XAH71" s="117"/>
      <c r="XAI71" s="117"/>
      <c r="XAJ71" s="117"/>
      <c r="XAK71" s="117"/>
      <c r="XAL71" s="117"/>
      <c r="XAM71" s="117"/>
      <c r="XAN71" s="117"/>
      <c r="XAO71" s="117"/>
      <c r="XAP71" s="117"/>
      <c r="XAQ71" s="117"/>
      <c r="XAR71" s="117"/>
      <c r="XAS71" s="117"/>
      <c r="XAT71" s="117"/>
      <c r="XAU71" s="117"/>
      <c r="XAV71" s="117"/>
      <c r="XAW71" s="117"/>
      <c r="XAX71" s="117"/>
      <c r="XAY71" s="117"/>
      <c r="XAZ71" s="117"/>
      <c r="XBA71" s="117"/>
      <c r="XBB71" s="117"/>
      <c r="XBC71" s="117"/>
      <c r="XBD71" s="117"/>
      <c r="XBE71" s="117"/>
      <c r="XBF71" s="117"/>
      <c r="XBG71" s="117"/>
      <c r="XBH71" s="117"/>
      <c r="XBI71" s="117"/>
      <c r="XBJ71" s="117"/>
      <c r="XBK71" s="117"/>
      <c r="XBL71" s="117"/>
      <c r="XBM71" s="117"/>
      <c r="XBN71" s="117"/>
      <c r="XBO71" s="117"/>
      <c r="XBP71" s="117"/>
      <c r="XBQ71" s="117"/>
      <c r="XBR71" s="117"/>
      <c r="XBS71" s="117"/>
      <c r="XBT71" s="117"/>
      <c r="XBU71" s="117"/>
      <c r="XBV71" s="117"/>
      <c r="XBW71" s="117"/>
      <c r="XBX71" s="117"/>
      <c r="XBY71" s="117"/>
      <c r="XBZ71" s="117"/>
      <c r="XCA71" s="117"/>
      <c r="XCB71" s="117"/>
      <c r="XCC71" s="117"/>
      <c r="XCD71" s="117"/>
      <c r="XCE71" s="117"/>
      <c r="XCF71" s="117"/>
      <c r="XCG71" s="117"/>
      <c r="XCH71" s="117"/>
      <c r="XCI71" s="117"/>
      <c r="XCJ71" s="117"/>
      <c r="XCK71" s="117"/>
      <c r="XCL71" s="117"/>
      <c r="XCM71" s="117"/>
      <c r="XCN71" s="117"/>
      <c r="XCO71" s="117"/>
      <c r="XCP71" s="117"/>
      <c r="XCQ71" s="117"/>
      <c r="XCR71" s="117"/>
      <c r="XCS71" s="117"/>
      <c r="XCT71" s="117"/>
      <c r="XCU71" s="117"/>
      <c r="XCV71" s="117"/>
      <c r="XCW71" s="117"/>
      <c r="XCX71" s="117"/>
      <c r="XCY71" s="117"/>
      <c r="XCZ71" s="117"/>
      <c r="XDA71" s="117"/>
      <c r="XDB71" s="117"/>
      <c r="XDC71" s="117"/>
      <c r="XDD71" s="117"/>
      <c r="XDE71" s="117"/>
      <c r="XDF71" s="117"/>
      <c r="XDG71" s="117"/>
      <c r="XDH71" s="117"/>
      <c r="XDI71" s="117"/>
      <c r="XDJ71" s="117"/>
      <c r="XDK71" s="117"/>
      <c r="XDL71" s="117"/>
      <c r="XDM71" s="117"/>
      <c r="XDN71" s="117"/>
      <c r="XDO71" s="117"/>
      <c r="XDP71" s="117"/>
      <c r="XDQ71" s="117"/>
      <c r="XDR71" s="117"/>
      <c r="XDS71" s="117"/>
      <c r="XDT71" s="117"/>
      <c r="XDU71" s="117"/>
      <c r="XDV71" s="117"/>
      <c r="XDW71" s="117"/>
      <c r="XDX71" s="117"/>
      <c r="XDY71" s="117"/>
      <c r="XDZ71" s="117"/>
      <c r="XEA71" s="117"/>
      <c r="XEB71" s="117"/>
      <c r="XEC71" s="117"/>
      <c r="XED71" s="117"/>
      <c r="XEE71" s="117"/>
      <c r="XEF71" s="117"/>
      <c r="XEG71" s="117"/>
      <c r="XEH71" s="117"/>
      <c r="XEI71" s="117"/>
      <c r="XEJ71" s="117"/>
      <c r="XEK71" s="117"/>
      <c r="XEL71" s="117"/>
      <c r="XEM71" s="117"/>
      <c r="XEN71" s="117"/>
      <c r="XEO71" s="117"/>
      <c r="XEP71" s="117"/>
      <c r="XEQ71" s="117"/>
      <c r="XER71" s="117"/>
      <c r="XES71" s="117"/>
      <c r="XET71" s="117"/>
      <c r="XEU71" s="117"/>
      <c r="XEV71" s="117"/>
      <c r="XEW71" s="117"/>
      <c r="XEX71" s="117"/>
      <c r="XEY71" s="117"/>
      <c r="XEZ71" s="117"/>
      <c r="XFA71" s="117"/>
      <c r="XFB71" s="117"/>
      <c r="XFC71" s="117"/>
      <c r="XFD71" s="117"/>
    </row>
    <row r="72" spans="1:16384" ht="32.1" customHeight="1">
      <c r="A72" s="89"/>
      <c r="B72" s="104"/>
      <c r="C72" s="15"/>
      <c r="D72" s="372"/>
      <c r="E72" s="105"/>
      <c r="F72" s="105"/>
      <c r="G72" s="105"/>
      <c r="H72" s="105"/>
      <c r="I72" s="105"/>
      <c r="J72" s="105"/>
      <c r="K72" s="105"/>
      <c r="L72" s="105"/>
      <c r="M72" s="105"/>
      <c r="N72" s="105"/>
      <c r="O72" s="105"/>
      <c r="P72" s="105"/>
      <c r="Q72" s="190"/>
      <c r="R72" s="191"/>
      <c r="S72" s="192"/>
    </row>
    <row r="73" spans="1:16384" ht="32.1" customHeight="1">
      <c r="A73" s="438" t="s">
        <v>4371</v>
      </c>
      <c r="B73" s="438" t="s">
        <v>4432</v>
      </c>
      <c r="C73" s="549" t="s">
        <v>4576</v>
      </c>
      <c r="D73" s="550"/>
      <c r="E73" s="550"/>
      <c r="F73" s="550"/>
      <c r="G73" s="550"/>
      <c r="H73" s="550"/>
      <c r="I73" s="550"/>
      <c r="J73" s="550"/>
      <c r="K73" s="550"/>
      <c r="L73" s="550"/>
      <c r="M73" s="550"/>
      <c r="N73" s="550"/>
      <c r="O73" s="550"/>
      <c r="P73" s="550"/>
      <c r="Q73" s="550"/>
      <c r="R73" s="550"/>
      <c r="S73" s="550"/>
    </row>
    <row r="74" spans="1:16384" ht="32.1" customHeight="1">
      <c r="A74" s="442" t="s">
        <v>4313</v>
      </c>
      <c r="B74" s="446">
        <f>COUNTIF(E11:P70,"&lt;=5")</f>
        <v>5</v>
      </c>
      <c r="C74" s="549"/>
      <c r="D74" s="550"/>
      <c r="E74" s="550"/>
      <c r="F74" s="550"/>
      <c r="G74" s="550"/>
      <c r="H74" s="550"/>
      <c r="I74" s="550"/>
      <c r="J74" s="550"/>
      <c r="K74" s="550"/>
      <c r="L74" s="550"/>
      <c r="M74" s="550"/>
      <c r="N74" s="550"/>
      <c r="O74" s="550"/>
      <c r="P74" s="550"/>
      <c r="Q74" s="550"/>
      <c r="R74" s="550"/>
      <c r="S74" s="550"/>
    </row>
    <row r="75" spans="1:16384" ht="32.1" customHeight="1">
      <c r="A75" s="428" t="s">
        <v>4314</v>
      </c>
      <c r="B75" s="447">
        <f>COUNTIFS(E11:P70,"&gt;5",E11:P70,"&lt;=14")</f>
        <v>2</v>
      </c>
      <c r="C75" s="15"/>
      <c r="D75" s="372"/>
      <c r="F75" s="105"/>
      <c r="G75" s="105"/>
      <c r="H75" s="105"/>
      <c r="I75" s="105"/>
      <c r="J75" s="105"/>
      <c r="K75" s="105"/>
      <c r="L75" s="105"/>
      <c r="M75" s="105"/>
      <c r="N75" s="105"/>
      <c r="O75" s="105"/>
      <c r="P75" s="105"/>
      <c r="Q75" s="190"/>
      <c r="R75" s="191"/>
      <c r="S75" s="192"/>
    </row>
    <row r="76" spans="1:16384" ht="32.1" customHeight="1">
      <c r="A76" s="429" t="s">
        <v>4315</v>
      </c>
      <c r="B76" s="448">
        <f>COUNTIFS(E11:P70,"&gt;14",E11:P70,"&lt;=35")</f>
        <v>5</v>
      </c>
      <c r="C76" s="15"/>
      <c r="D76" s="372"/>
      <c r="E76" s="105"/>
      <c r="F76" s="105"/>
      <c r="G76" s="105"/>
      <c r="H76" s="105"/>
      <c r="I76" s="105"/>
      <c r="J76" s="105"/>
      <c r="K76" s="105"/>
      <c r="L76" s="105"/>
      <c r="M76" s="105"/>
      <c r="N76" s="105"/>
      <c r="O76" s="105"/>
      <c r="P76" s="105"/>
      <c r="Q76" s="190"/>
      <c r="R76" s="191"/>
      <c r="S76" s="192"/>
    </row>
    <row r="77" spans="1:16384" ht="32.1" customHeight="1">
      <c r="A77" s="430" t="s">
        <v>4316</v>
      </c>
      <c r="B77" s="448">
        <f>COUNTIFS(E11:P70,"&gt;35",E11:P70,"&lt;=80")</f>
        <v>9</v>
      </c>
      <c r="C77" s="15"/>
      <c r="D77" s="372"/>
      <c r="E77" s="105"/>
      <c r="F77" s="105"/>
      <c r="G77" s="105"/>
      <c r="H77" s="105"/>
      <c r="I77" s="105"/>
      <c r="J77" s="105"/>
      <c r="K77" s="105"/>
      <c r="L77" s="105"/>
      <c r="M77" s="105"/>
      <c r="N77" s="105"/>
      <c r="O77" s="105"/>
      <c r="P77" s="105"/>
      <c r="Q77" s="190"/>
      <c r="R77" s="191"/>
      <c r="S77" s="192"/>
    </row>
    <row r="78" spans="1:16384" ht="32.1" customHeight="1">
      <c r="A78" s="431" t="s">
        <v>4317</v>
      </c>
      <c r="B78" s="448">
        <f>COUNTIFS(E11:P70,"&gt;80",E11:P70,"&lt;=100")</f>
        <v>60</v>
      </c>
      <c r="C78" s="15"/>
      <c r="D78" s="372"/>
      <c r="E78" s="105"/>
      <c r="F78" s="105"/>
      <c r="G78" s="105"/>
      <c r="H78" s="105"/>
      <c r="I78" s="105"/>
      <c r="J78" s="105"/>
      <c r="K78" s="105"/>
      <c r="L78" s="105"/>
      <c r="M78" s="105"/>
      <c r="N78" s="105"/>
      <c r="O78" s="105"/>
      <c r="P78" s="105"/>
      <c r="Q78" s="190"/>
      <c r="R78" s="191"/>
      <c r="S78" s="192"/>
    </row>
    <row r="79" spans="1:16384" ht="32.1" customHeight="1">
      <c r="A79" s="451" t="s">
        <v>4318</v>
      </c>
      <c r="B79" s="453">
        <f>COUNT(E11:P70)</f>
        <v>81</v>
      </c>
      <c r="C79" s="15"/>
      <c r="D79" s="372"/>
      <c r="E79" s="105"/>
      <c r="F79" s="105"/>
      <c r="G79" s="105"/>
      <c r="H79" s="105"/>
      <c r="I79" s="105"/>
      <c r="J79" s="105"/>
      <c r="K79" s="105"/>
      <c r="L79" s="105"/>
      <c r="M79" s="105"/>
      <c r="N79" s="105"/>
      <c r="O79" s="105"/>
      <c r="P79" s="105"/>
      <c r="Q79" s="190"/>
      <c r="R79" s="191"/>
      <c r="S79" s="192"/>
    </row>
    <row r="80" spans="1:16384" ht="33.75" customHeight="1">
      <c r="A80" s="434" t="s">
        <v>4321</v>
      </c>
      <c r="B80" s="445">
        <f>B79-B74</f>
        <v>76</v>
      </c>
      <c r="C80" s="15"/>
      <c r="D80" s="372"/>
      <c r="E80" s="105"/>
      <c r="F80" s="105"/>
      <c r="G80" s="105"/>
      <c r="H80" s="105"/>
      <c r="I80" s="105"/>
      <c r="J80" s="105"/>
      <c r="K80" s="105"/>
      <c r="L80" s="105"/>
      <c r="M80" s="105"/>
      <c r="N80" s="105"/>
      <c r="O80" s="105"/>
      <c r="P80" s="105"/>
      <c r="Q80" s="190"/>
      <c r="R80" s="191"/>
      <c r="S80" s="192"/>
    </row>
    <row r="81" spans="1:19" ht="32.1" customHeight="1">
      <c r="A81" s="89"/>
      <c r="B81" s="104"/>
      <c r="C81" s="15"/>
      <c r="D81" s="372"/>
      <c r="E81" s="105"/>
      <c r="F81" s="105"/>
      <c r="G81" s="105"/>
      <c r="H81" s="105"/>
      <c r="I81" s="105"/>
      <c r="J81" s="105"/>
      <c r="K81" s="105"/>
      <c r="L81" s="105"/>
      <c r="M81" s="105"/>
      <c r="N81" s="105"/>
      <c r="O81" s="105"/>
      <c r="P81" s="105"/>
      <c r="Q81" s="190"/>
      <c r="R81" s="191"/>
      <c r="S81" s="192"/>
    </row>
    <row r="82" spans="1:19" ht="32.1" customHeight="1">
      <c r="A82" s="89"/>
      <c r="B82" s="104"/>
      <c r="C82" s="15"/>
      <c r="D82" s="372"/>
      <c r="E82" s="105"/>
      <c r="F82" s="105"/>
      <c r="G82" s="105"/>
      <c r="H82" s="105"/>
      <c r="I82" s="105"/>
      <c r="J82" s="105"/>
      <c r="K82" s="105"/>
      <c r="L82" s="105"/>
      <c r="M82" s="105"/>
      <c r="N82" s="105"/>
      <c r="O82" s="105"/>
      <c r="P82" s="105"/>
      <c r="Q82" s="190"/>
      <c r="R82" s="191"/>
      <c r="S82" s="192"/>
    </row>
    <row r="83" spans="1:19" ht="32.1" customHeight="1">
      <c r="A83" s="89"/>
      <c r="B83" s="104"/>
      <c r="C83" s="15"/>
      <c r="D83" s="372"/>
      <c r="E83" s="105"/>
      <c r="F83" s="105"/>
      <c r="G83" s="105"/>
      <c r="H83" s="105"/>
      <c r="I83" s="105"/>
      <c r="J83" s="105"/>
      <c r="K83" s="105"/>
      <c r="L83" s="105"/>
      <c r="M83" s="105"/>
      <c r="N83" s="105"/>
      <c r="O83" s="105"/>
      <c r="P83" s="105"/>
      <c r="Q83" s="190"/>
      <c r="R83" s="191"/>
      <c r="S83" s="192"/>
    </row>
    <row r="84" spans="1:19" ht="32.1" customHeight="1">
      <c r="A84" s="89"/>
      <c r="B84" s="104"/>
      <c r="C84" s="15"/>
      <c r="D84" s="372"/>
      <c r="E84" s="105"/>
      <c r="F84" s="105"/>
      <c r="G84" s="105"/>
      <c r="H84" s="105"/>
      <c r="I84" s="105"/>
      <c r="J84" s="105"/>
      <c r="K84" s="105"/>
      <c r="L84" s="105"/>
      <c r="M84" s="105"/>
      <c r="N84" s="105"/>
      <c r="O84" s="105"/>
      <c r="P84" s="105"/>
      <c r="Q84" s="190"/>
      <c r="R84" s="191"/>
      <c r="S84" s="192"/>
    </row>
    <row r="85" spans="1:19" ht="32.1" customHeight="1">
      <c r="A85" s="89"/>
      <c r="B85" s="104"/>
      <c r="C85" s="15"/>
      <c r="D85" s="372"/>
      <c r="E85" s="105"/>
      <c r="F85" s="105"/>
      <c r="G85" s="105"/>
      <c r="H85" s="105"/>
      <c r="I85" s="105"/>
      <c r="J85" s="105"/>
      <c r="K85" s="105"/>
      <c r="L85" s="105"/>
      <c r="M85" s="105"/>
      <c r="N85" s="105"/>
      <c r="O85" s="105"/>
      <c r="P85" s="105"/>
      <c r="Q85" s="190"/>
      <c r="R85" s="191"/>
      <c r="S85" s="192"/>
    </row>
    <row r="86" spans="1:19" ht="32.1" customHeight="1">
      <c r="A86" s="89"/>
      <c r="B86" s="104"/>
      <c r="C86" s="15"/>
      <c r="D86" s="372"/>
      <c r="E86" s="105"/>
      <c r="F86" s="105"/>
      <c r="G86" s="105"/>
      <c r="H86" s="105"/>
      <c r="I86" s="105"/>
      <c r="J86" s="105"/>
      <c r="K86" s="105"/>
      <c r="L86" s="105"/>
      <c r="M86" s="105"/>
      <c r="N86" s="105"/>
      <c r="O86" s="105"/>
      <c r="P86" s="105"/>
      <c r="Q86" s="190"/>
      <c r="R86" s="191"/>
      <c r="S86" s="192"/>
    </row>
    <row r="87" spans="1:19" ht="32.1" customHeight="1">
      <c r="A87" s="89"/>
      <c r="B87" s="104"/>
      <c r="C87" s="15"/>
      <c r="D87" s="372"/>
      <c r="E87" s="105"/>
      <c r="F87" s="105"/>
      <c r="G87" s="105"/>
      <c r="H87" s="105"/>
      <c r="I87" s="105"/>
      <c r="J87" s="105"/>
      <c r="K87" s="105"/>
      <c r="L87" s="105"/>
      <c r="M87" s="105"/>
      <c r="N87" s="105"/>
      <c r="O87" s="105"/>
      <c r="P87" s="105"/>
      <c r="Q87" s="190"/>
      <c r="R87" s="191"/>
      <c r="S87" s="192"/>
    </row>
    <row r="88" spans="1:19" ht="32.1" customHeight="1">
      <c r="A88" s="89"/>
      <c r="B88" s="104"/>
      <c r="C88" s="15"/>
      <c r="D88" s="372"/>
      <c r="E88" s="105"/>
      <c r="F88" s="105"/>
      <c r="G88" s="105"/>
      <c r="H88" s="105"/>
      <c r="I88" s="105"/>
      <c r="J88" s="105"/>
      <c r="K88" s="105"/>
      <c r="L88" s="105"/>
      <c r="M88" s="105"/>
      <c r="N88" s="105"/>
      <c r="O88" s="105"/>
      <c r="P88" s="105"/>
      <c r="Q88" s="190"/>
      <c r="R88" s="191"/>
      <c r="S88" s="192"/>
    </row>
    <row r="89" spans="1:19" ht="32.1" customHeight="1">
      <c r="A89" s="89"/>
      <c r="B89" s="104"/>
      <c r="C89" s="15"/>
      <c r="D89" s="372"/>
      <c r="E89" s="105"/>
      <c r="F89" s="105"/>
      <c r="G89" s="105"/>
      <c r="H89" s="105"/>
      <c r="I89" s="105"/>
      <c r="J89" s="105"/>
      <c r="K89" s="105"/>
      <c r="L89" s="105"/>
      <c r="M89" s="105"/>
      <c r="N89" s="105"/>
      <c r="O89" s="105"/>
      <c r="P89" s="105"/>
      <c r="Q89" s="190"/>
      <c r="R89" s="191"/>
      <c r="S89" s="192"/>
    </row>
    <row r="90" spans="1:19" ht="32.1" customHeight="1">
      <c r="A90" s="89"/>
      <c r="B90" s="104"/>
      <c r="C90" s="15"/>
      <c r="D90" s="372"/>
      <c r="E90" s="105"/>
      <c r="F90" s="105"/>
      <c r="G90" s="105"/>
      <c r="H90" s="105"/>
      <c r="I90" s="105"/>
      <c r="J90" s="105"/>
      <c r="K90" s="105"/>
      <c r="L90" s="105"/>
      <c r="M90" s="105"/>
      <c r="N90" s="105"/>
      <c r="O90" s="105"/>
      <c r="P90" s="105"/>
      <c r="Q90" s="190"/>
      <c r="R90" s="191"/>
      <c r="S90" s="192"/>
    </row>
    <row r="91" spans="1:19" ht="32.1" customHeight="1">
      <c r="A91" s="89"/>
      <c r="B91" s="104"/>
      <c r="C91" s="15"/>
      <c r="D91" s="372"/>
      <c r="E91" s="105"/>
      <c r="F91" s="105"/>
      <c r="G91" s="105"/>
      <c r="H91" s="105"/>
      <c r="I91" s="105"/>
      <c r="J91" s="105"/>
      <c r="K91" s="105"/>
      <c r="L91" s="105"/>
      <c r="M91" s="105"/>
      <c r="N91" s="105"/>
      <c r="O91" s="105"/>
      <c r="P91" s="105"/>
      <c r="Q91" s="190"/>
      <c r="R91" s="191"/>
      <c r="S91" s="192"/>
    </row>
    <row r="92" spans="1:19" ht="32.1" customHeight="1">
      <c r="A92" s="89"/>
      <c r="B92" s="104"/>
      <c r="C92" s="15"/>
      <c r="D92" s="372"/>
      <c r="E92" s="105"/>
      <c r="F92" s="105"/>
      <c r="G92" s="105"/>
      <c r="H92" s="105"/>
      <c r="I92" s="105"/>
      <c r="J92" s="105"/>
      <c r="K92" s="105"/>
      <c r="L92" s="105"/>
      <c r="M92" s="105"/>
      <c r="N92" s="105"/>
      <c r="O92" s="105"/>
      <c r="P92" s="105"/>
      <c r="Q92" s="190"/>
      <c r="R92" s="191"/>
      <c r="S92" s="192"/>
    </row>
    <row r="93" spans="1:19" ht="32.1" customHeight="1">
      <c r="A93" s="89"/>
      <c r="B93" s="104"/>
      <c r="C93" s="15"/>
      <c r="D93" s="372"/>
      <c r="E93" s="105"/>
      <c r="F93" s="105"/>
      <c r="G93" s="105"/>
      <c r="H93" s="105"/>
      <c r="I93" s="105"/>
      <c r="J93" s="105"/>
      <c r="K93" s="105"/>
      <c r="L93" s="105"/>
      <c r="M93" s="105"/>
      <c r="N93" s="105"/>
      <c r="O93" s="105"/>
      <c r="P93" s="105"/>
      <c r="Q93" s="190"/>
      <c r="R93" s="191"/>
      <c r="S93" s="192"/>
    </row>
    <row r="94" spans="1:19" ht="32.1" customHeight="1">
      <c r="A94" s="89"/>
      <c r="B94" s="104"/>
      <c r="C94" s="15"/>
      <c r="D94" s="372"/>
      <c r="E94" s="105"/>
      <c r="F94" s="105"/>
      <c r="G94" s="105"/>
      <c r="H94" s="105"/>
      <c r="I94" s="105"/>
      <c r="J94" s="105"/>
      <c r="K94" s="105"/>
      <c r="L94" s="105"/>
      <c r="M94" s="105"/>
      <c r="N94" s="105"/>
      <c r="O94" s="105"/>
      <c r="P94" s="105"/>
      <c r="Q94" s="190"/>
      <c r="R94" s="191"/>
      <c r="S94" s="192"/>
    </row>
    <row r="95" spans="1:19" ht="32.1" customHeight="1">
      <c r="A95" s="89"/>
      <c r="B95" s="104"/>
      <c r="C95" s="15"/>
      <c r="D95" s="372"/>
      <c r="E95" s="105"/>
      <c r="F95" s="105"/>
      <c r="G95" s="105"/>
      <c r="H95" s="105"/>
      <c r="I95" s="105"/>
      <c r="J95" s="105"/>
      <c r="K95" s="105"/>
      <c r="L95" s="105"/>
      <c r="M95" s="105"/>
      <c r="N95" s="105"/>
      <c r="O95" s="105"/>
      <c r="P95" s="105"/>
      <c r="Q95" s="190"/>
      <c r="R95" s="191"/>
      <c r="S95" s="192"/>
    </row>
    <row r="96" spans="1:19" ht="32.1" customHeight="1">
      <c r="A96" s="89"/>
      <c r="B96" s="104"/>
      <c r="C96" s="15"/>
      <c r="D96" s="372"/>
      <c r="E96" s="105"/>
      <c r="F96" s="105"/>
      <c r="G96" s="105"/>
      <c r="H96" s="105"/>
      <c r="I96" s="105"/>
      <c r="J96" s="105"/>
      <c r="K96" s="105"/>
      <c r="L96" s="105"/>
      <c r="M96" s="105"/>
      <c r="N96" s="105"/>
      <c r="O96" s="105"/>
      <c r="P96" s="105"/>
      <c r="Q96" s="190"/>
      <c r="R96" s="191"/>
      <c r="S96" s="192"/>
    </row>
    <row r="97" spans="1:19" ht="32.1" customHeight="1">
      <c r="A97" s="89"/>
      <c r="B97" s="104"/>
      <c r="C97" s="15"/>
      <c r="D97" s="372"/>
      <c r="E97" s="105"/>
      <c r="F97" s="105"/>
      <c r="G97" s="105"/>
      <c r="H97" s="105"/>
      <c r="I97" s="105"/>
      <c r="J97" s="105"/>
      <c r="K97" s="105"/>
      <c r="L97" s="105"/>
      <c r="M97" s="105"/>
      <c r="N97" s="105"/>
      <c r="O97" s="105"/>
      <c r="P97" s="105"/>
      <c r="Q97" s="190"/>
      <c r="R97" s="191"/>
      <c r="S97" s="192"/>
    </row>
    <row r="98" spans="1:19" ht="32.1" customHeight="1">
      <c r="A98" s="89"/>
      <c r="B98" s="104"/>
      <c r="C98" s="15"/>
      <c r="D98" s="372"/>
      <c r="E98" s="105"/>
      <c r="F98" s="105"/>
      <c r="G98" s="105"/>
      <c r="H98" s="105"/>
      <c r="I98" s="105"/>
      <c r="J98" s="105"/>
      <c r="K98" s="105"/>
      <c r="L98" s="105"/>
      <c r="M98" s="105"/>
      <c r="N98" s="105"/>
      <c r="O98" s="105"/>
      <c r="P98" s="105"/>
      <c r="Q98" s="190"/>
      <c r="R98" s="191"/>
      <c r="S98" s="192"/>
    </row>
    <row r="99" spans="1:19" ht="32.1" customHeight="1">
      <c r="A99" s="89"/>
      <c r="B99" s="104"/>
      <c r="C99" s="15"/>
      <c r="D99" s="372"/>
      <c r="E99" s="105"/>
      <c r="F99" s="105"/>
      <c r="G99" s="105"/>
      <c r="H99" s="105"/>
      <c r="I99" s="105"/>
      <c r="J99" s="105"/>
      <c r="K99" s="105"/>
      <c r="L99" s="105"/>
      <c r="M99" s="105"/>
      <c r="N99" s="105"/>
      <c r="O99" s="105"/>
      <c r="P99" s="105"/>
      <c r="Q99" s="190"/>
      <c r="R99" s="191"/>
      <c r="S99" s="192"/>
    </row>
    <row r="100" spans="1:19" ht="32.1" customHeight="1">
      <c r="A100" s="89"/>
      <c r="B100" s="104"/>
      <c r="C100" s="15"/>
      <c r="D100" s="372"/>
      <c r="E100" s="105"/>
      <c r="F100" s="105"/>
      <c r="G100" s="105"/>
      <c r="H100" s="105"/>
      <c r="I100" s="105"/>
      <c r="J100" s="105"/>
      <c r="K100" s="105"/>
      <c r="L100" s="105"/>
      <c r="M100" s="105"/>
      <c r="N100" s="105"/>
      <c r="O100" s="105"/>
      <c r="P100" s="105"/>
      <c r="Q100" s="190"/>
      <c r="R100" s="191"/>
      <c r="S100" s="192"/>
    </row>
    <row r="101" spans="1:19" ht="32.1" customHeight="1">
      <c r="A101" s="89"/>
      <c r="B101" s="104"/>
      <c r="C101" s="15"/>
      <c r="D101" s="372"/>
      <c r="E101" s="105"/>
      <c r="F101" s="105"/>
      <c r="G101" s="105"/>
      <c r="H101" s="105"/>
      <c r="I101" s="105"/>
      <c r="J101" s="105"/>
      <c r="K101" s="105"/>
      <c r="L101" s="105"/>
      <c r="M101" s="105"/>
      <c r="N101" s="105"/>
      <c r="O101" s="105"/>
      <c r="P101" s="105"/>
      <c r="Q101" s="190"/>
      <c r="R101" s="191"/>
      <c r="S101" s="192"/>
    </row>
    <row r="102" spans="1:19" ht="32.1" customHeight="1">
      <c r="A102" s="89"/>
      <c r="B102" s="104"/>
      <c r="C102" s="15"/>
      <c r="D102" s="372"/>
      <c r="E102" s="105"/>
      <c r="F102" s="105"/>
      <c r="G102" s="105"/>
      <c r="H102" s="105"/>
      <c r="I102" s="105"/>
      <c r="J102" s="105"/>
      <c r="K102" s="105"/>
      <c r="L102" s="105"/>
      <c r="M102" s="105"/>
      <c r="N102" s="105"/>
      <c r="O102" s="105"/>
      <c r="P102" s="105"/>
      <c r="Q102" s="190"/>
      <c r="R102" s="191"/>
      <c r="S102" s="192"/>
    </row>
    <row r="103" spans="1:19" ht="32.1" customHeight="1">
      <c r="A103" s="89"/>
      <c r="B103" s="104"/>
      <c r="C103" s="15"/>
      <c r="D103" s="372"/>
      <c r="E103" s="105"/>
      <c r="F103" s="105"/>
      <c r="G103" s="105"/>
      <c r="H103" s="105"/>
      <c r="I103" s="105"/>
      <c r="J103" s="105"/>
      <c r="K103" s="105"/>
      <c r="L103" s="105"/>
      <c r="M103" s="105"/>
      <c r="N103" s="105"/>
      <c r="O103" s="105"/>
      <c r="P103" s="105"/>
      <c r="Q103" s="190"/>
      <c r="R103" s="191"/>
      <c r="S103" s="192"/>
    </row>
    <row r="104" spans="1:19" ht="32.1" customHeight="1">
      <c r="A104" s="89"/>
      <c r="B104" s="104"/>
      <c r="C104" s="15"/>
      <c r="D104" s="372"/>
      <c r="E104" s="105"/>
      <c r="F104" s="105"/>
      <c r="G104" s="105"/>
      <c r="H104" s="105"/>
      <c r="I104" s="105"/>
      <c r="J104" s="105"/>
      <c r="K104" s="105"/>
      <c r="L104" s="105"/>
      <c r="M104" s="105"/>
      <c r="N104" s="105"/>
      <c r="O104" s="105"/>
      <c r="P104" s="105"/>
      <c r="Q104" s="190"/>
      <c r="R104" s="191"/>
      <c r="S104" s="192"/>
    </row>
    <row r="105" spans="1:19" ht="32.1" customHeight="1">
      <c r="A105" s="89"/>
      <c r="B105" s="104"/>
      <c r="C105" s="15"/>
      <c r="D105" s="372"/>
      <c r="E105" s="105"/>
      <c r="F105" s="105"/>
      <c r="G105" s="105"/>
      <c r="H105" s="105"/>
      <c r="I105" s="105"/>
      <c r="J105" s="105"/>
      <c r="K105" s="105"/>
      <c r="L105" s="105"/>
      <c r="M105" s="105"/>
      <c r="N105" s="105"/>
      <c r="O105" s="105"/>
      <c r="P105" s="105"/>
      <c r="Q105" s="190"/>
      <c r="R105" s="191"/>
      <c r="S105" s="192"/>
    </row>
    <row r="106" spans="1:19" ht="32.1" customHeight="1">
      <c r="A106" s="89"/>
      <c r="B106" s="104"/>
      <c r="C106" s="15"/>
      <c r="D106" s="372"/>
      <c r="E106" s="105"/>
      <c r="F106" s="105"/>
      <c r="G106" s="105"/>
      <c r="H106" s="105"/>
      <c r="I106" s="105"/>
      <c r="J106" s="105"/>
      <c r="K106" s="105"/>
      <c r="L106" s="105"/>
      <c r="M106" s="105"/>
      <c r="N106" s="105"/>
      <c r="O106" s="105"/>
      <c r="P106" s="105"/>
      <c r="Q106" s="190"/>
      <c r="R106" s="191"/>
      <c r="S106" s="192"/>
    </row>
    <row r="107" spans="1:19" ht="32.1" customHeight="1">
      <c r="A107" s="89"/>
      <c r="B107" s="104"/>
      <c r="C107" s="15"/>
      <c r="D107" s="372"/>
      <c r="E107" s="105"/>
      <c r="F107" s="105"/>
      <c r="G107" s="105"/>
      <c r="H107" s="105"/>
      <c r="I107" s="105"/>
      <c r="J107" s="105"/>
      <c r="K107" s="105"/>
      <c r="L107" s="105"/>
      <c r="M107" s="105"/>
      <c r="N107" s="105"/>
      <c r="O107" s="105"/>
      <c r="P107" s="105"/>
      <c r="Q107" s="190"/>
      <c r="R107" s="191"/>
      <c r="S107" s="192"/>
    </row>
    <row r="108" spans="1:19" ht="32.1" customHeight="1">
      <c r="A108" s="89"/>
      <c r="B108" s="104"/>
      <c r="C108" s="15"/>
      <c r="D108" s="372"/>
      <c r="E108" s="105"/>
      <c r="F108" s="105"/>
      <c r="G108" s="105"/>
      <c r="H108" s="105"/>
      <c r="I108" s="105"/>
      <c r="J108" s="105"/>
      <c r="K108" s="105"/>
      <c r="L108" s="105"/>
      <c r="M108" s="105"/>
      <c r="N108" s="105"/>
      <c r="O108" s="105"/>
      <c r="P108" s="105"/>
      <c r="Q108" s="190"/>
      <c r="R108" s="191"/>
      <c r="S108" s="192"/>
    </row>
    <row r="109" spans="1:19" ht="32.1" customHeight="1">
      <c r="A109" s="89"/>
      <c r="B109" s="104"/>
      <c r="C109" s="15"/>
      <c r="D109" s="372"/>
      <c r="E109" s="105"/>
      <c r="F109" s="105"/>
      <c r="G109" s="105"/>
      <c r="H109" s="105"/>
      <c r="I109" s="105"/>
      <c r="J109" s="105"/>
      <c r="K109" s="105"/>
      <c r="L109" s="105"/>
      <c r="M109" s="105"/>
      <c r="N109" s="105"/>
      <c r="O109" s="105"/>
      <c r="P109" s="105"/>
      <c r="Q109" s="190"/>
      <c r="R109" s="191"/>
      <c r="S109" s="192"/>
    </row>
    <row r="110" spans="1:19" ht="32.1" customHeight="1">
      <c r="A110" s="89"/>
      <c r="B110" s="104"/>
      <c r="C110" s="15"/>
      <c r="D110" s="372"/>
      <c r="E110" s="105"/>
      <c r="F110" s="105"/>
      <c r="G110" s="105"/>
      <c r="H110" s="105"/>
      <c r="I110" s="105"/>
      <c r="J110" s="105"/>
      <c r="K110" s="105"/>
      <c r="L110" s="105"/>
      <c r="M110" s="105"/>
      <c r="N110" s="105"/>
      <c r="O110" s="105"/>
      <c r="P110" s="105"/>
      <c r="Q110" s="190"/>
      <c r="R110" s="191"/>
      <c r="S110" s="192"/>
    </row>
    <row r="111" spans="1:19" ht="32.1" customHeight="1">
      <c r="A111" s="89"/>
      <c r="B111" s="104"/>
      <c r="C111" s="15"/>
      <c r="D111" s="372"/>
      <c r="E111" s="105"/>
      <c r="F111" s="105"/>
      <c r="G111" s="105"/>
      <c r="H111" s="105"/>
      <c r="I111" s="105"/>
      <c r="J111" s="105"/>
      <c r="K111" s="105"/>
      <c r="L111" s="105"/>
      <c r="M111" s="105"/>
      <c r="N111" s="105"/>
      <c r="O111" s="105"/>
      <c r="P111" s="105"/>
      <c r="Q111" s="190"/>
      <c r="R111" s="191"/>
      <c r="S111" s="192"/>
    </row>
    <row r="112" spans="1:19" ht="32.1" customHeight="1">
      <c r="A112" s="89"/>
      <c r="B112" s="104"/>
      <c r="C112" s="15"/>
      <c r="D112" s="372"/>
      <c r="E112" s="105"/>
      <c r="F112" s="105"/>
      <c r="G112" s="105"/>
      <c r="H112" s="105"/>
      <c r="I112" s="105"/>
      <c r="J112" s="105"/>
      <c r="K112" s="105"/>
      <c r="L112" s="105"/>
      <c r="M112" s="105"/>
      <c r="N112" s="105"/>
      <c r="O112" s="105"/>
      <c r="P112" s="105"/>
      <c r="Q112" s="190"/>
      <c r="R112" s="191"/>
      <c r="S112" s="192"/>
    </row>
    <row r="113" spans="1:19" ht="32.1" customHeight="1">
      <c r="A113" s="89"/>
      <c r="B113" s="104"/>
      <c r="C113" s="15"/>
      <c r="D113" s="372"/>
      <c r="E113" s="105"/>
      <c r="F113" s="105"/>
      <c r="G113" s="105"/>
      <c r="H113" s="105"/>
      <c r="I113" s="105"/>
      <c r="J113" s="105"/>
      <c r="K113" s="105"/>
      <c r="L113" s="105"/>
      <c r="M113" s="105"/>
      <c r="N113" s="105"/>
      <c r="O113" s="105"/>
      <c r="P113" s="105"/>
      <c r="Q113" s="190"/>
      <c r="R113" s="191"/>
      <c r="S113" s="192"/>
    </row>
    <row r="114" spans="1:19" ht="32.1" customHeight="1">
      <c r="A114" s="89"/>
      <c r="B114" s="104"/>
      <c r="C114" s="15"/>
      <c r="D114" s="372"/>
      <c r="E114" s="105"/>
      <c r="F114" s="105"/>
      <c r="G114" s="105"/>
      <c r="H114" s="105"/>
      <c r="I114" s="105"/>
      <c r="J114" s="105"/>
      <c r="K114" s="105"/>
      <c r="L114" s="105"/>
      <c r="M114" s="105"/>
      <c r="N114" s="105"/>
      <c r="O114" s="105"/>
      <c r="P114" s="105"/>
      <c r="Q114" s="190"/>
      <c r="R114" s="191"/>
      <c r="S114" s="192"/>
    </row>
    <row r="115" spans="1:19" ht="32.1" customHeight="1">
      <c r="A115" s="89"/>
      <c r="B115" s="104"/>
      <c r="C115" s="15"/>
      <c r="D115" s="372"/>
      <c r="E115" s="105"/>
      <c r="F115" s="105"/>
      <c r="G115" s="105"/>
      <c r="H115" s="105"/>
      <c r="I115" s="105"/>
      <c r="J115" s="105"/>
      <c r="K115" s="105"/>
      <c r="L115" s="105"/>
      <c r="M115" s="105"/>
      <c r="N115" s="105"/>
      <c r="O115" s="105"/>
      <c r="P115" s="105"/>
      <c r="Q115" s="190"/>
      <c r="R115" s="191"/>
      <c r="S115" s="192"/>
    </row>
    <row r="116" spans="1:19" ht="32.1" customHeight="1">
      <c r="A116" s="89"/>
      <c r="B116" s="104"/>
      <c r="C116" s="15"/>
      <c r="D116" s="372"/>
      <c r="E116" s="105"/>
      <c r="F116" s="105"/>
      <c r="G116" s="105"/>
      <c r="H116" s="105"/>
      <c r="I116" s="105"/>
      <c r="J116" s="105"/>
      <c r="K116" s="105"/>
      <c r="L116" s="105"/>
      <c r="M116" s="105"/>
      <c r="N116" s="105"/>
      <c r="O116" s="105"/>
      <c r="P116" s="105"/>
      <c r="Q116" s="190"/>
      <c r="R116" s="191"/>
      <c r="S116" s="192"/>
    </row>
    <row r="117" spans="1:19" ht="32.1" customHeight="1">
      <c r="A117" s="89"/>
      <c r="B117" s="104"/>
      <c r="C117" s="15"/>
      <c r="D117" s="372"/>
      <c r="E117" s="105"/>
      <c r="F117" s="105"/>
      <c r="G117" s="105"/>
      <c r="H117" s="105"/>
      <c r="I117" s="105"/>
      <c r="J117" s="105"/>
      <c r="K117" s="105"/>
      <c r="L117" s="105"/>
      <c r="M117" s="105"/>
      <c r="N117" s="105"/>
      <c r="O117" s="105"/>
      <c r="P117" s="105"/>
      <c r="Q117" s="190"/>
      <c r="R117" s="191"/>
      <c r="S117" s="192"/>
    </row>
    <row r="118" spans="1:19" ht="32.1" customHeight="1">
      <c r="A118" s="89"/>
      <c r="B118" s="104"/>
      <c r="C118" s="15"/>
      <c r="D118" s="372"/>
      <c r="E118" s="105"/>
      <c r="F118" s="105"/>
      <c r="G118" s="105"/>
      <c r="H118" s="105"/>
      <c r="I118" s="105"/>
      <c r="J118" s="105"/>
      <c r="K118" s="105"/>
      <c r="L118" s="105"/>
      <c r="M118" s="105"/>
      <c r="N118" s="105"/>
      <c r="O118" s="105"/>
      <c r="P118" s="105"/>
      <c r="Q118" s="190"/>
      <c r="R118" s="191"/>
      <c r="S118" s="192"/>
    </row>
    <row r="119" spans="1:19" ht="32.1" customHeight="1">
      <c r="A119" s="89"/>
      <c r="B119" s="104"/>
      <c r="C119" s="15"/>
      <c r="D119" s="372"/>
      <c r="E119" s="105"/>
      <c r="F119" s="105"/>
      <c r="G119" s="105"/>
      <c r="H119" s="105"/>
      <c r="I119" s="105"/>
      <c r="J119" s="105"/>
      <c r="K119" s="105"/>
      <c r="L119" s="105"/>
      <c r="M119" s="105"/>
      <c r="N119" s="105"/>
      <c r="O119" s="105"/>
      <c r="P119" s="105"/>
      <c r="Q119" s="190"/>
      <c r="R119" s="191"/>
      <c r="S119" s="192"/>
    </row>
    <row r="120" spans="1:19" ht="32.1" customHeight="1">
      <c r="A120" s="89"/>
      <c r="B120" s="104"/>
      <c r="C120" s="15"/>
      <c r="D120" s="372"/>
      <c r="E120" s="105"/>
      <c r="F120" s="105"/>
      <c r="G120" s="105"/>
      <c r="H120" s="105"/>
      <c r="I120" s="105"/>
      <c r="J120" s="105"/>
      <c r="K120" s="105"/>
      <c r="L120" s="105"/>
      <c r="M120" s="105"/>
      <c r="N120" s="105"/>
      <c r="O120" s="105"/>
      <c r="P120" s="105"/>
      <c r="Q120" s="190"/>
      <c r="R120" s="191"/>
      <c r="S120" s="192"/>
    </row>
    <row r="121" spans="1:19" ht="32.1" customHeight="1">
      <c r="A121" s="89"/>
      <c r="B121" s="104"/>
      <c r="C121" s="15"/>
      <c r="D121" s="372"/>
      <c r="E121" s="105"/>
      <c r="F121" s="105"/>
      <c r="G121" s="105"/>
      <c r="H121" s="105"/>
      <c r="I121" s="105"/>
      <c r="J121" s="105"/>
      <c r="K121" s="105"/>
      <c r="L121" s="105"/>
      <c r="M121" s="105"/>
      <c r="N121" s="105"/>
      <c r="O121" s="105"/>
      <c r="P121" s="105"/>
      <c r="Q121" s="190"/>
      <c r="R121" s="191"/>
      <c r="S121" s="192"/>
    </row>
    <row r="122" spans="1:19" ht="32.1" customHeight="1">
      <c r="A122" s="89"/>
      <c r="B122" s="104"/>
      <c r="C122" s="15"/>
      <c r="D122" s="372"/>
      <c r="E122" s="105"/>
      <c r="F122" s="105"/>
      <c r="G122" s="105"/>
      <c r="H122" s="105"/>
      <c r="I122" s="105"/>
      <c r="J122" s="105"/>
      <c r="K122" s="105"/>
      <c r="L122" s="105"/>
      <c r="M122" s="105"/>
      <c r="N122" s="105"/>
      <c r="O122" s="105"/>
      <c r="P122" s="105"/>
      <c r="Q122" s="190"/>
      <c r="R122" s="191"/>
      <c r="S122" s="192"/>
    </row>
    <row r="123" spans="1:19" ht="32.1" customHeight="1">
      <c r="A123" s="89"/>
      <c r="B123" s="104"/>
      <c r="C123" s="15"/>
      <c r="D123" s="372"/>
      <c r="E123" s="105"/>
      <c r="F123" s="105"/>
      <c r="G123" s="105"/>
      <c r="H123" s="105"/>
      <c r="I123" s="105"/>
      <c r="J123" s="105"/>
      <c r="K123" s="105"/>
      <c r="L123" s="105"/>
      <c r="M123" s="105"/>
      <c r="N123" s="105"/>
      <c r="O123" s="105"/>
      <c r="P123" s="105"/>
      <c r="Q123" s="105"/>
      <c r="R123" s="105"/>
      <c r="S123" s="105"/>
    </row>
    <row r="124" spans="1:19" ht="32.1" customHeight="1">
      <c r="A124" s="89"/>
      <c r="B124" s="104"/>
      <c r="C124" s="15"/>
      <c r="D124" s="372"/>
      <c r="E124" s="105"/>
      <c r="F124" s="105"/>
      <c r="G124" s="105"/>
      <c r="H124" s="105"/>
      <c r="I124" s="105"/>
      <c r="J124" s="105"/>
      <c r="K124" s="105"/>
      <c r="L124" s="105"/>
      <c r="M124" s="105"/>
      <c r="N124" s="105"/>
      <c r="O124" s="105"/>
      <c r="P124" s="105"/>
      <c r="Q124" s="105"/>
      <c r="R124" s="105"/>
      <c r="S124" s="105"/>
    </row>
    <row r="125" spans="1:19" ht="32.1" customHeight="1">
      <c r="A125" s="89"/>
      <c r="B125" s="104"/>
      <c r="C125" s="15"/>
      <c r="D125" s="372"/>
      <c r="E125" s="105"/>
      <c r="F125" s="105"/>
      <c r="G125" s="105"/>
      <c r="H125" s="105"/>
      <c r="I125" s="105"/>
      <c r="J125" s="105"/>
      <c r="K125" s="105"/>
      <c r="L125" s="105"/>
      <c r="M125" s="105"/>
      <c r="N125" s="105"/>
      <c r="O125" s="105"/>
      <c r="P125" s="105"/>
      <c r="Q125" s="105"/>
      <c r="R125" s="105"/>
      <c r="S125" s="105"/>
    </row>
    <row r="126" spans="1:19" ht="32.1" customHeight="1">
      <c r="A126" s="89"/>
      <c r="B126" s="104"/>
      <c r="C126" s="15"/>
      <c r="D126" s="372"/>
      <c r="E126" s="105"/>
      <c r="F126" s="105"/>
      <c r="G126" s="105"/>
      <c r="H126" s="105"/>
      <c r="I126" s="105"/>
      <c r="J126" s="105"/>
      <c r="K126" s="105"/>
      <c r="L126" s="105"/>
      <c r="M126" s="105"/>
      <c r="N126" s="105"/>
      <c r="O126" s="105"/>
      <c r="P126" s="105"/>
      <c r="Q126" s="105"/>
      <c r="R126" s="105"/>
      <c r="S126" s="105"/>
    </row>
    <row r="127" spans="1:19" ht="32.1" customHeight="1">
      <c r="A127" s="89"/>
      <c r="B127" s="104"/>
      <c r="C127" s="15"/>
      <c r="D127" s="372"/>
      <c r="E127" s="105"/>
      <c r="F127" s="105"/>
      <c r="G127" s="105"/>
      <c r="H127" s="105"/>
      <c r="I127" s="105"/>
      <c r="J127" s="105"/>
      <c r="K127" s="105"/>
      <c r="L127" s="105"/>
      <c r="M127" s="105"/>
      <c r="N127" s="105"/>
      <c r="O127" s="105"/>
      <c r="P127" s="105"/>
      <c r="Q127" s="105"/>
      <c r="R127" s="105"/>
      <c r="S127" s="105"/>
    </row>
    <row r="128" spans="1:19" ht="32.1" customHeight="1">
      <c r="A128" s="89"/>
      <c r="B128" s="104"/>
      <c r="C128" s="15"/>
      <c r="D128" s="372"/>
      <c r="E128" s="105"/>
      <c r="F128" s="105"/>
      <c r="G128" s="105"/>
      <c r="H128" s="105"/>
      <c r="I128" s="105"/>
      <c r="J128" s="105"/>
      <c r="K128" s="105"/>
      <c r="L128" s="105"/>
      <c r="M128" s="105"/>
      <c r="N128" s="105"/>
      <c r="O128" s="105"/>
      <c r="P128" s="105"/>
      <c r="Q128" s="105"/>
      <c r="R128" s="105"/>
      <c r="S128" s="105"/>
    </row>
    <row r="129" spans="1:19" ht="32.1" customHeight="1">
      <c r="A129" s="89"/>
      <c r="B129" s="104"/>
      <c r="C129" s="15"/>
      <c r="D129" s="372"/>
      <c r="E129" s="105"/>
      <c r="F129" s="105"/>
      <c r="G129" s="105"/>
      <c r="H129" s="105"/>
      <c r="I129" s="105"/>
      <c r="J129" s="105"/>
      <c r="K129" s="105"/>
      <c r="L129" s="105"/>
      <c r="M129" s="105"/>
      <c r="N129" s="105"/>
      <c r="O129" s="105"/>
      <c r="P129" s="105"/>
      <c r="Q129" s="105"/>
      <c r="R129" s="105"/>
      <c r="S129" s="105"/>
    </row>
    <row r="130" spans="1:19" ht="32.1" customHeight="1">
      <c r="A130" s="89"/>
      <c r="B130" s="104"/>
      <c r="C130" s="15"/>
      <c r="D130" s="372"/>
      <c r="E130" s="105"/>
      <c r="F130" s="105"/>
      <c r="G130" s="105"/>
      <c r="H130" s="105"/>
      <c r="I130" s="105"/>
      <c r="J130" s="105"/>
      <c r="K130" s="105"/>
      <c r="L130" s="105"/>
      <c r="M130" s="105"/>
      <c r="N130" s="105"/>
      <c r="O130" s="105"/>
      <c r="P130" s="105"/>
      <c r="Q130" s="105"/>
      <c r="R130" s="105"/>
      <c r="S130" s="105"/>
    </row>
    <row r="131" spans="1:19" ht="32.1" customHeight="1">
      <c r="A131" s="89"/>
      <c r="B131" s="104"/>
      <c r="C131" s="15"/>
      <c r="D131" s="372"/>
      <c r="E131" s="105"/>
      <c r="F131" s="105"/>
      <c r="G131" s="105"/>
      <c r="H131" s="105"/>
      <c r="I131" s="105"/>
      <c r="J131" s="105"/>
      <c r="K131" s="105"/>
      <c r="L131" s="105"/>
      <c r="M131" s="105"/>
      <c r="N131" s="105"/>
      <c r="O131" s="105"/>
      <c r="P131" s="105"/>
      <c r="Q131" s="105"/>
      <c r="R131" s="105"/>
      <c r="S131" s="105"/>
    </row>
    <row r="132" spans="1:19" ht="32.1" customHeight="1">
      <c r="A132" s="89"/>
      <c r="B132" s="104"/>
      <c r="C132" s="15"/>
      <c r="D132" s="372"/>
      <c r="E132" s="105"/>
      <c r="F132" s="105"/>
      <c r="G132" s="105"/>
      <c r="H132" s="105"/>
      <c r="I132" s="105"/>
      <c r="J132" s="105"/>
      <c r="K132" s="105"/>
      <c r="L132" s="105"/>
      <c r="M132" s="105"/>
      <c r="N132" s="105"/>
      <c r="O132" s="105"/>
      <c r="P132" s="105"/>
      <c r="Q132" s="105"/>
      <c r="R132" s="105"/>
      <c r="S132" s="105"/>
    </row>
    <row r="133" spans="1:19" ht="32.1" customHeight="1">
      <c r="A133" s="89"/>
      <c r="B133" s="104"/>
      <c r="C133" s="15"/>
      <c r="D133" s="372"/>
      <c r="E133" s="105"/>
      <c r="F133" s="105"/>
      <c r="G133" s="105"/>
      <c r="H133" s="105"/>
      <c r="I133" s="105"/>
      <c r="J133" s="105"/>
      <c r="K133" s="105"/>
      <c r="L133" s="105"/>
      <c r="M133" s="105"/>
      <c r="N133" s="105"/>
      <c r="O133" s="105"/>
      <c r="P133" s="105"/>
      <c r="Q133" s="105"/>
      <c r="R133" s="105"/>
      <c r="S133" s="105"/>
    </row>
    <row r="134" spans="1:19" ht="32.1" customHeight="1">
      <c r="A134" s="89"/>
      <c r="B134" s="104"/>
      <c r="C134" s="15"/>
      <c r="D134" s="372"/>
      <c r="E134" s="105"/>
      <c r="F134" s="105"/>
      <c r="G134" s="105"/>
      <c r="H134" s="105"/>
      <c r="I134" s="105"/>
      <c r="J134" s="105"/>
      <c r="K134" s="105"/>
      <c r="L134" s="105"/>
      <c r="M134" s="105"/>
      <c r="N134" s="105"/>
      <c r="O134" s="105"/>
      <c r="P134" s="105"/>
      <c r="Q134" s="105"/>
      <c r="R134" s="105"/>
      <c r="S134" s="105"/>
    </row>
    <row r="135" spans="1:19" ht="32.1" customHeight="1">
      <c r="A135" s="89"/>
      <c r="B135" s="104"/>
      <c r="C135" s="15"/>
      <c r="D135" s="372"/>
      <c r="E135" s="105"/>
      <c r="F135" s="105"/>
      <c r="G135" s="105"/>
      <c r="H135" s="105"/>
      <c r="I135" s="105"/>
      <c r="J135" s="105"/>
      <c r="K135" s="105"/>
      <c r="L135" s="105"/>
      <c r="M135" s="105"/>
      <c r="N135" s="105"/>
      <c r="O135" s="105"/>
      <c r="P135" s="105"/>
      <c r="Q135" s="105"/>
      <c r="R135" s="105"/>
      <c r="S135" s="105"/>
    </row>
    <row r="136" spans="1:19" ht="32.1" customHeight="1">
      <c r="A136" s="89"/>
      <c r="B136" s="104"/>
      <c r="C136" s="15"/>
      <c r="D136" s="372"/>
      <c r="E136" s="105"/>
      <c r="F136" s="105"/>
      <c r="G136" s="105"/>
      <c r="H136" s="105"/>
      <c r="I136" s="105"/>
      <c r="J136" s="105"/>
      <c r="K136" s="105"/>
      <c r="L136" s="105"/>
      <c r="M136" s="105"/>
      <c r="N136" s="105"/>
      <c r="O136" s="105"/>
      <c r="P136" s="105"/>
      <c r="Q136" s="105"/>
      <c r="R136" s="105"/>
      <c r="S136" s="105"/>
    </row>
    <row r="137" spans="1:19" ht="32.1" customHeight="1">
      <c r="A137" s="89"/>
      <c r="B137" s="104"/>
      <c r="C137" s="15"/>
      <c r="D137" s="372"/>
      <c r="E137" s="105"/>
      <c r="F137" s="105"/>
      <c r="G137" s="105"/>
      <c r="H137" s="105"/>
      <c r="I137" s="105"/>
      <c r="J137" s="105"/>
      <c r="K137" s="105"/>
      <c r="L137" s="105"/>
      <c r="M137" s="105"/>
      <c r="N137" s="105"/>
      <c r="O137" s="105"/>
      <c r="P137" s="105"/>
      <c r="Q137" s="105"/>
      <c r="R137" s="105"/>
      <c r="S137" s="105"/>
    </row>
    <row r="138" spans="1:19" ht="32.1" customHeight="1">
      <c r="A138" s="89"/>
      <c r="B138" s="104"/>
      <c r="C138" s="15"/>
      <c r="D138" s="372"/>
      <c r="E138" s="105"/>
      <c r="F138" s="105"/>
      <c r="G138" s="105"/>
      <c r="H138" s="105"/>
      <c r="I138" s="105"/>
      <c r="J138" s="105"/>
      <c r="K138" s="105"/>
      <c r="L138" s="105"/>
      <c r="M138" s="105"/>
      <c r="N138" s="105"/>
      <c r="O138" s="105"/>
      <c r="P138" s="105"/>
      <c r="Q138" s="105"/>
      <c r="R138" s="105"/>
      <c r="S138" s="105"/>
    </row>
    <row r="139" spans="1:19" ht="32.1" customHeight="1">
      <c r="A139" s="89"/>
      <c r="B139" s="104"/>
      <c r="C139" s="15"/>
      <c r="D139" s="372"/>
      <c r="E139" s="105"/>
      <c r="F139" s="105"/>
      <c r="G139" s="105"/>
      <c r="H139" s="105"/>
      <c r="I139" s="105"/>
      <c r="J139" s="105"/>
      <c r="K139" s="105"/>
      <c r="L139" s="105"/>
      <c r="M139" s="105"/>
      <c r="N139" s="105"/>
      <c r="O139" s="105"/>
      <c r="P139" s="105"/>
      <c r="Q139" s="105"/>
      <c r="R139" s="105"/>
      <c r="S139" s="105"/>
    </row>
    <row r="140" spans="1:19" ht="32.1" customHeight="1">
      <c r="A140" s="89"/>
      <c r="B140" s="104"/>
      <c r="C140" s="15"/>
      <c r="D140" s="372"/>
      <c r="E140" s="105"/>
      <c r="F140" s="105"/>
      <c r="G140" s="105"/>
      <c r="H140" s="105"/>
      <c r="I140" s="105"/>
      <c r="J140" s="105"/>
      <c r="K140" s="105"/>
      <c r="L140" s="105"/>
      <c r="M140" s="105"/>
      <c r="N140" s="105"/>
      <c r="O140" s="105"/>
      <c r="P140" s="105"/>
      <c r="Q140" s="105"/>
      <c r="R140" s="105"/>
      <c r="S140" s="105"/>
    </row>
    <row r="141" spans="1:19" ht="32.1" customHeight="1">
      <c r="A141" s="89"/>
      <c r="B141" s="104"/>
      <c r="C141" s="15"/>
      <c r="D141" s="372"/>
      <c r="E141" s="105"/>
      <c r="F141" s="105"/>
      <c r="G141" s="105"/>
      <c r="H141" s="105"/>
      <c r="I141" s="105"/>
      <c r="J141" s="105"/>
      <c r="K141" s="105"/>
      <c r="L141" s="105"/>
      <c r="M141" s="105"/>
      <c r="N141" s="105"/>
      <c r="O141" s="105"/>
      <c r="P141" s="105"/>
      <c r="Q141" s="105"/>
      <c r="R141" s="105"/>
      <c r="S141" s="105"/>
    </row>
    <row r="142" spans="1:19" ht="32.1" customHeight="1">
      <c r="A142" s="89"/>
      <c r="B142" s="104"/>
      <c r="C142" s="15"/>
      <c r="D142" s="372"/>
      <c r="E142" s="105"/>
      <c r="F142" s="105"/>
      <c r="G142" s="105"/>
      <c r="H142" s="105"/>
      <c r="I142" s="105"/>
      <c r="J142" s="105"/>
      <c r="K142" s="105"/>
      <c r="L142" s="105"/>
      <c r="M142" s="105"/>
      <c r="N142" s="105"/>
      <c r="O142" s="105"/>
      <c r="P142" s="105"/>
      <c r="Q142" s="105"/>
      <c r="R142" s="105"/>
      <c r="S142" s="105"/>
    </row>
    <row r="143" spans="1:19" ht="32.1" customHeight="1">
      <c r="A143" s="89"/>
      <c r="B143" s="104"/>
      <c r="C143" s="15"/>
      <c r="D143" s="372"/>
      <c r="E143" s="105"/>
      <c r="F143" s="105"/>
      <c r="G143" s="105"/>
      <c r="H143" s="105"/>
      <c r="I143" s="105"/>
      <c r="J143" s="105"/>
      <c r="K143" s="105"/>
      <c r="L143" s="105"/>
      <c r="M143" s="105"/>
      <c r="N143" s="105"/>
      <c r="O143" s="105"/>
      <c r="P143" s="105"/>
      <c r="Q143" s="105"/>
      <c r="R143" s="105"/>
      <c r="S143" s="105"/>
    </row>
    <row r="144" spans="1:19" ht="32.1" customHeight="1">
      <c r="A144" s="89"/>
      <c r="B144" s="104"/>
      <c r="C144" s="15"/>
      <c r="D144" s="372"/>
      <c r="E144" s="105"/>
      <c r="F144" s="105"/>
      <c r="G144" s="105"/>
      <c r="H144" s="105"/>
      <c r="I144" s="105"/>
      <c r="J144" s="105"/>
      <c r="K144" s="105"/>
      <c r="L144" s="105"/>
      <c r="M144" s="105"/>
      <c r="N144" s="105"/>
      <c r="O144" s="105"/>
      <c r="P144" s="105"/>
      <c r="Q144" s="105"/>
      <c r="R144" s="105"/>
      <c r="S144" s="105"/>
    </row>
    <row r="145" spans="1:19" ht="32.1" customHeight="1">
      <c r="A145" s="89"/>
      <c r="B145" s="104"/>
      <c r="C145" s="15"/>
      <c r="D145" s="372"/>
      <c r="E145" s="105"/>
      <c r="F145" s="105"/>
      <c r="G145" s="105"/>
      <c r="H145" s="105"/>
      <c r="I145" s="105"/>
      <c r="J145" s="105"/>
      <c r="K145" s="105"/>
      <c r="L145" s="105"/>
      <c r="M145" s="105"/>
      <c r="N145" s="105"/>
      <c r="O145" s="105"/>
      <c r="P145" s="105"/>
      <c r="Q145" s="105"/>
      <c r="R145" s="105"/>
      <c r="S145" s="105"/>
    </row>
    <row r="146" spans="1:19" ht="32.1" customHeight="1">
      <c r="A146" s="89"/>
      <c r="B146" s="104"/>
      <c r="C146" s="15"/>
      <c r="D146" s="372"/>
      <c r="E146" s="105"/>
      <c r="F146" s="105"/>
      <c r="G146" s="105"/>
      <c r="H146" s="105"/>
      <c r="I146" s="105"/>
      <c r="J146" s="105"/>
      <c r="K146" s="105"/>
      <c r="L146" s="105"/>
      <c r="M146" s="105"/>
      <c r="N146" s="105"/>
      <c r="O146" s="105"/>
      <c r="P146" s="105"/>
      <c r="Q146" s="105"/>
      <c r="R146" s="105"/>
      <c r="S146" s="105"/>
    </row>
    <row r="147" spans="1:19" ht="32.1" customHeight="1">
      <c r="A147" s="89"/>
      <c r="B147" s="104"/>
      <c r="C147" s="15"/>
      <c r="D147" s="372"/>
      <c r="E147" s="105"/>
      <c r="F147" s="105"/>
      <c r="G147" s="105"/>
      <c r="H147" s="105"/>
      <c r="I147" s="105"/>
      <c r="J147" s="105"/>
      <c r="K147" s="105"/>
      <c r="L147" s="105"/>
      <c r="M147" s="105"/>
      <c r="N147" s="105"/>
      <c r="O147" s="105"/>
      <c r="P147" s="105"/>
      <c r="Q147" s="105"/>
      <c r="R147" s="105"/>
      <c r="S147" s="105"/>
    </row>
    <row r="148" spans="1:19" ht="32.1" customHeight="1">
      <c r="A148" s="89"/>
      <c r="B148" s="104"/>
      <c r="C148" s="15"/>
      <c r="D148" s="372"/>
      <c r="E148" s="105"/>
      <c r="F148" s="105"/>
      <c r="G148" s="105"/>
      <c r="H148" s="105"/>
      <c r="I148" s="105"/>
      <c r="J148" s="105"/>
      <c r="K148" s="105"/>
      <c r="L148" s="105"/>
      <c r="M148" s="105"/>
      <c r="N148" s="105"/>
      <c r="O148" s="105"/>
      <c r="P148" s="105"/>
      <c r="Q148" s="105"/>
      <c r="R148" s="105"/>
      <c r="S148" s="105"/>
    </row>
    <row r="149" spans="1:19" ht="32.1" customHeight="1">
      <c r="A149" s="89"/>
      <c r="B149" s="104"/>
      <c r="C149" s="15"/>
      <c r="D149" s="372"/>
      <c r="E149" s="105"/>
      <c r="F149" s="105"/>
      <c r="G149" s="105"/>
      <c r="H149" s="105"/>
      <c r="I149" s="105"/>
      <c r="J149" s="105"/>
      <c r="K149" s="105"/>
      <c r="L149" s="105"/>
      <c r="M149" s="105"/>
      <c r="N149" s="105"/>
      <c r="O149" s="105"/>
      <c r="P149" s="105"/>
      <c r="Q149" s="105"/>
      <c r="R149" s="105"/>
      <c r="S149" s="105"/>
    </row>
    <row r="150" spans="1:19" ht="32.1" customHeight="1">
      <c r="A150" s="89"/>
      <c r="B150" s="104"/>
      <c r="C150" s="15"/>
      <c r="D150" s="372"/>
      <c r="E150" s="105"/>
      <c r="F150" s="105"/>
      <c r="G150" s="105"/>
      <c r="H150" s="105"/>
      <c r="I150" s="105"/>
      <c r="J150" s="105"/>
      <c r="K150" s="105"/>
      <c r="L150" s="105"/>
      <c r="M150" s="105"/>
      <c r="N150" s="105"/>
      <c r="O150" s="105"/>
      <c r="P150" s="105"/>
      <c r="Q150" s="105"/>
      <c r="R150" s="105"/>
      <c r="S150" s="105"/>
    </row>
    <row r="151" spans="1:19" ht="32.1" customHeight="1">
      <c r="A151" s="89"/>
      <c r="B151" s="104"/>
      <c r="C151" s="15"/>
      <c r="D151" s="372"/>
      <c r="E151" s="105"/>
      <c r="F151" s="105"/>
      <c r="G151" s="105"/>
      <c r="H151" s="105"/>
      <c r="I151" s="105"/>
      <c r="J151" s="105"/>
      <c r="K151" s="105"/>
      <c r="L151" s="105"/>
      <c r="M151" s="105"/>
      <c r="N151" s="105"/>
      <c r="O151" s="105"/>
      <c r="P151" s="105"/>
      <c r="Q151" s="105"/>
      <c r="R151" s="105"/>
      <c r="S151" s="105"/>
    </row>
    <row r="152" spans="1:19" ht="32.1" customHeight="1">
      <c r="A152" s="89"/>
      <c r="B152" s="104"/>
      <c r="C152" s="15"/>
      <c r="D152" s="372"/>
      <c r="E152" s="105"/>
      <c r="F152" s="105"/>
      <c r="G152" s="105"/>
      <c r="H152" s="105"/>
      <c r="I152" s="105"/>
      <c r="J152" s="105"/>
      <c r="K152" s="105"/>
      <c r="L152" s="105"/>
      <c r="M152" s="105"/>
      <c r="N152" s="105"/>
      <c r="O152" s="105"/>
      <c r="P152" s="105"/>
      <c r="Q152" s="105"/>
      <c r="R152" s="105"/>
      <c r="S152" s="105"/>
    </row>
    <row r="153" spans="1:19" ht="32.1" customHeight="1">
      <c r="A153" s="89"/>
      <c r="B153" s="104"/>
      <c r="C153" s="15"/>
      <c r="D153" s="372"/>
      <c r="E153" s="105"/>
      <c r="F153" s="105"/>
      <c r="G153" s="105"/>
      <c r="H153" s="105"/>
      <c r="I153" s="105"/>
      <c r="J153" s="105"/>
      <c r="K153" s="105"/>
      <c r="L153" s="105"/>
      <c r="M153" s="105"/>
      <c r="N153" s="105"/>
      <c r="O153" s="105"/>
      <c r="P153" s="105"/>
      <c r="Q153" s="105"/>
      <c r="R153" s="105"/>
      <c r="S153" s="105"/>
    </row>
    <row r="154" spans="1:19" ht="32.1" customHeight="1">
      <c r="A154" s="89"/>
      <c r="B154" s="104"/>
      <c r="C154" s="15"/>
      <c r="D154" s="372"/>
      <c r="E154" s="105"/>
      <c r="F154" s="105"/>
      <c r="G154" s="105"/>
      <c r="H154" s="105"/>
      <c r="I154" s="105"/>
      <c r="J154" s="105"/>
      <c r="K154" s="105"/>
      <c r="L154" s="105"/>
      <c r="M154" s="105"/>
      <c r="N154" s="105"/>
      <c r="O154" s="105"/>
      <c r="P154" s="105"/>
      <c r="Q154" s="105"/>
      <c r="R154" s="105"/>
      <c r="S154" s="105"/>
    </row>
    <row r="155" spans="1:19" ht="32.1" customHeight="1">
      <c r="A155" s="89"/>
      <c r="B155" s="104"/>
      <c r="C155" s="15"/>
      <c r="D155" s="372"/>
      <c r="E155" s="105"/>
      <c r="F155" s="105"/>
      <c r="G155" s="105"/>
      <c r="H155" s="105"/>
      <c r="I155" s="105"/>
      <c r="J155" s="105"/>
      <c r="K155" s="105"/>
      <c r="L155" s="105"/>
      <c r="M155" s="105"/>
      <c r="N155" s="105"/>
      <c r="O155" s="105"/>
      <c r="P155" s="105"/>
      <c r="Q155" s="105"/>
      <c r="R155" s="105"/>
      <c r="S155" s="105"/>
    </row>
    <row r="156" spans="1:19" ht="32.1" customHeight="1">
      <c r="A156" s="89"/>
      <c r="B156" s="104"/>
      <c r="C156" s="15"/>
      <c r="D156" s="372"/>
      <c r="E156" s="105"/>
      <c r="F156" s="105"/>
      <c r="G156" s="105"/>
      <c r="H156" s="105"/>
      <c r="I156" s="105"/>
      <c r="J156" s="105"/>
      <c r="K156" s="105"/>
      <c r="L156" s="105"/>
      <c r="M156" s="105"/>
      <c r="N156" s="105"/>
      <c r="O156" s="105"/>
      <c r="P156" s="105"/>
      <c r="Q156" s="105"/>
      <c r="R156" s="105"/>
      <c r="S156" s="105"/>
    </row>
    <row r="157" spans="1:19" ht="32.1" customHeight="1">
      <c r="A157" s="89"/>
      <c r="B157" s="104"/>
      <c r="C157" s="15"/>
      <c r="D157" s="372"/>
      <c r="E157" s="105"/>
      <c r="F157" s="105"/>
      <c r="G157" s="105"/>
      <c r="H157" s="105"/>
      <c r="I157" s="105"/>
      <c r="J157" s="105"/>
      <c r="K157" s="105"/>
      <c r="L157" s="105"/>
      <c r="M157" s="105"/>
      <c r="N157" s="105"/>
      <c r="O157" s="105"/>
      <c r="P157" s="105"/>
      <c r="Q157" s="105"/>
      <c r="R157" s="105"/>
      <c r="S157" s="105"/>
    </row>
    <row r="158" spans="1:19" ht="32.1" customHeight="1">
      <c r="A158" s="89"/>
      <c r="B158" s="104"/>
      <c r="C158" s="15"/>
      <c r="D158" s="372"/>
      <c r="E158" s="105"/>
      <c r="F158" s="105"/>
      <c r="G158" s="105"/>
      <c r="H158" s="105"/>
      <c r="I158" s="105"/>
      <c r="J158" s="105"/>
      <c r="K158" s="105"/>
      <c r="L158" s="105"/>
      <c r="M158" s="105"/>
      <c r="N158" s="105"/>
      <c r="O158" s="105"/>
      <c r="P158" s="105"/>
      <c r="Q158" s="105"/>
      <c r="R158" s="105"/>
      <c r="S158" s="105"/>
    </row>
    <row r="159" spans="1:19" ht="32.1" customHeight="1">
      <c r="A159" s="89"/>
      <c r="B159" s="104"/>
      <c r="C159" s="15"/>
      <c r="D159" s="372"/>
      <c r="E159" s="105"/>
      <c r="F159" s="105"/>
      <c r="G159" s="105"/>
      <c r="H159" s="105"/>
      <c r="I159" s="105"/>
      <c r="J159" s="105"/>
      <c r="K159" s="105"/>
      <c r="L159" s="105"/>
      <c r="M159" s="105"/>
      <c r="N159" s="105"/>
      <c r="O159" s="105"/>
      <c r="P159" s="105"/>
      <c r="Q159" s="105"/>
      <c r="R159" s="105"/>
      <c r="S159" s="105"/>
    </row>
    <row r="160" spans="1:19" ht="32.1" customHeight="1">
      <c r="A160" s="89"/>
      <c r="B160" s="104"/>
      <c r="C160" s="15"/>
      <c r="D160" s="372"/>
      <c r="E160" s="105"/>
      <c r="F160" s="105"/>
      <c r="G160" s="105"/>
      <c r="H160" s="105"/>
      <c r="I160" s="105"/>
      <c r="J160" s="105"/>
      <c r="K160" s="105"/>
      <c r="L160" s="105"/>
      <c r="M160" s="105"/>
      <c r="N160" s="105"/>
      <c r="O160" s="105"/>
      <c r="P160" s="105"/>
      <c r="Q160" s="105"/>
      <c r="R160" s="105"/>
      <c r="S160" s="105"/>
    </row>
    <row r="161" spans="1:19" ht="32.1" customHeight="1">
      <c r="A161" s="89"/>
      <c r="B161" s="104"/>
      <c r="C161" s="15"/>
      <c r="D161" s="372"/>
      <c r="E161" s="105"/>
      <c r="F161" s="105"/>
      <c r="G161" s="105"/>
      <c r="H161" s="105"/>
      <c r="I161" s="105"/>
      <c r="J161" s="105"/>
      <c r="K161" s="105"/>
      <c r="L161" s="105"/>
      <c r="M161" s="105"/>
      <c r="N161" s="105"/>
      <c r="O161" s="105"/>
      <c r="P161" s="105"/>
      <c r="Q161" s="105"/>
      <c r="R161" s="105"/>
      <c r="S161" s="105"/>
    </row>
    <row r="162" spans="1:19" ht="32.1" customHeight="1">
      <c r="A162" s="89"/>
      <c r="B162" s="104"/>
      <c r="C162" s="15"/>
      <c r="D162" s="372"/>
      <c r="E162" s="105"/>
      <c r="F162" s="105"/>
      <c r="G162" s="105"/>
      <c r="H162" s="105"/>
      <c r="I162" s="105"/>
      <c r="J162" s="105"/>
      <c r="K162" s="105"/>
      <c r="L162" s="105"/>
      <c r="M162" s="105"/>
      <c r="N162" s="105"/>
      <c r="O162" s="105"/>
      <c r="P162" s="105"/>
      <c r="Q162" s="105"/>
      <c r="R162" s="105"/>
      <c r="S162" s="105"/>
    </row>
    <row r="163" spans="1:19" ht="32.1" customHeight="1">
      <c r="A163" s="89"/>
      <c r="B163" s="104"/>
      <c r="C163" s="15"/>
      <c r="D163" s="372"/>
      <c r="E163" s="105"/>
      <c r="F163" s="105"/>
      <c r="G163" s="105"/>
      <c r="H163" s="105"/>
      <c r="I163" s="105"/>
      <c r="J163" s="105"/>
      <c r="K163" s="105"/>
      <c r="L163" s="105"/>
      <c r="M163" s="105"/>
      <c r="N163" s="105"/>
      <c r="O163" s="105"/>
      <c r="P163" s="105"/>
      <c r="Q163" s="105"/>
      <c r="R163" s="105"/>
      <c r="S163" s="105"/>
    </row>
    <row r="164" spans="1:19" ht="32.1" customHeight="1">
      <c r="A164" s="89"/>
      <c r="B164" s="104"/>
      <c r="C164" s="15"/>
      <c r="D164" s="372"/>
      <c r="E164" s="105"/>
      <c r="F164" s="105"/>
      <c r="G164" s="105"/>
      <c r="H164" s="105"/>
      <c r="I164" s="105"/>
      <c r="J164" s="105"/>
      <c r="K164" s="105"/>
      <c r="L164" s="105"/>
      <c r="M164" s="105"/>
      <c r="N164" s="105"/>
      <c r="O164" s="105"/>
      <c r="P164" s="105"/>
      <c r="Q164" s="105"/>
      <c r="R164" s="105"/>
      <c r="S164" s="105"/>
    </row>
    <row r="165" spans="1:19" ht="32.1" customHeight="1">
      <c r="A165" s="89"/>
      <c r="B165" s="104"/>
      <c r="C165" s="15"/>
      <c r="D165" s="372"/>
      <c r="E165" s="105"/>
      <c r="F165" s="105"/>
      <c r="G165" s="105"/>
      <c r="H165" s="105"/>
      <c r="I165" s="105"/>
      <c r="J165" s="105"/>
      <c r="K165" s="105"/>
      <c r="L165" s="105"/>
      <c r="M165" s="105"/>
      <c r="N165" s="105"/>
      <c r="O165" s="105"/>
      <c r="P165" s="105"/>
      <c r="Q165" s="105"/>
      <c r="R165" s="105"/>
      <c r="S165" s="105"/>
    </row>
    <row r="166" spans="1:19" ht="32.1" customHeight="1">
      <c r="A166" s="89"/>
      <c r="B166" s="104"/>
      <c r="C166" s="15"/>
      <c r="D166" s="372"/>
      <c r="E166" s="105"/>
      <c r="F166" s="105"/>
      <c r="G166" s="105"/>
      <c r="H166" s="105"/>
      <c r="I166" s="105"/>
      <c r="J166" s="105"/>
      <c r="K166" s="105"/>
      <c r="L166" s="105"/>
      <c r="M166" s="105"/>
      <c r="N166" s="105"/>
      <c r="O166" s="105"/>
      <c r="P166" s="105"/>
      <c r="Q166" s="105"/>
      <c r="R166" s="105"/>
      <c r="S166" s="105"/>
    </row>
    <row r="167" spans="1:19" ht="32.1" customHeight="1">
      <c r="A167" s="89"/>
      <c r="B167" s="104"/>
      <c r="C167" s="15"/>
      <c r="D167" s="372"/>
      <c r="E167" s="105"/>
      <c r="F167" s="105"/>
      <c r="G167" s="105"/>
      <c r="H167" s="105"/>
      <c r="I167" s="105"/>
      <c r="J167" s="105"/>
      <c r="K167" s="105"/>
      <c r="L167" s="105"/>
      <c r="M167" s="105"/>
      <c r="N167" s="105"/>
      <c r="O167" s="105"/>
      <c r="P167" s="105"/>
      <c r="Q167" s="105"/>
      <c r="R167" s="105"/>
      <c r="S167" s="105"/>
    </row>
    <row r="168" spans="1:19" ht="32.1" customHeight="1">
      <c r="A168" s="89"/>
      <c r="B168" s="104"/>
      <c r="C168" s="15"/>
      <c r="D168" s="372"/>
      <c r="E168" s="105"/>
      <c r="F168" s="105"/>
      <c r="G168" s="105"/>
      <c r="H168" s="105"/>
      <c r="I168" s="105"/>
      <c r="J168" s="105"/>
      <c r="K168" s="105"/>
      <c r="L168" s="105"/>
      <c r="M168" s="105"/>
      <c r="N168" s="105"/>
      <c r="O168" s="105"/>
      <c r="P168" s="105"/>
      <c r="Q168" s="105"/>
      <c r="R168" s="105"/>
      <c r="S168" s="105"/>
    </row>
    <row r="169" spans="1:19" ht="32.1" customHeight="1">
      <c r="A169" s="89"/>
      <c r="B169" s="104"/>
      <c r="C169" s="15"/>
      <c r="D169" s="372"/>
      <c r="E169" s="105"/>
      <c r="F169" s="105"/>
      <c r="G169" s="105"/>
      <c r="H169" s="105"/>
      <c r="I169" s="105"/>
      <c r="J169" s="105"/>
      <c r="K169" s="105"/>
      <c r="L169" s="105"/>
      <c r="M169" s="105"/>
      <c r="N169" s="105"/>
      <c r="O169" s="105"/>
      <c r="P169" s="105"/>
      <c r="Q169" s="105"/>
      <c r="R169" s="105"/>
      <c r="S169" s="105"/>
    </row>
    <row r="170" spans="1:19" ht="32.1" customHeight="1">
      <c r="A170" s="89"/>
      <c r="B170" s="104"/>
      <c r="C170" s="15"/>
      <c r="D170" s="372"/>
      <c r="E170" s="105"/>
      <c r="F170" s="105"/>
      <c r="G170" s="105"/>
      <c r="H170" s="105"/>
      <c r="I170" s="105"/>
      <c r="J170" s="105"/>
      <c r="K170" s="105"/>
      <c r="L170" s="105"/>
      <c r="M170" s="105"/>
      <c r="N170" s="105"/>
      <c r="O170" s="105"/>
      <c r="P170" s="105"/>
      <c r="Q170" s="105"/>
      <c r="R170" s="105"/>
      <c r="S170" s="105"/>
    </row>
    <row r="171" spans="1:19" ht="32.1" customHeight="1">
      <c r="A171" s="89"/>
      <c r="B171" s="104"/>
      <c r="C171" s="15"/>
      <c r="D171" s="372"/>
      <c r="E171" s="105"/>
      <c r="F171" s="105"/>
      <c r="G171" s="105"/>
      <c r="H171" s="105"/>
      <c r="I171" s="105"/>
      <c r="J171" s="105"/>
      <c r="K171" s="105"/>
      <c r="L171" s="105"/>
      <c r="M171" s="105"/>
      <c r="N171" s="105"/>
      <c r="O171" s="105"/>
      <c r="P171" s="105"/>
      <c r="Q171" s="105"/>
      <c r="R171" s="105"/>
      <c r="S171" s="105"/>
    </row>
    <row r="172" spans="1:19" ht="32.1" customHeight="1">
      <c r="A172" s="89"/>
      <c r="B172" s="104"/>
      <c r="C172" s="15"/>
      <c r="D172" s="372"/>
      <c r="E172" s="105"/>
      <c r="F172" s="105"/>
      <c r="G172" s="105"/>
      <c r="H172" s="105"/>
      <c r="I172" s="105"/>
      <c r="J172" s="105"/>
      <c r="K172" s="105"/>
      <c r="L172" s="105"/>
      <c r="M172" s="105"/>
      <c r="N172" s="105"/>
      <c r="O172" s="105"/>
      <c r="P172" s="105"/>
      <c r="Q172" s="105"/>
      <c r="R172" s="105"/>
      <c r="S172" s="105"/>
    </row>
    <row r="173" spans="1:19" ht="32.1" customHeight="1">
      <c r="A173" s="89"/>
      <c r="B173" s="104"/>
      <c r="C173" s="15"/>
      <c r="D173" s="372"/>
      <c r="E173" s="105"/>
      <c r="F173" s="105"/>
      <c r="G173" s="105"/>
      <c r="H173" s="105"/>
      <c r="I173" s="105"/>
      <c r="J173" s="105"/>
      <c r="K173" s="105"/>
      <c r="L173" s="105"/>
      <c r="M173" s="105"/>
      <c r="N173" s="105"/>
      <c r="O173" s="105"/>
      <c r="P173" s="105"/>
      <c r="Q173" s="105"/>
      <c r="R173" s="105"/>
      <c r="S173" s="105"/>
    </row>
    <row r="174" spans="1:19" ht="32.1" customHeight="1">
      <c r="A174" s="89"/>
      <c r="B174" s="104"/>
      <c r="C174" s="15"/>
      <c r="D174" s="372"/>
      <c r="E174" s="105"/>
      <c r="F174" s="105"/>
      <c r="G174" s="105"/>
      <c r="H174" s="105"/>
      <c r="I174" s="105"/>
      <c r="J174" s="105"/>
      <c r="K174" s="105"/>
      <c r="L174" s="105"/>
      <c r="M174" s="105"/>
      <c r="N174" s="105"/>
      <c r="O174" s="105"/>
      <c r="P174" s="105"/>
      <c r="Q174" s="105"/>
      <c r="R174" s="105"/>
      <c r="S174" s="105"/>
    </row>
    <row r="175" spans="1:19" ht="32.1" customHeight="1">
      <c r="A175" s="89"/>
      <c r="B175" s="104"/>
      <c r="C175" s="15"/>
      <c r="D175" s="372"/>
      <c r="E175" s="105"/>
      <c r="F175" s="105"/>
      <c r="G175" s="105"/>
      <c r="H175" s="105"/>
      <c r="I175" s="105"/>
      <c r="J175" s="105"/>
      <c r="K175" s="105"/>
      <c r="L175" s="105"/>
      <c r="M175" s="105"/>
      <c r="N175" s="105"/>
      <c r="O175" s="105"/>
      <c r="P175" s="105"/>
      <c r="Q175" s="105"/>
      <c r="R175" s="105"/>
      <c r="S175" s="105"/>
    </row>
    <row r="176" spans="1:19" ht="32.1" customHeight="1">
      <c r="A176" s="89"/>
      <c r="B176" s="104"/>
      <c r="C176" s="15"/>
      <c r="D176" s="372"/>
      <c r="E176" s="105"/>
      <c r="F176" s="105"/>
      <c r="G176" s="105"/>
      <c r="H176" s="105"/>
      <c r="I176" s="105"/>
      <c r="J176" s="105"/>
      <c r="K176" s="105"/>
      <c r="L176" s="105"/>
      <c r="M176" s="105"/>
      <c r="N176" s="105"/>
      <c r="O176" s="105"/>
      <c r="P176" s="105"/>
      <c r="Q176" s="105"/>
      <c r="R176" s="105"/>
      <c r="S176" s="105"/>
    </row>
    <row r="177" spans="1:19" ht="32.1" customHeight="1">
      <c r="A177" s="89"/>
      <c r="B177" s="104"/>
      <c r="C177" s="15"/>
      <c r="D177" s="372"/>
      <c r="E177" s="105"/>
      <c r="F177" s="105"/>
      <c r="G177" s="105"/>
      <c r="H177" s="105"/>
      <c r="I177" s="105"/>
      <c r="J177" s="105"/>
      <c r="K177" s="105"/>
      <c r="L177" s="105"/>
      <c r="M177" s="105"/>
      <c r="N177" s="105"/>
      <c r="O177" s="105"/>
      <c r="P177" s="105"/>
      <c r="Q177" s="105"/>
      <c r="R177" s="105"/>
      <c r="S177" s="105"/>
    </row>
    <row r="178" spans="1:19" ht="32.1" customHeight="1">
      <c r="A178" s="89"/>
      <c r="B178" s="104"/>
      <c r="C178" s="15"/>
      <c r="D178" s="372"/>
      <c r="E178" s="105"/>
      <c r="F178" s="105"/>
      <c r="G178" s="105"/>
      <c r="H178" s="105"/>
      <c r="I178" s="105"/>
      <c r="J178" s="105"/>
      <c r="K178" s="105"/>
      <c r="L178" s="105"/>
      <c r="M178" s="105"/>
      <c r="N178" s="105"/>
      <c r="O178" s="105"/>
      <c r="P178" s="105"/>
      <c r="Q178" s="105"/>
      <c r="R178" s="105"/>
      <c r="S178" s="105"/>
    </row>
    <row r="179" spans="1:19" ht="32.1" customHeight="1">
      <c r="A179" s="89"/>
      <c r="B179" s="104"/>
      <c r="C179" s="15"/>
      <c r="D179" s="372"/>
      <c r="E179" s="105"/>
      <c r="F179" s="105"/>
      <c r="G179" s="105"/>
      <c r="H179" s="105"/>
      <c r="I179" s="105"/>
      <c r="J179" s="105"/>
      <c r="K179" s="105"/>
      <c r="L179" s="105"/>
      <c r="M179" s="105"/>
      <c r="N179" s="105"/>
      <c r="O179" s="105"/>
      <c r="P179" s="105"/>
      <c r="Q179" s="105"/>
      <c r="R179" s="105"/>
      <c r="S179" s="105"/>
    </row>
    <row r="180" spans="1:19" ht="32.1" customHeight="1">
      <c r="A180" s="89"/>
      <c r="B180" s="104"/>
      <c r="C180" s="15"/>
      <c r="D180" s="372"/>
      <c r="E180" s="105"/>
      <c r="F180" s="105"/>
      <c r="G180" s="105"/>
      <c r="H180" s="105"/>
      <c r="I180" s="105"/>
      <c r="J180" s="105"/>
      <c r="K180" s="105"/>
      <c r="L180" s="105"/>
      <c r="M180" s="105"/>
      <c r="N180" s="105"/>
      <c r="O180" s="105"/>
      <c r="P180" s="105"/>
      <c r="Q180" s="105"/>
      <c r="R180" s="105"/>
      <c r="S180" s="105"/>
    </row>
    <row r="181" spans="1:19" ht="32.1" customHeight="1">
      <c r="A181" s="89"/>
      <c r="B181" s="104"/>
      <c r="C181" s="15"/>
      <c r="D181" s="372"/>
      <c r="E181" s="105"/>
      <c r="F181" s="105"/>
      <c r="G181" s="105"/>
      <c r="H181" s="105"/>
      <c r="I181" s="105"/>
      <c r="J181" s="105"/>
      <c r="K181" s="105"/>
      <c r="L181" s="105"/>
      <c r="M181" s="105"/>
      <c r="N181" s="105"/>
      <c r="O181" s="105"/>
      <c r="P181" s="105"/>
      <c r="Q181" s="105"/>
      <c r="R181" s="105"/>
      <c r="S181" s="105"/>
    </row>
    <row r="182" spans="1:19" ht="32.1" customHeight="1">
      <c r="A182" s="89"/>
      <c r="B182" s="104"/>
      <c r="C182" s="15"/>
      <c r="D182" s="372"/>
      <c r="E182" s="105"/>
      <c r="F182" s="105"/>
      <c r="G182" s="105"/>
      <c r="H182" s="105"/>
      <c r="I182" s="105"/>
      <c r="J182" s="105"/>
      <c r="K182" s="105"/>
      <c r="L182" s="105"/>
      <c r="M182" s="105"/>
      <c r="N182" s="105"/>
      <c r="O182" s="105"/>
      <c r="P182" s="105"/>
      <c r="Q182" s="105"/>
      <c r="R182" s="105"/>
      <c r="S182" s="105"/>
    </row>
    <row r="183" spans="1:19" ht="32.1" customHeight="1">
      <c r="A183" s="89"/>
      <c r="B183" s="104"/>
      <c r="C183" s="15"/>
      <c r="D183" s="372"/>
      <c r="E183" s="105"/>
      <c r="F183" s="105"/>
      <c r="G183" s="105"/>
      <c r="H183" s="105"/>
      <c r="I183" s="105"/>
      <c r="J183" s="105"/>
      <c r="K183" s="105"/>
      <c r="L183" s="105"/>
      <c r="M183" s="105"/>
      <c r="N183" s="105"/>
      <c r="O183" s="105"/>
      <c r="P183" s="105"/>
      <c r="Q183" s="105"/>
      <c r="R183" s="105"/>
      <c r="S183" s="105"/>
    </row>
    <row r="184" spans="1:19" ht="32.1" customHeight="1">
      <c r="A184" s="89"/>
      <c r="B184" s="104"/>
      <c r="C184" s="15"/>
      <c r="D184" s="372"/>
      <c r="E184" s="105"/>
      <c r="F184" s="105"/>
      <c r="G184" s="105"/>
      <c r="H184" s="105"/>
      <c r="I184" s="105"/>
      <c r="J184" s="105"/>
      <c r="K184" s="105"/>
      <c r="L184" s="105"/>
      <c r="M184" s="105"/>
      <c r="N184" s="105"/>
      <c r="O184" s="105"/>
      <c r="P184" s="105"/>
      <c r="Q184" s="105"/>
      <c r="R184" s="105"/>
      <c r="S184" s="105"/>
    </row>
    <row r="185" spans="1:19" ht="32.1" customHeight="1">
      <c r="A185" s="89"/>
      <c r="B185" s="104"/>
      <c r="C185" s="15"/>
      <c r="D185" s="372"/>
      <c r="E185" s="105"/>
      <c r="F185" s="105"/>
      <c r="G185" s="105"/>
      <c r="H185" s="105"/>
      <c r="I185" s="105"/>
      <c r="J185" s="105"/>
      <c r="K185" s="105"/>
      <c r="L185" s="105"/>
      <c r="M185" s="105"/>
      <c r="N185" s="105"/>
      <c r="O185" s="105"/>
      <c r="P185" s="105"/>
      <c r="Q185" s="105"/>
      <c r="R185" s="105"/>
      <c r="S185" s="105"/>
    </row>
    <row r="186" spans="1:19" ht="32.1" customHeight="1">
      <c r="A186" s="89"/>
      <c r="B186" s="104"/>
      <c r="C186" s="15"/>
      <c r="D186" s="372"/>
      <c r="E186" s="105"/>
      <c r="F186" s="105"/>
      <c r="G186" s="105"/>
      <c r="H186" s="105"/>
      <c r="I186" s="105"/>
      <c r="J186" s="105"/>
      <c r="K186" s="105"/>
      <c r="L186" s="105"/>
      <c r="M186" s="105"/>
      <c r="N186" s="105"/>
      <c r="O186" s="105"/>
      <c r="P186" s="105"/>
      <c r="Q186" s="105"/>
      <c r="R186" s="105"/>
      <c r="S186" s="105"/>
    </row>
    <row r="187" spans="1:19" ht="32.1" customHeight="1">
      <c r="A187" s="89"/>
      <c r="B187" s="104"/>
      <c r="C187" s="15"/>
      <c r="D187" s="372"/>
      <c r="E187" s="105"/>
      <c r="F187" s="105"/>
      <c r="G187" s="105"/>
      <c r="H187" s="105"/>
      <c r="I187" s="105"/>
      <c r="J187" s="105"/>
      <c r="K187" s="105"/>
      <c r="L187" s="105"/>
      <c r="M187" s="105"/>
      <c r="N187" s="105"/>
      <c r="O187" s="105"/>
      <c r="P187" s="105"/>
      <c r="Q187" s="105"/>
      <c r="R187" s="105"/>
      <c r="S187" s="105"/>
    </row>
    <row r="188" spans="1:19" ht="32.1" customHeight="1">
      <c r="A188" s="89"/>
      <c r="B188" s="104"/>
      <c r="C188" s="15"/>
      <c r="D188" s="372"/>
      <c r="E188" s="105"/>
      <c r="F188" s="105"/>
      <c r="G188" s="105"/>
      <c r="H188" s="105"/>
      <c r="I188" s="105"/>
      <c r="J188" s="105"/>
      <c r="K188" s="105"/>
      <c r="L188" s="105"/>
      <c r="M188" s="105"/>
      <c r="N188" s="105"/>
      <c r="O188" s="105"/>
      <c r="P188" s="105"/>
      <c r="Q188" s="105"/>
      <c r="R188" s="105"/>
      <c r="S188" s="105"/>
    </row>
    <row r="189" spans="1:19" ht="32.1" customHeight="1">
      <c r="A189" s="89"/>
      <c r="B189" s="104"/>
      <c r="C189" s="15"/>
      <c r="D189" s="372"/>
      <c r="E189" s="105"/>
      <c r="F189" s="105"/>
      <c r="G189" s="105"/>
      <c r="H189" s="105"/>
      <c r="I189" s="105"/>
      <c r="J189" s="105"/>
      <c r="K189" s="105"/>
      <c r="L189" s="105"/>
      <c r="M189" s="105"/>
      <c r="N189" s="105"/>
      <c r="O189" s="105"/>
      <c r="P189" s="105"/>
      <c r="Q189" s="105"/>
      <c r="R189" s="105"/>
      <c r="S189" s="105"/>
    </row>
    <row r="190" spans="1:19" ht="32.1" customHeight="1">
      <c r="A190" s="89"/>
      <c r="B190" s="104"/>
      <c r="C190" s="15"/>
      <c r="D190" s="372"/>
      <c r="E190" s="105"/>
      <c r="F190" s="105"/>
      <c r="G190" s="105"/>
      <c r="H190" s="105"/>
      <c r="I190" s="105"/>
      <c r="J190" s="105"/>
      <c r="K190" s="105"/>
      <c r="L190" s="105"/>
      <c r="M190" s="105"/>
      <c r="N190" s="105"/>
      <c r="O190" s="105"/>
      <c r="P190" s="105"/>
      <c r="Q190" s="105"/>
      <c r="R190" s="105"/>
      <c r="S190" s="105"/>
    </row>
    <row r="191" spans="1:19" ht="32.1" customHeight="1">
      <c r="A191" s="89"/>
      <c r="B191" s="104"/>
      <c r="C191" s="15"/>
      <c r="D191" s="372"/>
      <c r="E191" s="105"/>
      <c r="F191" s="105"/>
      <c r="G191" s="105"/>
      <c r="H191" s="105"/>
      <c r="I191" s="105"/>
      <c r="J191" s="105"/>
      <c r="K191" s="105"/>
      <c r="L191" s="105"/>
      <c r="M191" s="105"/>
      <c r="N191" s="105"/>
      <c r="O191" s="105"/>
      <c r="P191" s="105"/>
      <c r="Q191" s="105"/>
      <c r="R191" s="105"/>
      <c r="S191" s="105"/>
    </row>
    <row r="192" spans="1:19" ht="32.1" customHeight="1">
      <c r="A192" s="89"/>
      <c r="B192" s="104"/>
      <c r="C192" s="15"/>
      <c r="D192" s="372"/>
      <c r="E192" s="105"/>
      <c r="F192" s="105"/>
      <c r="G192" s="105"/>
      <c r="H192" s="105"/>
      <c r="I192" s="105"/>
      <c r="J192" s="105"/>
      <c r="K192" s="105"/>
      <c r="L192" s="105"/>
      <c r="M192" s="105"/>
      <c r="N192" s="105"/>
      <c r="O192" s="105"/>
      <c r="P192" s="105"/>
      <c r="Q192" s="105"/>
      <c r="R192" s="105"/>
      <c r="S192" s="105"/>
    </row>
    <row r="193" spans="1:19" ht="32.1" customHeight="1">
      <c r="A193" s="89"/>
      <c r="B193" s="104"/>
      <c r="C193" s="15"/>
      <c r="D193" s="372"/>
      <c r="E193" s="105"/>
      <c r="F193" s="105"/>
      <c r="G193" s="105"/>
      <c r="H193" s="105"/>
      <c r="I193" s="105"/>
      <c r="J193" s="105"/>
      <c r="K193" s="105"/>
      <c r="L193" s="105"/>
      <c r="M193" s="105"/>
      <c r="N193" s="105"/>
      <c r="O193" s="105"/>
      <c r="P193" s="105"/>
      <c r="Q193" s="105"/>
      <c r="R193" s="105"/>
      <c r="S193" s="105"/>
    </row>
    <row r="194" spans="1:19" ht="32.1" customHeight="1">
      <c r="A194" s="89"/>
      <c r="B194" s="104"/>
      <c r="C194" s="15"/>
      <c r="D194" s="372"/>
      <c r="E194" s="105"/>
      <c r="F194" s="105"/>
      <c r="G194" s="105"/>
      <c r="H194" s="105"/>
      <c r="I194" s="105"/>
      <c r="J194" s="105"/>
      <c r="K194" s="105"/>
      <c r="L194" s="105"/>
      <c r="M194" s="105"/>
      <c r="N194" s="105"/>
      <c r="O194" s="105"/>
      <c r="P194" s="105"/>
      <c r="Q194" s="105"/>
      <c r="R194" s="105"/>
      <c r="S194" s="105"/>
    </row>
    <row r="195" spans="1:19" ht="32.1" customHeight="1">
      <c r="A195" s="89"/>
      <c r="B195" s="104"/>
      <c r="C195" s="15"/>
      <c r="D195" s="372"/>
      <c r="E195" s="105"/>
      <c r="F195" s="105"/>
      <c r="G195" s="105"/>
      <c r="H195" s="105"/>
      <c r="I195" s="105"/>
      <c r="J195" s="105"/>
      <c r="K195" s="105"/>
      <c r="L195" s="105"/>
      <c r="M195" s="105"/>
      <c r="N195" s="105"/>
      <c r="O195" s="105"/>
      <c r="P195" s="105"/>
      <c r="Q195" s="105"/>
      <c r="R195" s="105"/>
      <c r="S195" s="105"/>
    </row>
    <row r="196" spans="1:19" ht="32.1" customHeight="1">
      <c r="A196" s="89"/>
      <c r="B196" s="104"/>
      <c r="C196" s="15"/>
      <c r="D196" s="372"/>
      <c r="E196" s="105"/>
      <c r="F196" s="105"/>
      <c r="G196" s="105"/>
      <c r="H196" s="105"/>
      <c r="I196" s="105"/>
      <c r="J196" s="105"/>
      <c r="K196" s="105"/>
      <c r="L196" s="105"/>
      <c r="M196" s="105"/>
      <c r="N196" s="105"/>
      <c r="O196" s="105"/>
      <c r="P196" s="105"/>
      <c r="Q196" s="105"/>
      <c r="R196" s="105"/>
      <c r="S196" s="105"/>
    </row>
    <row r="197" spans="1:19" ht="32.1" customHeight="1">
      <c r="A197" s="89"/>
      <c r="B197" s="104"/>
      <c r="C197" s="15"/>
      <c r="D197" s="372"/>
      <c r="E197" s="105"/>
      <c r="F197" s="105"/>
      <c r="G197" s="105"/>
      <c r="H197" s="105"/>
      <c r="I197" s="105"/>
      <c r="J197" s="105"/>
      <c r="K197" s="105"/>
      <c r="L197" s="105"/>
      <c r="M197" s="105"/>
      <c r="N197" s="105"/>
      <c r="O197" s="105"/>
      <c r="P197" s="105"/>
      <c r="Q197" s="105"/>
      <c r="R197" s="105"/>
      <c r="S197" s="105"/>
    </row>
    <row r="198" spans="1:19" ht="32.1" customHeight="1">
      <c r="A198" s="89"/>
      <c r="B198" s="104"/>
      <c r="C198" s="15"/>
      <c r="D198" s="372"/>
      <c r="E198" s="105"/>
      <c r="F198" s="105"/>
      <c r="G198" s="105"/>
      <c r="H198" s="105"/>
      <c r="I198" s="105"/>
      <c r="J198" s="105"/>
      <c r="K198" s="105"/>
      <c r="L198" s="105"/>
      <c r="M198" s="105"/>
      <c r="N198" s="105"/>
      <c r="O198" s="105"/>
      <c r="P198" s="105"/>
      <c r="Q198" s="105"/>
      <c r="R198" s="105"/>
      <c r="S198" s="105"/>
    </row>
    <row r="199" spans="1:19" ht="12.75" customHeight="1">
      <c r="A199" s="89"/>
      <c r="B199" s="104"/>
      <c r="C199" s="15"/>
      <c r="D199" s="372"/>
      <c r="E199" s="105"/>
      <c r="F199" s="105"/>
      <c r="G199" s="105"/>
      <c r="H199" s="105"/>
      <c r="I199" s="105"/>
      <c r="J199" s="105"/>
      <c r="K199" s="105"/>
      <c r="L199" s="105"/>
      <c r="M199" s="105"/>
      <c r="N199" s="105"/>
      <c r="O199" s="105"/>
      <c r="P199" s="105"/>
      <c r="Q199" s="105"/>
      <c r="R199" s="105"/>
      <c r="S199" s="105"/>
    </row>
    <row r="200" spans="1:19" ht="12.75" customHeight="1">
      <c r="A200" s="89"/>
      <c r="B200" s="104"/>
      <c r="C200" s="15"/>
      <c r="D200" s="372"/>
      <c r="E200" s="105"/>
      <c r="F200" s="105"/>
      <c r="G200" s="105"/>
      <c r="H200" s="105"/>
      <c r="I200" s="105"/>
      <c r="J200" s="105"/>
      <c r="K200" s="105"/>
      <c r="L200" s="105"/>
      <c r="M200" s="105"/>
      <c r="N200" s="105"/>
      <c r="O200" s="105"/>
      <c r="P200" s="105"/>
      <c r="Q200" s="105"/>
      <c r="R200" s="105"/>
      <c r="S200" s="105"/>
    </row>
    <row r="201" spans="1:19" ht="12.75" customHeight="1">
      <c r="A201" s="89"/>
      <c r="B201" s="104"/>
      <c r="C201" s="15"/>
      <c r="D201" s="372"/>
      <c r="E201" s="105"/>
      <c r="F201" s="105"/>
      <c r="G201" s="105"/>
      <c r="H201" s="105"/>
      <c r="I201" s="105"/>
      <c r="J201" s="105"/>
      <c r="K201" s="105"/>
      <c r="L201" s="105"/>
      <c r="M201" s="105"/>
      <c r="N201" s="105"/>
      <c r="O201" s="105"/>
      <c r="P201" s="105"/>
      <c r="Q201" s="105"/>
      <c r="R201" s="105"/>
      <c r="S201" s="105"/>
    </row>
    <row r="202" spans="1:19" ht="12.75" customHeight="1">
      <c r="A202" s="89"/>
      <c r="B202" s="104"/>
      <c r="C202" s="15"/>
      <c r="D202" s="372"/>
      <c r="E202" s="105"/>
      <c r="F202" s="105"/>
      <c r="G202" s="105"/>
      <c r="H202" s="105"/>
      <c r="I202" s="105"/>
      <c r="J202" s="105"/>
      <c r="K202" s="105"/>
      <c r="L202" s="105"/>
      <c r="M202" s="105"/>
      <c r="N202" s="105"/>
      <c r="O202" s="105"/>
      <c r="P202" s="105"/>
      <c r="Q202" s="105"/>
      <c r="R202" s="105"/>
      <c r="S202" s="105"/>
    </row>
    <row r="203" spans="1:19" ht="12.75" customHeight="1">
      <c r="A203" s="89"/>
      <c r="B203" s="104"/>
      <c r="C203" s="15"/>
      <c r="D203" s="372"/>
      <c r="E203" s="105"/>
      <c r="F203" s="105"/>
      <c r="G203" s="105"/>
      <c r="H203" s="105"/>
      <c r="I203" s="105"/>
      <c r="J203" s="105"/>
      <c r="K203" s="105"/>
      <c r="L203" s="105"/>
      <c r="M203" s="105"/>
      <c r="N203" s="105"/>
      <c r="O203" s="105"/>
      <c r="P203" s="105"/>
      <c r="Q203" s="105"/>
      <c r="R203" s="105"/>
      <c r="S203" s="105"/>
    </row>
    <row r="204" spans="1:19" ht="12.75" customHeight="1">
      <c r="A204" s="89"/>
      <c r="B204" s="104"/>
      <c r="C204" s="15"/>
      <c r="D204" s="372"/>
      <c r="E204" s="105"/>
      <c r="F204" s="105"/>
      <c r="G204" s="105"/>
      <c r="H204" s="105"/>
      <c r="I204" s="105"/>
      <c r="J204" s="105"/>
      <c r="K204" s="105"/>
      <c r="L204" s="105"/>
      <c r="M204" s="105"/>
      <c r="N204" s="105"/>
      <c r="O204" s="105"/>
      <c r="P204" s="105"/>
      <c r="Q204" s="105"/>
      <c r="R204" s="105"/>
      <c r="S204" s="105"/>
    </row>
    <row r="205" spans="1:19" ht="12.75" customHeight="1">
      <c r="A205" s="89"/>
      <c r="B205" s="104"/>
      <c r="C205" s="15"/>
      <c r="D205" s="372"/>
      <c r="E205" s="105"/>
      <c r="F205" s="105"/>
      <c r="G205" s="105"/>
      <c r="H205" s="105"/>
      <c r="I205" s="105"/>
      <c r="J205" s="105"/>
      <c r="K205" s="105"/>
      <c r="L205" s="105"/>
      <c r="M205" s="105"/>
      <c r="N205" s="105"/>
      <c r="O205" s="105"/>
      <c r="P205" s="105"/>
      <c r="Q205" s="105"/>
      <c r="R205" s="105"/>
      <c r="S205" s="105"/>
    </row>
    <row r="206" spans="1:19" ht="12.75" customHeight="1">
      <c r="A206" s="89"/>
      <c r="B206" s="104"/>
      <c r="C206" s="15"/>
      <c r="D206" s="372"/>
      <c r="E206" s="105"/>
      <c r="F206" s="105"/>
      <c r="G206" s="105"/>
      <c r="H206" s="105"/>
      <c r="I206" s="105"/>
      <c r="J206" s="105"/>
      <c r="K206" s="105"/>
      <c r="L206" s="105"/>
      <c r="M206" s="105"/>
      <c r="N206" s="105"/>
      <c r="O206" s="105"/>
      <c r="P206" s="105"/>
      <c r="Q206" s="105"/>
      <c r="R206" s="105"/>
      <c r="S206" s="105"/>
    </row>
    <row r="207" spans="1:19" ht="12.75" customHeight="1">
      <c r="A207" s="89"/>
      <c r="B207" s="104"/>
      <c r="C207" s="15"/>
      <c r="D207" s="372"/>
      <c r="E207" s="105"/>
      <c r="F207" s="105"/>
      <c r="G207" s="105"/>
      <c r="H207" s="105"/>
      <c r="I207" s="105"/>
      <c r="J207" s="105"/>
      <c r="K207" s="105"/>
      <c r="L207" s="105"/>
      <c r="M207" s="105"/>
      <c r="N207" s="105"/>
      <c r="O207" s="105"/>
      <c r="P207" s="105"/>
      <c r="Q207" s="105"/>
      <c r="R207" s="105"/>
      <c r="S207" s="105"/>
    </row>
    <row r="208" spans="1:19" ht="12.75" customHeight="1">
      <c r="A208" s="89"/>
      <c r="B208" s="104"/>
      <c r="C208" s="15"/>
      <c r="D208" s="372"/>
      <c r="E208" s="105"/>
      <c r="F208" s="105"/>
      <c r="G208" s="105"/>
      <c r="H208" s="105"/>
      <c r="I208" s="105"/>
      <c r="J208" s="105"/>
      <c r="K208" s="105"/>
      <c r="L208" s="105"/>
      <c r="M208" s="105"/>
      <c r="N208" s="105"/>
      <c r="O208" s="105"/>
      <c r="P208" s="105"/>
      <c r="Q208" s="105"/>
      <c r="R208" s="105"/>
      <c r="S208" s="105"/>
    </row>
    <row r="209" spans="1:19" ht="12.75" customHeight="1">
      <c r="A209" s="89"/>
      <c r="B209" s="104"/>
      <c r="C209" s="15"/>
      <c r="D209" s="372"/>
      <c r="E209" s="105"/>
      <c r="F209" s="105"/>
      <c r="G209" s="105"/>
      <c r="H209" s="105"/>
      <c r="I209" s="105"/>
      <c r="J209" s="105"/>
      <c r="K209" s="105"/>
      <c r="L209" s="105"/>
      <c r="M209" s="105"/>
      <c r="N209" s="105"/>
      <c r="O209" s="105"/>
      <c r="P209" s="105"/>
      <c r="Q209" s="105"/>
      <c r="R209" s="105"/>
      <c r="S209" s="105"/>
    </row>
    <row r="210" spans="1:19" ht="12.75" customHeight="1">
      <c r="A210" s="89"/>
      <c r="B210" s="104"/>
      <c r="C210" s="15"/>
      <c r="D210" s="372"/>
      <c r="E210" s="105"/>
      <c r="F210" s="105"/>
      <c r="G210" s="105"/>
      <c r="H210" s="105"/>
      <c r="I210" s="105"/>
      <c r="J210" s="105"/>
      <c r="K210" s="105"/>
      <c r="L210" s="105"/>
      <c r="M210" s="105"/>
      <c r="N210" s="105"/>
      <c r="O210" s="105"/>
      <c r="P210" s="105"/>
      <c r="Q210" s="105"/>
      <c r="R210" s="105"/>
      <c r="S210" s="105"/>
    </row>
    <row r="211" spans="1:19" ht="12.75" customHeight="1">
      <c r="A211" s="89"/>
      <c r="B211" s="104"/>
      <c r="C211" s="15"/>
      <c r="D211" s="372"/>
      <c r="E211" s="105"/>
      <c r="F211" s="105"/>
      <c r="G211" s="105"/>
      <c r="H211" s="105"/>
      <c r="I211" s="105"/>
      <c r="J211" s="105"/>
      <c r="K211" s="105"/>
      <c r="L211" s="105"/>
      <c r="M211" s="105"/>
      <c r="N211" s="105"/>
      <c r="O211" s="105"/>
      <c r="P211" s="105"/>
      <c r="Q211" s="105"/>
      <c r="R211" s="105"/>
      <c r="S211" s="105"/>
    </row>
    <row r="212" spans="1:19" ht="12.75" customHeight="1">
      <c r="A212" s="89"/>
      <c r="B212" s="104"/>
      <c r="C212" s="15"/>
      <c r="D212" s="372"/>
      <c r="E212" s="105"/>
      <c r="F212" s="105"/>
      <c r="G212" s="105"/>
      <c r="H212" s="105"/>
      <c r="I212" s="105"/>
      <c r="J212" s="105"/>
      <c r="K212" s="105"/>
      <c r="L212" s="105"/>
      <c r="M212" s="105"/>
      <c r="N212" s="105"/>
      <c r="O212" s="105"/>
      <c r="P212" s="105"/>
      <c r="Q212" s="105"/>
      <c r="R212" s="105"/>
      <c r="S212" s="105"/>
    </row>
    <row r="213" spans="1:19" ht="12.75" customHeight="1">
      <c r="A213" s="89"/>
      <c r="B213" s="104"/>
      <c r="C213" s="15"/>
      <c r="D213" s="372"/>
      <c r="E213" s="105"/>
      <c r="F213" s="105"/>
      <c r="G213" s="105"/>
      <c r="H213" s="105"/>
      <c r="I213" s="105"/>
      <c r="J213" s="105"/>
      <c r="K213" s="105"/>
      <c r="L213" s="105"/>
      <c r="M213" s="105"/>
      <c r="N213" s="105"/>
      <c r="O213" s="105"/>
      <c r="P213" s="105"/>
      <c r="Q213" s="105"/>
      <c r="R213" s="105"/>
      <c r="S213" s="105"/>
    </row>
    <row r="214" spans="1:19" ht="12.75" customHeight="1">
      <c r="A214" s="89"/>
      <c r="B214" s="104"/>
      <c r="C214" s="15"/>
      <c r="D214" s="372"/>
      <c r="E214" s="105"/>
      <c r="F214" s="105"/>
      <c r="G214" s="105"/>
      <c r="H214" s="105"/>
      <c r="I214" s="105"/>
      <c r="J214" s="105"/>
      <c r="K214" s="105"/>
      <c r="L214" s="105"/>
      <c r="M214" s="105"/>
      <c r="N214" s="105"/>
      <c r="O214" s="105"/>
      <c r="P214" s="105"/>
      <c r="Q214" s="105"/>
      <c r="R214" s="105"/>
      <c r="S214" s="105"/>
    </row>
    <row r="215" spans="1:19" ht="12.75" customHeight="1">
      <c r="A215" s="89"/>
      <c r="B215" s="104"/>
      <c r="C215" s="15"/>
      <c r="D215" s="372"/>
      <c r="E215" s="105"/>
      <c r="F215" s="105"/>
      <c r="G215" s="105"/>
      <c r="H215" s="105"/>
      <c r="I215" s="105"/>
      <c r="J215" s="105"/>
      <c r="K215" s="105"/>
      <c r="L215" s="105"/>
      <c r="M215" s="105"/>
      <c r="N215" s="105"/>
      <c r="O215" s="105"/>
      <c r="P215" s="105"/>
      <c r="Q215" s="105"/>
      <c r="R215" s="105"/>
      <c r="S215" s="105"/>
    </row>
    <row r="216" spans="1:19" ht="12.75" customHeight="1">
      <c r="A216" s="89"/>
      <c r="B216" s="104"/>
      <c r="C216" s="15"/>
      <c r="D216" s="372"/>
      <c r="E216" s="105"/>
      <c r="F216" s="105"/>
      <c r="G216" s="105"/>
      <c r="H216" s="105"/>
      <c r="I216" s="105"/>
      <c r="J216" s="105"/>
      <c r="K216" s="105"/>
      <c r="L216" s="105"/>
      <c r="M216" s="105"/>
      <c r="N216" s="105"/>
      <c r="O216" s="105"/>
      <c r="P216" s="105"/>
      <c r="Q216" s="105"/>
      <c r="R216" s="105"/>
      <c r="S216" s="105"/>
    </row>
    <row r="217" spans="1:19" ht="12.75" customHeight="1">
      <c r="A217" s="89"/>
      <c r="B217" s="104"/>
      <c r="C217" s="15"/>
      <c r="D217" s="372"/>
      <c r="E217" s="105"/>
      <c r="F217" s="105"/>
      <c r="G217" s="105"/>
      <c r="H217" s="105"/>
      <c r="I217" s="105"/>
      <c r="J217" s="105"/>
      <c r="K217" s="105"/>
      <c r="L217" s="105"/>
      <c r="M217" s="105"/>
      <c r="N217" s="105"/>
      <c r="O217" s="105"/>
      <c r="P217" s="105"/>
      <c r="Q217" s="105"/>
      <c r="R217" s="105"/>
      <c r="S217" s="105"/>
    </row>
    <row r="218" spans="1:19" ht="12.75" customHeight="1">
      <c r="A218" s="89"/>
      <c r="B218" s="104"/>
      <c r="C218" s="15"/>
      <c r="D218" s="372"/>
      <c r="E218" s="105"/>
      <c r="F218" s="105"/>
      <c r="G218" s="105"/>
      <c r="H218" s="105"/>
      <c r="I218" s="105"/>
      <c r="J218" s="105"/>
      <c r="K218" s="105"/>
      <c r="L218" s="105"/>
      <c r="M218" s="105"/>
      <c r="N218" s="105"/>
      <c r="O218" s="105"/>
      <c r="P218" s="105"/>
      <c r="Q218" s="105"/>
      <c r="R218" s="105"/>
      <c r="S218" s="105"/>
    </row>
    <row r="219" spans="1:19" ht="12.75" customHeight="1">
      <c r="A219" s="89"/>
      <c r="B219" s="104"/>
      <c r="C219" s="15"/>
      <c r="D219" s="372"/>
      <c r="E219" s="105"/>
      <c r="F219" s="105"/>
      <c r="G219" s="105"/>
      <c r="H219" s="105"/>
      <c r="I219" s="105"/>
      <c r="J219" s="105"/>
      <c r="K219" s="105"/>
      <c r="L219" s="105"/>
      <c r="M219" s="105"/>
      <c r="N219" s="105"/>
      <c r="O219" s="105"/>
      <c r="P219" s="105"/>
      <c r="Q219" s="105"/>
      <c r="R219" s="105"/>
      <c r="S219" s="105"/>
    </row>
    <row r="220" spans="1:19" ht="12.75" customHeight="1">
      <c r="A220" s="89"/>
      <c r="B220" s="104"/>
      <c r="C220" s="15"/>
      <c r="D220" s="372"/>
      <c r="E220" s="105"/>
      <c r="F220" s="105"/>
      <c r="G220" s="105"/>
      <c r="H220" s="105"/>
      <c r="I220" s="105"/>
      <c r="J220" s="105"/>
      <c r="K220" s="105"/>
      <c r="L220" s="105"/>
      <c r="M220" s="105"/>
      <c r="N220" s="105"/>
      <c r="O220" s="105"/>
      <c r="P220" s="105"/>
      <c r="Q220" s="105"/>
      <c r="R220" s="105"/>
      <c r="S220" s="105"/>
    </row>
    <row r="221" spans="1:19" ht="12.75" customHeight="1">
      <c r="A221" s="89"/>
      <c r="B221" s="104"/>
      <c r="C221" s="15"/>
      <c r="D221" s="372"/>
      <c r="E221" s="105"/>
      <c r="F221" s="105"/>
      <c r="G221" s="105"/>
      <c r="H221" s="105"/>
      <c r="I221" s="105"/>
      <c r="J221" s="105"/>
      <c r="K221" s="105"/>
      <c r="L221" s="105"/>
      <c r="M221" s="105"/>
      <c r="N221" s="105"/>
      <c r="O221" s="105"/>
      <c r="P221" s="105"/>
      <c r="Q221" s="105"/>
      <c r="R221" s="105"/>
      <c r="S221" s="105"/>
    </row>
    <row r="222" spans="1:19" ht="12.75" customHeight="1">
      <c r="A222" s="89"/>
      <c r="B222" s="104"/>
      <c r="C222" s="15"/>
      <c r="D222" s="372"/>
      <c r="E222" s="105"/>
      <c r="F222" s="105"/>
      <c r="G222" s="105"/>
      <c r="H222" s="105"/>
      <c r="I222" s="105"/>
      <c r="J222" s="105"/>
      <c r="K222" s="105"/>
      <c r="L222" s="105"/>
      <c r="M222" s="105"/>
      <c r="N222" s="105"/>
      <c r="O222" s="105"/>
      <c r="P222" s="105"/>
      <c r="Q222" s="105"/>
      <c r="R222" s="105"/>
      <c r="S222" s="105"/>
    </row>
    <row r="223" spans="1:19" ht="12.75" customHeight="1">
      <c r="A223" s="89"/>
      <c r="B223" s="104"/>
      <c r="C223" s="15"/>
      <c r="D223" s="372"/>
      <c r="E223" s="105"/>
      <c r="F223" s="105"/>
      <c r="G223" s="105"/>
      <c r="H223" s="105"/>
      <c r="I223" s="105"/>
      <c r="J223" s="105"/>
      <c r="K223" s="105"/>
      <c r="L223" s="105"/>
      <c r="M223" s="105"/>
      <c r="N223" s="105"/>
      <c r="O223" s="105"/>
      <c r="P223" s="105"/>
      <c r="Q223" s="105"/>
      <c r="R223" s="105"/>
      <c r="S223" s="105"/>
    </row>
    <row r="224" spans="1:19" ht="12.75" customHeight="1">
      <c r="A224" s="89"/>
      <c r="B224" s="104"/>
      <c r="C224" s="15"/>
      <c r="D224" s="372"/>
      <c r="E224" s="105"/>
      <c r="F224" s="105"/>
      <c r="G224" s="105"/>
      <c r="H224" s="105"/>
      <c r="I224" s="105"/>
      <c r="J224" s="105"/>
      <c r="K224" s="105"/>
      <c r="L224" s="105"/>
      <c r="M224" s="105"/>
      <c r="N224" s="105"/>
      <c r="O224" s="105"/>
      <c r="P224" s="105"/>
      <c r="Q224" s="105"/>
      <c r="R224" s="105"/>
      <c r="S224" s="105"/>
    </row>
    <row r="225" spans="1:19" ht="12.75" customHeight="1">
      <c r="A225" s="89"/>
      <c r="B225" s="104"/>
      <c r="C225" s="15"/>
      <c r="D225" s="372"/>
      <c r="E225" s="105"/>
      <c r="F225" s="105"/>
      <c r="G225" s="105"/>
      <c r="H225" s="105"/>
      <c r="I225" s="105"/>
      <c r="J225" s="105"/>
      <c r="K225" s="105"/>
      <c r="L225" s="105"/>
      <c r="M225" s="105"/>
      <c r="N225" s="105"/>
      <c r="O225" s="105"/>
      <c r="P225" s="105"/>
      <c r="Q225" s="105"/>
      <c r="R225" s="105"/>
      <c r="S225" s="105"/>
    </row>
    <row r="226" spans="1:19" ht="12.75" customHeight="1">
      <c r="A226" s="89"/>
      <c r="B226" s="104"/>
      <c r="C226" s="15"/>
      <c r="D226" s="372"/>
      <c r="E226" s="105"/>
      <c r="F226" s="105"/>
      <c r="G226" s="105"/>
      <c r="H226" s="105"/>
      <c r="I226" s="105"/>
      <c r="J226" s="105"/>
      <c r="K226" s="105"/>
      <c r="L226" s="105"/>
      <c r="M226" s="105"/>
      <c r="N226" s="105"/>
      <c r="O226" s="105"/>
      <c r="P226" s="105"/>
      <c r="Q226" s="105"/>
      <c r="R226" s="105"/>
      <c r="S226" s="105"/>
    </row>
    <row r="227" spans="1:19" ht="12.75" customHeight="1">
      <c r="A227" s="89"/>
      <c r="B227" s="104"/>
      <c r="C227" s="15"/>
      <c r="D227" s="372"/>
      <c r="E227" s="105"/>
      <c r="F227" s="105"/>
      <c r="G227" s="105"/>
      <c r="H227" s="105"/>
      <c r="I227" s="105"/>
      <c r="J227" s="105"/>
      <c r="K227" s="105"/>
      <c r="L227" s="105"/>
      <c r="M227" s="105"/>
      <c r="N227" s="105"/>
      <c r="O227" s="105"/>
      <c r="P227" s="105"/>
      <c r="Q227" s="105"/>
      <c r="R227" s="105"/>
      <c r="S227" s="105"/>
    </row>
    <row r="228" spans="1:19" ht="12.75" customHeight="1">
      <c r="A228" s="89"/>
      <c r="B228" s="104"/>
      <c r="C228" s="15"/>
      <c r="D228" s="372"/>
      <c r="E228" s="105"/>
      <c r="F228" s="105"/>
      <c r="G228" s="105"/>
      <c r="H228" s="105"/>
      <c r="I228" s="105"/>
      <c r="J228" s="105"/>
      <c r="K228" s="105"/>
      <c r="L228" s="105"/>
      <c r="M228" s="105"/>
      <c r="N228" s="105"/>
      <c r="O228" s="105"/>
      <c r="P228" s="105"/>
      <c r="Q228" s="105"/>
      <c r="R228" s="105"/>
      <c r="S228" s="105"/>
    </row>
    <row r="229" spans="1:19" ht="12.75" customHeight="1">
      <c r="A229" s="89"/>
      <c r="B229" s="104"/>
      <c r="C229" s="15"/>
      <c r="D229" s="372"/>
      <c r="E229" s="105"/>
      <c r="F229" s="105"/>
      <c r="G229" s="105"/>
      <c r="H229" s="105"/>
      <c r="I229" s="105"/>
      <c r="J229" s="105"/>
      <c r="K229" s="105"/>
      <c r="L229" s="105"/>
      <c r="M229" s="105"/>
      <c r="N229" s="105"/>
      <c r="O229" s="105"/>
      <c r="P229" s="105"/>
      <c r="Q229" s="105"/>
      <c r="R229" s="105"/>
      <c r="S229" s="105"/>
    </row>
    <row r="230" spans="1:19" ht="12.75" customHeight="1">
      <c r="A230" s="89"/>
      <c r="B230" s="104"/>
      <c r="C230" s="15"/>
      <c r="D230" s="372"/>
      <c r="E230" s="105"/>
      <c r="F230" s="105"/>
      <c r="G230" s="105"/>
      <c r="H230" s="105"/>
      <c r="I230" s="105"/>
      <c r="J230" s="105"/>
      <c r="K230" s="105"/>
      <c r="L230" s="105"/>
      <c r="M230" s="105"/>
      <c r="N230" s="105"/>
      <c r="O230" s="105"/>
      <c r="P230" s="105"/>
      <c r="Q230" s="105"/>
      <c r="R230" s="105"/>
      <c r="S230" s="105"/>
    </row>
    <row r="231" spans="1:19" ht="12.75" customHeight="1">
      <c r="A231" s="89"/>
      <c r="B231" s="104"/>
      <c r="C231" s="15"/>
      <c r="D231" s="372"/>
      <c r="E231" s="105"/>
      <c r="F231" s="105"/>
      <c r="G231" s="105"/>
      <c r="H231" s="105"/>
      <c r="I231" s="105"/>
      <c r="J231" s="105"/>
      <c r="K231" s="105"/>
      <c r="L231" s="105"/>
      <c r="M231" s="105"/>
      <c r="N231" s="105"/>
      <c r="O231" s="105"/>
      <c r="P231" s="105"/>
      <c r="Q231" s="105"/>
      <c r="R231" s="105"/>
      <c r="S231" s="105"/>
    </row>
    <row r="232" spans="1:19" ht="12.75" customHeight="1">
      <c r="A232" s="89"/>
      <c r="B232" s="104"/>
      <c r="C232" s="15"/>
      <c r="D232" s="372"/>
      <c r="E232" s="105"/>
      <c r="F232" s="105"/>
      <c r="G232" s="105"/>
      <c r="H232" s="105"/>
      <c r="I232" s="105"/>
      <c r="J232" s="105"/>
      <c r="K232" s="105"/>
      <c r="L232" s="105"/>
      <c r="M232" s="105"/>
      <c r="N232" s="105"/>
      <c r="O232" s="105"/>
      <c r="P232" s="105"/>
      <c r="Q232" s="105"/>
      <c r="R232" s="105"/>
      <c r="S232" s="105"/>
    </row>
    <row r="233" spans="1:19" ht="12.75" customHeight="1">
      <c r="A233" s="89"/>
      <c r="B233" s="104"/>
      <c r="C233" s="15"/>
      <c r="D233" s="372"/>
      <c r="E233" s="105"/>
      <c r="F233" s="105"/>
      <c r="G233" s="105"/>
      <c r="H233" s="105"/>
      <c r="I233" s="105"/>
      <c r="J233" s="105"/>
      <c r="K233" s="105"/>
      <c r="L233" s="105"/>
      <c r="M233" s="105"/>
      <c r="N233" s="105"/>
      <c r="O233" s="105"/>
      <c r="P233" s="105"/>
      <c r="Q233" s="105"/>
      <c r="R233" s="105"/>
      <c r="S233" s="105"/>
    </row>
    <row r="234" spans="1:19" ht="12.75" customHeight="1">
      <c r="A234" s="89"/>
      <c r="B234" s="104"/>
      <c r="C234" s="15"/>
      <c r="D234" s="372"/>
      <c r="E234" s="105"/>
      <c r="F234" s="105"/>
      <c r="G234" s="105"/>
      <c r="H234" s="105"/>
      <c r="I234" s="105"/>
      <c r="J234" s="105"/>
      <c r="K234" s="105"/>
      <c r="L234" s="105"/>
      <c r="M234" s="105"/>
      <c r="N234" s="105"/>
      <c r="O234" s="105"/>
      <c r="P234" s="105"/>
      <c r="Q234" s="105"/>
      <c r="R234" s="105"/>
      <c r="S234" s="105"/>
    </row>
    <row r="235" spans="1:19" ht="12.75" customHeight="1">
      <c r="A235" s="89"/>
      <c r="B235" s="104"/>
      <c r="C235" s="15"/>
      <c r="D235" s="372"/>
      <c r="E235" s="105"/>
      <c r="F235" s="105"/>
      <c r="G235" s="105"/>
      <c r="H235" s="105"/>
      <c r="I235" s="105"/>
      <c r="J235" s="105"/>
      <c r="K235" s="105"/>
      <c r="L235" s="105"/>
      <c r="M235" s="105"/>
      <c r="N235" s="105"/>
      <c r="O235" s="105"/>
      <c r="P235" s="105"/>
      <c r="Q235" s="105"/>
      <c r="R235" s="105"/>
      <c r="S235" s="105"/>
    </row>
    <row r="236" spans="1:19" ht="12.75" customHeight="1">
      <c r="A236" s="89"/>
      <c r="B236" s="104"/>
      <c r="C236" s="15"/>
      <c r="D236" s="372"/>
      <c r="E236" s="105"/>
      <c r="F236" s="105"/>
      <c r="G236" s="105"/>
      <c r="H236" s="105"/>
      <c r="I236" s="105"/>
      <c r="J236" s="105"/>
      <c r="K236" s="105"/>
      <c r="L236" s="105"/>
      <c r="M236" s="105"/>
      <c r="N236" s="105"/>
      <c r="O236" s="105"/>
      <c r="P236" s="105"/>
      <c r="Q236" s="105"/>
      <c r="R236" s="105"/>
      <c r="S236" s="105"/>
    </row>
    <row r="237" spans="1:19" ht="12.75" customHeight="1">
      <c r="A237" s="89"/>
      <c r="B237" s="104"/>
      <c r="C237" s="15"/>
      <c r="D237" s="372"/>
      <c r="E237" s="105"/>
      <c r="F237" s="105"/>
      <c r="G237" s="105"/>
      <c r="H237" s="105"/>
      <c r="I237" s="105"/>
      <c r="J237" s="105"/>
      <c r="K237" s="105"/>
      <c r="L237" s="105"/>
      <c r="M237" s="105"/>
      <c r="N237" s="105"/>
      <c r="O237" s="105"/>
      <c r="P237" s="105"/>
      <c r="Q237" s="105"/>
      <c r="R237" s="105"/>
      <c r="S237" s="105"/>
    </row>
    <row r="238" spans="1:19" ht="12.75" customHeight="1">
      <c r="A238" s="89"/>
      <c r="B238" s="104"/>
      <c r="C238" s="15"/>
      <c r="D238" s="372"/>
      <c r="E238" s="105"/>
      <c r="F238" s="105"/>
      <c r="G238" s="105"/>
      <c r="H238" s="105"/>
      <c r="I238" s="105"/>
      <c r="J238" s="105"/>
      <c r="K238" s="105"/>
      <c r="L238" s="105"/>
      <c r="M238" s="105"/>
      <c r="N238" s="105"/>
      <c r="O238" s="105"/>
      <c r="P238" s="105"/>
      <c r="Q238" s="105"/>
      <c r="R238" s="105"/>
      <c r="S238" s="105"/>
    </row>
    <row r="239" spans="1:19" ht="12.75" customHeight="1">
      <c r="A239" s="89"/>
      <c r="B239" s="104"/>
      <c r="C239" s="15"/>
      <c r="D239" s="372"/>
      <c r="E239" s="105"/>
      <c r="F239" s="105"/>
      <c r="G239" s="105"/>
      <c r="H239" s="105"/>
      <c r="I239" s="105"/>
      <c r="J239" s="105"/>
      <c r="K239" s="105"/>
      <c r="L239" s="105"/>
      <c r="M239" s="105"/>
      <c r="N239" s="105"/>
      <c r="O239" s="105"/>
      <c r="P239" s="105"/>
      <c r="Q239" s="105"/>
      <c r="R239" s="105"/>
      <c r="S239" s="105"/>
    </row>
    <row r="240" spans="1:19" ht="12.75" customHeight="1">
      <c r="A240" s="89"/>
      <c r="B240" s="104"/>
      <c r="C240" s="15"/>
      <c r="D240" s="372"/>
      <c r="E240" s="105"/>
      <c r="F240" s="105"/>
      <c r="G240" s="105"/>
      <c r="H240" s="105"/>
      <c r="I240" s="105"/>
      <c r="J240" s="105"/>
      <c r="K240" s="105"/>
      <c r="L240" s="105"/>
      <c r="M240" s="105"/>
      <c r="N240" s="105"/>
      <c r="O240" s="105"/>
      <c r="P240" s="105"/>
      <c r="Q240" s="105"/>
      <c r="R240" s="105"/>
      <c r="S240" s="105"/>
    </row>
    <row r="241" spans="1:19" ht="12.75" customHeight="1">
      <c r="A241" s="89"/>
      <c r="B241" s="104"/>
      <c r="C241" s="15"/>
      <c r="D241" s="372"/>
      <c r="E241" s="105"/>
      <c r="F241" s="105"/>
      <c r="G241" s="105"/>
      <c r="H241" s="105"/>
      <c r="I241" s="105"/>
      <c r="J241" s="105"/>
      <c r="K241" s="105"/>
      <c r="L241" s="105"/>
      <c r="M241" s="105"/>
      <c r="N241" s="105"/>
      <c r="O241" s="105"/>
      <c r="P241" s="105"/>
      <c r="Q241" s="105"/>
      <c r="R241" s="105"/>
      <c r="S241" s="105"/>
    </row>
    <row r="242" spans="1:19" ht="12.75" customHeight="1">
      <c r="A242" s="89"/>
      <c r="B242" s="104"/>
      <c r="C242" s="15"/>
      <c r="D242" s="372"/>
      <c r="E242" s="105"/>
      <c r="F242" s="105"/>
      <c r="G242" s="105"/>
      <c r="H242" s="105"/>
      <c r="I242" s="105"/>
      <c r="J242" s="105"/>
      <c r="K242" s="105"/>
      <c r="L242" s="105"/>
      <c r="M242" s="105"/>
      <c r="N242" s="105"/>
      <c r="O242" s="105"/>
      <c r="P242" s="105"/>
      <c r="Q242" s="105"/>
      <c r="R242" s="105"/>
      <c r="S242" s="105"/>
    </row>
    <row r="243" spans="1:19" ht="12.75" customHeight="1">
      <c r="A243" s="89"/>
      <c r="B243" s="104"/>
      <c r="C243" s="15"/>
      <c r="D243" s="372"/>
      <c r="E243" s="105"/>
      <c r="F243" s="105"/>
      <c r="G243" s="105"/>
      <c r="H243" s="105"/>
      <c r="I243" s="105"/>
      <c r="J243" s="105"/>
      <c r="K243" s="105"/>
      <c r="L243" s="105"/>
      <c r="M243" s="105"/>
      <c r="N243" s="105"/>
      <c r="O243" s="105"/>
      <c r="P243" s="105"/>
      <c r="Q243" s="105"/>
      <c r="R243" s="105"/>
      <c r="S243" s="105"/>
    </row>
    <row r="244" spans="1:19" ht="12.75" customHeight="1">
      <c r="A244" s="89"/>
      <c r="B244" s="104"/>
      <c r="C244" s="15"/>
      <c r="D244" s="372"/>
      <c r="E244" s="105"/>
      <c r="F244" s="105"/>
      <c r="G244" s="105"/>
      <c r="H244" s="105"/>
      <c r="I244" s="105"/>
      <c r="J244" s="105"/>
      <c r="K244" s="105"/>
      <c r="L244" s="105"/>
      <c r="M244" s="105"/>
      <c r="N244" s="105"/>
      <c r="O244" s="105"/>
      <c r="P244" s="105"/>
      <c r="Q244" s="105"/>
      <c r="R244" s="105"/>
      <c r="S244" s="105"/>
    </row>
    <row r="245" spans="1:19" ht="12.75" customHeight="1">
      <c r="A245" s="89"/>
      <c r="B245" s="104"/>
      <c r="C245" s="15"/>
      <c r="D245" s="372"/>
      <c r="E245" s="105"/>
      <c r="F245" s="105"/>
      <c r="G245" s="105"/>
      <c r="H245" s="105"/>
      <c r="I245" s="105"/>
      <c r="J245" s="105"/>
      <c r="K245" s="105"/>
      <c r="L245" s="105"/>
      <c r="M245" s="105"/>
      <c r="N245" s="105"/>
      <c r="O245" s="105"/>
      <c r="P245" s="105"/>
      <c r="Q245" s="105"/>
      <c r="R245" s="105"/>
      <c r="S245" s="105"/>
    </row>
    <row r="246" spans="1:19" ht="12.75" customHeight="1">
      <c r="A246" s="89"/>
      <c r="B246" s="104"/>
      <c r="C246" s="15"/>
      <c r="D246" s="372"/>
      <c r="E246" s="105"/>
      <c r="F246" s="105"/>
      <c r="G246" s="105"/>
      <c r="H246" s="105"/>
      <c r="I246" s="105"/>
      <c r="J246" s="105"/>
      <c r="K246" s="105"/>
      <c r="L246" s="105"/>
      <c r="M246" s="105"/>
      <c r="N246" s="105"/>
      <c r="O246" s="105"/>
      <c r="P246" s="105"/>
      <c r="Q246" s="105"/>
      <c r="R246" s="105"/>
      <c r="S246" s="105"/>
    </row>
    <row r="247" spans="1:19" ht="12.75" customHeight="1">
      <c r="A247" s="89"/>
      <c r="B247" s="104"/>
      <c r="C247" s="15"/>
      <c r="D247" s="372"/>
      <c r="E247" s="105"/>
      <c r="F247" s="105"/>
      <c r="G247" s="105"/>
      <c r="H247" s="105"/>
      <c r="I247" s="105"/>
      <c r="J247" s="105"/>
      <c r="K247" s="105"/>
      <c r="L247" s="105"/>
      <c r="M247" s="105"/>
      <c r="N247" s="105"/>
      <c r="O247" s="105"/>
      <c r="P247" s="105"/>
      <c r="Q247" s="105"/>
      <c r="R247" s="105"/>
      <c r="S247" s="105"/>
    </row>
    <row r="248" spans="1:19" ht="12.75" customHeight="1">
      <c r="A248" s="89"/>
      <c r="B248" s="104"/>
      <c r="C248" s="15"/>
      <c r="D248" s="372"/>
      <c r="E248" s="105"/>
      <c r="F248" s="105"/>
      <c r="G248" s="105"/>
      <c r="H248" s="105"/>
      <c r="I248" s="105"/>
      <c r="J248" s="105"/>
      <c r="K248" s="105"/>
      <c r="L248" s="105"/>
      <c r="M248" s="105"/>
      <c r="N248" s="105"/>
      <c r="O248" s="105"/>
      <c r="P248" s="105"/>
      <c r="Q248" s="105"/>
      <c r="R248" s="105"/>
      <c r="S248" s="105"/>
    </row>
    <row r="249" spans="1:19" ht="12.75" customHeight="1">
      <c r="A249" s="89"/>
      <c r="B249" s="104"/>
      <c r="C249" s="15"/>
      <c r="D249" s="372"/>
      <c r="E249" s="105"/>
      <c r="F249" s="105"/>
      <c r="G249" s="105"/>
      <c r="H249" s="105"/>
      <c r="I249" s="105"/>
      <c r="J249" s="105"/>
      <c r="K249" s="105"/>
      <c r="L249" s="105"/>
      <c r="M249" s="105"/>
      <c r="N249" s="105"/>
      <c r="O249" s="105"/>
      <c r="P249" s="105"/>
      <c r="Q249" s="105"/>
      <c r="R249" s="105"/>
      <c r="S249" s="105"/>
    </row>
    <row r="250" spans="1:19" ht="12.75" customHeight="1">
      <c r="A250" s="89"/>
      <c r="B250" s="104"/>
      <c r="C250" s="15"/>
      <c r="D250" s="372"/>
      <c r="E250" s="105"/>
      <c r="F250" s="105"/>
      <c r="G250" s="105"/>
      <c r="H250" s="105"/>
      <c r="I250" s="105"/>
      <c r="J250" s="105"/>
      <c r="K250" s="105"/>
      <c r="L250" s="105"/>
      <c r="M250" s="105"/>
      <c r="N250" s="105"/>
      <c r="O250" s="105"/>
      <c r="P250" s="105"/>
      <c r="Q250" s="105"/>
      <c r="R250" s="105"/>
      <c r="S250" s="105"/>
    </row>
    <row r="251" spans="1:19" ht="12.75" customHeight="1">
      <c r="A251" s="89"/>
      <c r="B251" s="104"/>
      <c r="C251" s="15"/>
      <c r="D251" s="372"/>
      <c r="E251" s="105"/>
      <c r="F251" s="105"/>
      <c r="G251" s="105"/>
      <c r="H251" s="105"/>
      <c r="I251" s="105"/>
      <c r="J251" s="105"/>
      <c r="K251" s="105"/>
      <c r="L251" s="105"/>
      <c r="M251" s="105"/>
      <c r="N251" s="105"/>
      <c r="O251" s="105"/>
      <c r="P251" s="105"/>
      <c r="Q251" s="105"/>
      <c r="R251" s="105"/>
      <c r="S251" s="105"/>
    </row>
    <row r="252" spans="1:19" ht="12.75" customHeight="1">
      <c r="A252" s="89"/>
      <c r="B252" s="104"/>
      <c r="C252" s="15"/>
      <c r="D252" s="372"/>
      <c r="E252" s="105"/>
      <c r="F252" s="105"/>
      <c r="G252" s="105"/>
      <c r="H252" s="105"/>
      <c r="I252" s="105"/>
      <c r="J252" s="105"/>
      <c r="K252" s="105"/>
      <c r="L252" s="105"/>
      <c r="M252" s="105"/>
      <c r="N252" s="105"/>
      <c r="O252" s="105"/>
      <c r="P252" s="105"/>
      <c r="Q252" s="105"/>
      <c r="R252" s="105"/>
      <c r="S252" s="105"/>
    </row>
    <row r="253" spans="1:19" ht="12.75" customHeight="1">
      <c r="A253" s="89"/>
      <c r="B253" s="104"/>
      <c r="C253" s="15"/>
      <c r="D253" s="372"/>
      <c r="E253" s="105"/>
      <c r="F253" s="105"/>
      <c r="G253" s="105"/>
      <c r="H253" s="105"/>
      <c r="I253" s="105"/>
      <c r="J253" s="105"/>
      <c r="K253" s="105"/>
      <c r="L253" s="105"/>
      <c r="M253" s="105"/>
      <c r="N253" s="105"/>
      <c r="O253" s="105"/>
      <c r="P253" s="105"/>
      <c r="Q253" s="105"/>
      <c r="R253" s="105"/>
      <c r="S253" s="105"/>
    </row>
    <row r="254" spans="1:19" ht="12.75" customHeight="1">
      <c r="A254" s="89"/>
      <c r="B254" s="104"/>
      <c r="C254" s="15"/>
      <c r="D254" s="372"/>
      <c r="E254" s="105"/>
      <c r="F254" s="105"/>
      <c r="G254" s="105"/>
      <c r="H254" s="105"/>
      <c r="I254" s="105"/>
      <c r="J254" s="105"/>
      <c r="K254" s="105"/>
      <c r="L254" s="105"/>
      <c r="M254" s="105"/>
      <c r="N254" s="105"/>
      <c r="O254" s="105"/>
      <c r="P254" s="105"/>
      <c r="Q254" s="105"/>
      <c r="R254" s="105"/>
      <c r="S254" s="105"/>
    </row>
    <row r="255" spans="1:19" ht="12.75" customHeight="1">
      <c r="A255" s="89"/>
      <c r="B255" s="104"/>
      <c r="C255" s="15"/>
      <c r="D255" s="372"/>
      <c r="E255" s="105"/>
      <c r="F255" s="105"/>
      <c r="G255" s="105"/>
      <c r="H255" s="105"/>
      <c r="I255" s="105"/>
      <c r="J255" s="105"/>
      <c r="K255" s="105"/>
      <c r="L255" s="105"/>
      <c r="M255" s="105"/>
      <c r="N255" s="105"/>
      <c r="O255" s="105"/>
      <c r="P255" s="105"/>
      <c r="Q255" s="105"/>
      <c r="R255" s="105"/>
      <c r="S255" s="105"/>
    </row>
    <row r="256" spans="1:19" ht="12.75" customHeight="1">
      <c r="A256" s="89"/>
      <c r="B256" s="104"/>
      <c r="C256" s="15"/>
      <c r="D256" s="372"/>
      <c r="E256" s="105"/>
      <c r="F256" s="105"/>
      <c r="G256" s="105"/>
      <c r="H256" s="105"/>
      <c r="I256" s="105"/>
      <c r="J256" s="105"/>
      <c r="K256" s="105"/>
      <c r="L256" s="105"/>
      <c r="M256" s="105"/>
      <c r="N256" s="105"/>
      <c r="O256" s="105"/>
      <c r="P256" s="105"/>
      <c r="Q256" s="105"/>
      <c r="R256" s="105"/>
      <c r="S256" s="105"/>
    </row>
    <row r="257" spans="1:19" ht="12.75" customHeight="1">
      <c r="A257" s="89"/>
      <c r="B257" s="104"/>
      <c r="C257" s="15"/>
      <c r="D257" s="372"/>
      <c r="E257" s="105"/>
      <c r="F257" s="105"/>
      <c r="G257" s="105"/>
      <c r="H257" s="105"/>
      <c r="I257" s="105"/>
      <c r="J257" s="105"/>
      <c r="K257" s="105"/>
      <c r="L257" s="105"/>
      <c r="M257" s="105"/>
      <c r="N257" s="105"/>
      <c r="O257" s="105"/>
      <c r="P257" s="105"/>
      <c r="Q257" s="105"/>
      <c r="R257" s="105"/>
      <c r="S257" s="105"/>
    </row>
    <row r="258" spans="1:19" ht="12.75" customHeight="1">
      <c r="A258" s="89"/>
      <c r="B258" s="104"/>
      <c r="C258" s="15"/>
      <c r="D258" s="372"/>
      <c r="E258" s="105"/>
      <c r="F258" s="105"/>
      <c r="G258" s="105"/>
      <c r="H258" s="105"/>
      <c r="I258" s="105"/>
      <c r="J258" s="105"/>
      <c r="K258" s="105"/>
      <c r="L258" s="105"/>
      <c r="M258" s="105"/>
      <c r="N258" s="105"/>
      <c r="O258" s="105"/>
      <c r="P258" s="105"/>
      <c r="Q258" s="105"/>
      <c r="R258" s="105"/>
      <c r="S258" s="105"/>
    </row>
    <row r="259" spans="1:19" ht="12.75" customHeight="1">
      <c r="A259" s="89"/>
      <c r="B259" s="104"/>
      <c r="C259" s="15"/>
      <c r="D259" s="372"/>
      <c r="E259" s="105"/>
      <c r="F259" s="105"/>
      <c r="G259" s="105"/>
      <c r="H259" s="105"/>
      <c r="I259" s="105"/>
      <c r="J259" s="105"/>
      <c r="K259" s="105"/>
      <c r="L259" s="105"/>
      <c r="M259" s="105"/>
      <c r="N259" s="105"/>
      <c r="O259" s="105"/>
      <c r="P259" s="105"/>
      <c r="Q259" s="105"/>
      <c r="R259" s="105"/>
      <c r="S259" s="105"/>
    </row>
    <row r="260" spans="1:19" ht="12.75" customHeight="1">
      <c r="A260" s="89"/>
      <c r="B260" s="104"/>
      <c r="C260" s="15"/>
      <c r="D260" s="372"/>
      <c r="E260" s="105"/>
      <c r="F260" s="105"/>
      <c r="G260" s="105"/>
      <c r="H260" s="105"/>
      <c r="I260" s="105"/>
      <c r="J260" s="105"/>
      <c r="K260" s="105"/>
      <c r="L260" s="105"/>
      <c r="M260" s="105"/>
      <c r="N260" s="105"/>
      <c r="O260" s="105"/>
      <c r="P260" s="105"/>
      <c r="Q260" s="105"/>
      <c r="R260" s="105"/>
      <c r="S260" s="105"/>
    </row>
    <row r="261" spans="1:19" ht="12.75" customHeight="1">
      <c r="A261" s="89"/>
      <c r="B261" s="104"/>
      <c r="C261" s="15"/>
      <c r="D261" s="372"/>
      <c r="E261" s="105"/>
      <c r="F261" s="105"/>
      <c r="G261" s="105"/>
      <c r="H261" s="105"/>
      <c r="I261" s="105"/>
      <c r="J261" s="105"/>
      <c r="K261" s="105"/>
      <c r="L261" s="105"/>
      <c r="M261" s="105"/>
      <c r="N261" s="105"/>
      <c r="O261" s="105"/>
      <c r="P261" s="105"/>
      <c r="Q261" s="105"/>
      <c r="R261" s="105"/>
      <c r="S261" s="105"/>
    </row>
    <row r="262" spans="1:19" ht="12.75" customHeight="1">
      <c r="A262" s="89"/>
      <c r="B262" s="104"/>
      <c r="C262" s="15"/>
      <c r="D262" s="372"/>
      <c r="E262" s="105"/>
      <c r="F262" s="105"/>
      <c r="G262" s="105"/>
      <c r="H262" s="105"/>
      <c r="I262" s="105"/>
      <c r="J262" s="105"/>
      <c r="K262" s="105"/>
      <c r="L262" s="105"/>
      <c r="M262" s="105"/>
      <c r="N262" s="105"/>
      <c r="O262" s="105"/>
      <c r="P262" s="105"/>
      <c r="Q262" s="105"/>
      <c r="R262" s="105"/>
      <c r="S262" s="105"/>
    </row>
    <row r="263" spans="1:19" ht="12.75" customHeight="1">
      <c r="A263" s="89"/>
      <c r="B263" s="104"/>
      <c r="C263" s="15"/>
      <c r="D263" s="372"/>
      <c r="E263" s="105"/>
      <c r="F263" s="105"/>
      <c r="G263" s="105"/>
      <c r="H263" s="105"/>
      <c r="I263" s="105"/>
      <c r="J263" s="105"/>
      <c r="K263" s="105"/>
      <c r="L263" s="105"/>
      <c r="M263" s="105"/>
      <c r="N263" s="105"/>
      <c r="O263" s="105"/>
      <c r="P263" s="105"/>
      <c r="Q263" s="105"/>
      <c r="R263" s="105"/>
      <c r="S263" s="105"/>
    </row>
    <row r="264" spans="1:19" ht="12.75" customHeight="1">
      <c r="A264" s="89"/>
      <c r="B264" s="104"/>
      <c r="C264" s="15"/>
      <c r="D264" s="372"/>
      <c r="E264" s="105"/>
      <c r="F264" s="105"/>
      <c r="G264" s="105"/>
      <c r="H264" s="105"/>
      <c r="I264" s="105"/>
      <c r="J264" s="105"/>
      <c r="K264" s="105"/>
      <c r="L264" s="105"/>
      <c r="M264" s="105"/>
      <c r="N264" s="105"/>
      <c r="O264" s="105"/>
      <c r="P264" s="105"/>
      <c r="Q264" s="105"/>
      <c r="R264" s="105"/>
      <c r="S264" s="105"/>
    </row>
    <row r="265" spans="1:19" ht="12.75" customHeight="1">
      <c r="A265" s="89"/>
      <c r="B265" s="104"/>
      <c r="C265" s="15"/>
      <c r="D265" s="372"/>
      <c r="E265" s="105"/>
      <c r="F265" s="105"/>
      <c r="G265" s="105"/>
      <c r="H265" s="105"/>
      <c r="I265" s="105"/>
      <c r="J265" s="105"/>
      <c r="K265" s="105"/>
      <c r="L265" s="105"/>
      <c r="M265" s="105"/>
      <c r="N265" s="105"/>
      <c r="O265" s="105"/>
      <c r="P265" s="105"/>
      <c r="Q265" s="105"/>
      <c r="R265" s="105"/>
      <c r="S265" s="105"/>
    </row>
    <row r="266" spans="1:19" ht="12.75" customHeight="1">
      <c r="A266" s="89"/>
      <c r="B266" s="104"/>
      <c r="C266" s="15"/>
      <c r="D266" s="372"/>
      <c r="E266" s="105"/>
      <c r="F266" s="105"/>
      <c r="G266" s="105"/>
      <c r="H266" s="105"/>
      <c r="I266" s="105"/>
      <c r="J266" s="105"/>
      <c r="K266" s="105"/>
      <c r="L266" s="105"/>
      <c r="M266" s="105"/>
      <c r="N266" s="105"/>
      <c r="O266" s="105"/>
      <c r="P266" s="105"/>
      <c r="Q266" s="105"/>
      <c r="R266" s="105"/>
      <c r="S266" s="105"/>
    </row>
    <row r="267" spans="1:19" ht="12.75" customHeight="1">
      <c r="A267" s="89"/>
      <c r="B267" s="104"/>
      <c r="C267" s="15"/>
      <c r="D267" s="372"/>
      <c r="E267" s="105"/>
      <c r="F267" s="105"/>
      <c r="G267" s="105"/>
      <c r="H267" s="105"/>
      <c r="I267" s="105"/>
      <c r="J267" s="105"/>
      <c r="K267" s="105"/>
      <c r="L267" s="105"/>
      <c r="M267" s="105"/>
      <c r="N267" s="105"/>
      <c r="O267" s="105"/>
      <c r="P267" s="105"/>
      <c r="Q267" s="105"/>
      <c r="R267" s="105"/>
      <c r="S267" s="105"/>
    </row>
    <row r="268" spans="1:19" ht="12.75" customHeight="1">
      <c r="A268" s="89"/>
      <c r="B268" s="104"/>
      <c r="C268" s="15"/>
      <c r="D268" s="372"/>
      <c r="E268" s="105"/>
      <c r="F268" s="105"/>
      <c r="G268" s="105"/>
      <c r="H268" s="105"/>
      <c r="I268" s="105"/>
      <c r="J268" s="105"/>
      <c r="K268" s="105"/>
      <c r="L268" s="105"/>
      <c r="M268" s="105"/>
      <c r="N268" s="105"/>
      <c r="O268" s="105"/>
      <c r="P268" s="105"/>
      <c r="Q268" s="105"/>
      <c r="R268" s="105"/>
      <c r="S268" s="105"/>
    </row>
    <row r="269" spans="1:19" ht="12.75" customHeight="1">
      <c r="A269" s="89"/>
      <c r="B269" s="104"/>
      <c r="C269" s="15"/>
      <c r="D269" s="372"/>
      <c r="E269" s="105"/>
      <c r="F269" s="105"/>
      <c r="G269" s="105"/>
      <c r="H269" s="105"/>
      <c r="I269" s="105"/>
      <c r="J269" s="105"/>
      <c r="K269" s="105"/>
      <c r="L269" s="105"/>
      <c r="M269" s="105"/>
      <c r="N269" s="105"/>
      <c r="O269" s="105"/>
      <c r="P269" s="105"/>
      <c r="Q269" s="105"/>
      <c r="R269" s="105"/>
      <c r="S269" s="105"/>
    </row>
    <row r="270" spans="1:19" ht="12.75" customHeight="1">
      <c r="A270" s="89"/>
      <c r="B270" s="104"/>
      <c r="C270" s="15"/>
      <c r="D270" s="372"/>
      <c r="E270" s="105"/>
      <c r="F270" s="105"/>
      <c r="G270" s="105"/>
      <c r="H270" s="105"/>
      <c r="I270" s="105"/>
      <c r="J270" s="105"/>
      <c r="K270" s="105"/>
      <c r="L270" s="105"/>
      <c r="M270" s="105"/>
      <c r="N270" s="105"/>
      <c r="O270" s="105"/>
      <c r="P270" s="105"/>
      <c r="Q270" s="105"/>
      <c r="R270" s="105"/>
      <c r="S270" s="105"/>
    </row>
    <row r="271" spans="1:19" ht="12.75" customHeight="1">
      <c r="A271" s="89"/>
      <c r="B271" s="104"/>
      <c r="C271" s="15"/>
      <c r="D271" s="372"/>
      <c r="E271" s="105"/>
      <c r="F271" s="105"/>
      <c r="G271" s="105"/>
      <c r="H271" s="105"/>
      <c r="I271" s="105"/>
      <c r="J271" s="105"/>
      <c r="K271" s="105"/>
      <c r="L271" s="105"/>
      <c r="M271" s="105"/>
      <c r="N271" s="105"/>
      <c r="O271" s="105"/>
      <c r="P271" s="105"/>
      <c r="Q271" s="105"/>
      <c r="R271" s="105"/>
      <c r="S271" s="105"/>
    </row>
    <row r="272" spans="1:19" ht="12.75" customHeight="1">
      <c r="A272" s="89"/>
      <c r="B272" s="104"/>
      <c r="C272" s="15"/>
      <c r="D272" s="372"/>
      <c r="E272" s="105"/>
      <c r="F272" s="105"/>
      <c r="G272" s="105"/>
      <c r="H272" s="105"/>
      <c r="I272" s="105"/>
      <c r="J272" s="105"/>
      <c r="K272" s="105"/>
      <c r="L272" s="105"/>
      <c r="M272" s="105"/>
      <c r="N272" s="105"/>
      <c r="O272" s="105"/>
      <c r="P272" s="105"/>
      <c r="Q272" s="105"/>
      <c r="R272" s="105"/>
      <c r="S272" s="105"/>
    </row>
    <row r="273" spans="1:19" ht="12.75" customHeight="1">
      <c r="A273" s="89"/>
      <c r="B273" s="104"/>
      <c r="C273" s="15"/>
      <c r="D273" s="372"/>
      <c r="E273" s="105"/>
      <c r="F273" s="105"/>
      <c r="G273" s="105"/>
      <c r="H273" s="105"/>
      <c r="I273" s="105"/>
      <c r="J273" s="105"/>
      <c r="K273" s="105"/>
      <c r="L273" s="105"/>
      <c r="M273" s="105"/>
      <c r="N273" s="105"/>
      <c r="O273" s="105"/>
      <c r="P273" s="105"/>
      <c r="Q273" s="105"/>
      <c r="R273" s="105"/>
      <c r="S273" s="105"/>
    </row>
    <row r="274" spans="1:19" ht="12.75" customHeight="1">
      <c r="A274" s="89"/>
      <c r="B274" s="104"/>
      <c r="C274" s="15"/>
      <c r="D274" s="372"/>
      <c r="E274" s="105"/>
      <c r="F274" s="105"/>
      <c r="G274" s="105"/>
      <c r="H274" s="105"/>
      <c r="I274" s="105"/>
      <c r="J274" s="105"/>
      <c r="K274" s="105"/>
      <c r="L274" s="105"/>
      <c r="M274" s="105"/>
      <c r="N274" s="105"/>
      <c r="O274" s="105"/>
      <c r="P274" s="105"/>
      <c r="Q274" s="105"/>
      <c r="R274" s="105"/>
      <c r="S274" s="105"/>
    </row>
    <row r="275" spans="1:19" ht="12.75" customHeight="1">
      <c r="A275" s="89"/>
      <c r="B275" s="104"/>
      <c r="C275" s="15"/>
      <c r="D275" s="372"/>
      <c r="E275" s="105"/>
      <c r="F275" s="105"/>
      <c r="G275" s="105"/>
      <c r="H275" s="105"/>
      <c r="I275" s="105"/>
      <c r="J275" s="105"/>
      <c r="K275" s="105"/>
      <c r="L275" s="105"/>
      <c r="M275" s="105"/>
      <c r="N275" s="105"/>
      <c r="O275" s="105"/>
      <c r="P275" s="105"/>
      <c r="Q275" s="105"/>
      <c r="R275" s="105"/>
      <c r="S275" s="105"/>
    </row>
    <row r="276" spans="1:19" ht="12.75" customHeight="1">
      <c r="A276" s="89"/>
      <c r="B276" s="104"/>
      <c r="C276" s="15"/>
      <c r="D276" s="372"/>
      <c r="E276" s="105"/>
      <c r="F276" s="105"/>
      <c r="G276" s="105"/>
      <c r="H276" s="105"/>
      <c r="I276" s="105"/>
      <c r="J276" s="105"/>
      <c r="K276" s="105"/>
      <c r="L276" s="105"/>
      <c r="M276" s="105"/>
      <c r="N276" s="105"/>
      <c r="O276" s="105"/>
      <c r="P276" s="105"/>
      <c r="Q276" s="105"/>
      <c r="R276" s="105"/>
      <c r="S276" s="105"/>
    </row>
    <row r="277" spans="1:19" ht="12.75" customHeight="1">
      <c r="A277" s="89"/>
      <c r="B277" s="104"/>
      <c r="C277" s="15"/>
      <c r="D277" s="372"/>
      <c r="E277" s="105"/>
      <c r="F277" s="105"/>
      <c r="G277" s="105"/>
      <c r="H277" s="105"/>
      <c r="I277" s="105"/>
      <c r="J277" s="105"/>
      <c r="K277" s="105"/>
      <c r="L277" s="105"/>
      <c r="M277" s="105"/>
      <c r="N277" s="105"/>
      <c r="O277" s="105"/>
      <c r="P277" s="105"/>
      <c r="Q277" s="105"/>
      <c r="R277" s="105"/>
      <c r="S277" s="105"/>
    </row>
    <row r="278" spans="1:19" ht="12.75" customHeight="1">
      <c r="A278" s="89"/>
      <c r="B278" s="104"/>
      <c r="C278" s="15"/>
      <c r="D278" s="372"/>
      <c r="E278" s="105"/>
      <c r="F278" s="105"/>
      <c r="G278" s="105"/>
      <c r="H278" s="105"/>
      <c r="I278" s="105"/>
      <c r="J278" s="105"/>
      <c r="K278" s="105"/>
      <c r="L278" s="105"/>
      <c r="M278" s="105"/>
      <c r="N278" s="105"/>
      <c r="O278" s="105"/>
      <c r="P278" s="105"/>
      <c r="Q278" s="105"/>
      <c r="R278" s="105"/>
      <c r="S278" s="105"/>
    </row>
    <row r="279" spans="1:19" ht="12.75" customHeight="1">
      <c r="A279" s="89"/>
      <c r="B279" s="104"/>
      <c r="C279" s="15"/>
      <c r="D279" s="372"/>
      <c r="E279" s="105"/>
      <c r="F279" s="105"/>
      <c r="G279" s="105"/>
      <c r="H279" s="105"/>
      <c r="I279" s="105"/>
      <c r="J279" s="105"/>
      <c r="K279" s="105"/>
      <c r="L279" s="105"/>
      <c r="M279" s="105"/>
      <c r="N279" s="105"/>
      <c r="O279" s="105"/>
      <c r="P279" s="105"/>
      <c r="Q279" s="105"/>
      <c r="R279" s="105"/>
      <c r="S279" s="105"/>
    </row>
    <row r="280" spans="1:19" ht="12.75" customHeight="1">
      <c r="A280" s="89"/>
      <c r="B280" s="104"/>
      <c r="C280" s="15"/>
      <c r="D280" s="372"/>
      <c r="E280" s="105"/>
      <c r="F280" s="105"/>
      <c r="G280" s="105"/>
      <c r="H280" s="105"/>
      <c r="I280" s="105"/>
      <c r="J280" s="105"/>
      <c r="K280" s="105"/>
      <c r="L280" s="105"/>
      <c r="M280" s="105"/>
      <c r="N280" s="105"/>
      <c r="O280" s="105"/>
      <c r="P280" s="105"/>
      <c r="Q280" s="105"/>
      <c r="R280" s="105"/>
      <c r="S280" s="105"/>
    </row>
    <row r="281" spans="1:19" ht="12.75" customHeight="1">
      <c r="A281" s="89"/>
      <c r="B281" s="104"/>
      <c r="C281" s="15"/>
      <c r="D281" s="372"/>
      <c r="E281" s="105"/>
      <c r="F281" s="105"/>
      <c r="G281" s="105"/>
      <c r="H281" s="105"/>
      <c r="I281" s="105"/>
      <c r="J281" s="105"/>
      <c r="K281" s="105"/>
      <c r="L281" s="105"/>
      <c r="M281" s="105"/>
      <c r="N281" s="105"/>
      <c r="O281" s="105"/>
      <c r="P281" s="105"/>
      <c r="Q281" s="105"/>
      <c r="R281" s="105"/>
      <c r="S281" s="105"/>
    </row>
    <row r="282" spans="1:19" ht="12.75" customHeight="1">
      <c r="A282" s="89"/>
      <c r="B282" s="104"/>
      <c r="C282" s="15"/>
      <c r="D282" s="372"/>
      <c r="E282" s="105"/>
      <c r="F282" s="105"/>
      <c r="G282" s="105"/>
      <c r="H282" s="105"/>
      <c r="I282" s="105"/>
      <c r="J282" s="105"/>
      <c r="K282" s="105"/>
      <c r="L282" s="105"/>
      <c r="M282" s="105"/>
      <c r="N282" s="105"/>
      <c r="O282" s="105"/>
      <c r="P282" s="105"/>
      <c r="Q282" s="105"/>
      <c r="R282" s="105"/>
      <c r="S282" s="105"/>
    </row>
    <row r="283" spans="1:19" ht="12.75" customHeight="1">
      <c r="A283" s="89"/>
      <c r="B283" s="104"/>
      <c r="C283" s="15"/>
      <c r="D283" s="372"/>
      <c r="E283" s="105"/>
      <c r="F283" s="105"/>
      <c r="G283" s="105"/>
      <c r="H283" s="105"/>
      <c r="I283" s="105"/>
      <c r="J283" s="105"/>
      <c r="K283" s="105"/>
      <c r="L283" s="105"/>
      <c r="M283" s="105"/>
      <c r="N283" s="105"/>
      <c r="O283" s="105"/>
      <c r="P283" s="105"/>
      <c r="Q283" s="105"/>
      <c r="R283" s="105"/>
      <c r="S283" s="105"/>
    </row>
    <row r="284" spans="1:19" ht="12.75" customHeight="1">
      <c r="A284" s="89"/>
      <c r="B284" s="104"/>
      <c r="C284" s="15"/>
      <c r="D284" s="372"/>
      <c r="E284" s="105"/>
      <c r="F284" s="105"/>
      <c r="G284" s="105"/>
      <c r="H284" s="105"/>
      <c r="I284" s="105"/>
      <c r="J284" s="105"/>
      <c r="K284" s="105"/>
      <c r="L284" s="105"/>
      <c r="M284" s="105"/>
      <c r="N284" s="105"/>
      <c r="O284" s="105"/>
      <c r="P284" s="105"/>
      <c r="Q284" s="105"/>
      <c r="R284" s="105"/>
      <c r="S284" s="105"/>
    </row>
    <row r="285" spans="1:19" ht="12.75" customHeight="1">
      <c r="A285" s="89"/>
      <c r="B285" s="104"/>
      <c r="C285" s="15"/>
      <c r="D285" s="372"/>
      <c r="E285" s="105"/>
      <c r="F285" s="105"/>
      <c r="G285" s="105"/>
      <c r="H285" s="105"/>
      <c r="I285" s="105"/>
      <c r="J285" s="105"/>
      <c r="K285" s="105"/>
      <c r="L285" s="105"/>
      <c r="M285" s="105"/>
      <c r="N285" s="105"/>
      <c r="O285" s="105"/>
      <c r="P285" s="105"/>
      <c r="Q285" s="105"/>
      <c r="R285" s="105"/>
      <c r="S285" s="105"/>
    </row>
    <row r="286" spans="1:19" ht="12.75" customHeight="1">
      <c r="A286" s="89"/>
      <c r="B286" s="104"/>
      <c r="C286" s="15"/>
      <c r="D286" s="372"/>
      <c r="E286" s="105"/>
      <c r="F286" s="105"/>
      <c r="G286" s="105"/>
      <c r="H286" s="105"/>
      <c r="I286" s="105"/>
      <c r="J286" s="105"/>
      <c r="K286" s="105"/>
      <c r="L286" s="105"/>
      <c r="M286" s="105"/>
      <c r="N286" s="105"/>
      <c r="O286" s="105"/>
      <c r="P286" s="105"/>
      <c r="Q286" s="105"/>
      <c r="R286" s="105"/>
      <c r="S286" s="105"/>
    </row>
    <row r="287" spans="1:19" ht="12.75" customHeight="1">
      <c r="A287" s="89"/>
      <c r="B287" s="104"/>
      <c r="C287" s="15"/>
      <c r="D287" s="372"/>
      <c r="E287" s="105"/>
      <c r="F287" s="105"/>
      <c r="G287" s="105"/>
      <c r="H287" s="105"/>
      <c r="I287" s="105"/>
      <c r="J287" s="105"/>
      <c r="K287" s="105"/>
      <c r="L287" s="105"/>
      <c r="M287" s="105"/>
      <c r="N287" s="105"/>
      <c r="O287" s="105"/>
      <c r="P287" s="105"/>
      <c r="Q287" s="105"/>
      <c r="R287" s="105"/>
      <c r="S287" s="105"/>
    </row>
    <row r="288" spans="1:19" ht="12.75" customHeight="1">
      <c r="A288" s="89"/>
      <c r="B288" s="104"/>
      <c r="C288" s="15"/>
      <c r="D288" s="372"/>
      <c r="E288" s="105"/>
      <c r="F288" s="105"/>
      <c r="G288" s="105"/>
      <c r="H288" s="105"/>
      <c r="I288" s="105"/>
      <c r="J288" s="105"/>
      <c r="K288" s="105"/>
      <c r="L288" s="105"/>
      <c r="M288" s="105"/>
      <c r="N288" s="105"/>
      <c r="O288" s="105"/>
      <c r="P288" s="105"/>
      <c r="Q288" s="105"/>
      <c r="R288" s="105"/>
      <c r="S288" s="105"/>
    </row>
    <row r="289" spans="1:19" ht="12.75" customHeight="1">
      <c r="A289" s="89"/>
      <c r="B289" s="104"/>
      <c r="C289" s="15"/>
      <c r="D289" s="372"/>
      <c r="E289" s="105"/>
      <c r="F289" s="105"/>
      <c r="G289" s="105"/>
      <c r="H289" s="105"/>
      <c r="I289" s="105"/>
      <c r="J289" s="105"/>
      <c r="K289" s="105"/>
      <c r="L289" s="105"/>
      <c r="M289" s="105"/>
      <c r="N289" s="105"/>
      <c r="O289" s="105"/>
      <c r="P289" s="105"/>
      <c r="Q289" s="105"/>
      <c r="R289" s="105"/>
      <c r="S289" s="105"/>
    </row>
    <row r="290" spans="1:19" ht="12.75" customHeight="1">
      <c r="A290" s="89"/>
      <c r="B290" s="104"/>
      <c r="C290" s="15"/>
      <c r="D290" s="372"/>
      <c r="E290" s="105"/>
      <c r="F290" s="105"/>
      <c r="G290" s="105"/>
      <c r="H290" s="105"/>
      <c r="I290" s="105"/>
      <c r="J290" s="105"/>
      <c r="K290" s="105"/>
      <c r="L290" s="105"/>
      <c r="M290" s="105"/>
      <c r="N290" s="105"/>
      <c r="O290" s="105"/>
      <c r="P290" s="105"/>
      <c r="Q290" s="105"/>
      <c r="R290" s="105"/>
      <c r="S290" s="105"/>
    </row>
    <row r="291" spans="1:19" ht="12.75" customHeight="1">
      <c r="A291" s="89"/>
      <c r="B291" s="104"/>
      <c r="C291" s="15"/>
      <c r="D291" s="372"/>
      <c r="E291" s="105"/>
      <c r="F291" s="105"/>
      <c r="G291" s="105"/>
      <c r="H291" s="105"/>
      <c r="I291" s="105"/>
      <c r="J291" s="105"/>
      <c r="K291" s="105"/>
      <c r="L291" s="105"/>
      <c r="M291" s="105"/>
      <c r="N291" s="105"/>
      <c r="O291" s="105"/>
      <c r="P291" s="105"/>
      <c r="Q291" s="105"/>
      <c r="R291" s="105"/>
      <c r="S291" s="105"/>
    </row>
    <row r="292" spans="1:19" ht="12.75" customHeight="1">
      <c r="A292" s="89"/>
      <c r="B292" s="104"/>
      <c r="C292" s="15"/>
      <c r="D292" s="372"/>
      <c r="E292" s="105"/>
      <c r="F292" s="105"/>
      <c r="G292" s="105"/>
      <c r="H292" s="105"/>
      <c r="I292" s="105"/>
      <c r="J292" s="105"/>
      <c r="K292" s="105"/>
      <c r="L292" s="105"/>
      <c r="M292" s="105"/>
      <c r="N292" s="105"/>
      <c r="O292" s="105"/>
      <c r="P292" s="105"/>
      <c r="Q292" s="105"/>
      <c r="R292" s="105"/>
      <c r="S292" s="105"/>
    </row>
    <row r="293" spans="1:19" ht="12.75" customHeight="1">
      <c r="A293" s="89"/>
      <c r="B293" s="104"/>
      <c r="C293" s="15"/>
      <c r="D293" s="372"/>
      <c r="E293" s="105"/>
      <c r="F293" s="105"/>
      <c r="G293" s="105"/>
      <c r="H293" s="105"/>
      <c r="I293" s="105"/>
      <c r="J293" s="105"/>
      <c r="K293" s="105"/>
      <c r="L293" s="105"/>
      <c r="M293" s="105"/>
      <c r="N293" s="105"/>
      <c r="O293" s="105"/>
      <c r="P293" s="105"/>
      <c r="Q293" s="105"/>
      <c r="R293" s="105"/>
      <c r="S293" s="105"/>
    </row>
    <row r="294" spans="1:19" ht="12.75" customHeight="1">
      <c r="A294" s="89"/>
      <c r="B294" s="104"/>
      <c r="C294" s="15"/>
      <c r="D294" s="372"/>
      <c r="E294" s="105"/>
      <c r="F294" s="105"/>
      <c r="G294" s="105"/>
      <c r="H294" s="105"/>
      <c r="I294" s="105"/>
      <c r="J294" s="105"/>
      <c r="K294" s="105"/>
      <c r="L294" s="105"/>
      <c r="M294" s="105"/>
      <c r="N294" s="105"/>
      <c r="O294" s="105"/>
      <c r="P294" s="105"/>
      <c r="Q294" s="105"/>
      <c r="R294" s="105"/>
      <c r="S294" s="105"/>
    </row>
    <row r="295" spans="1:19" ht="12.75" customHeight="1">
      <c r="A295" s="89"/>
      <c r="B295" s="104"/>
      <c r="C295" s="15"/>
      <c r="D295" s="372"/>
      <c r="E295" s="105"/>
      <c r="F295" s="105"/>
      <c r="G295" s="105"/>
      <c r="H295" s="105"/>
      <c r="I295" s="105"/>
      <c r="J295" s="105"/>
      <c r="K295" s="105"/>
      <c r="L295" s="105"/>
      <c r="M295" s="105"/>
      <c r="N295" s="105"/>
      <c r="O295" s="105"/>
      <c r="P295" s="105"/>
      <c r="Q295" s="105"/>
      <c r="R295" s="105"/>
      <c r="S295" s="105"/>
    </row>
    <row r="296" spans="1:19" ht="12.75" customHeight="1">
      <c r="A296" s="89"/>
      <c r="B296" s="104"/>
      <c r="C296" s="15"/>
      <c r="D296" s="372"/>
      <c r="E296" s="105"/>
      <c r="F296" s="105"/>
      <c r="G296" s="105"/>
      <c r="H296" s="105"/>
      <c r="I296" s="105"/>
      <c r="J296" s="105"/>
      <c r="K296" s="105"/>
      <c r="L296" s="105"/>
      <c r="M296" s="105"/>
      <c r="N296" s="105"/>
      <c r="O296" s="105"/>
      <c r="P296" s="105"/>
      <c r="Q296" s="105"/>
      <c r="R296" s="105"/>
      <c r="S296" s="105"/>
    </row>
    <row r="297" spans="1:19" ht="12.75" customHeight="1">
      <c r="A297" s="89"/>
      <c r="B297" s="104"/>
      <c r="C297" s="15"/>
      <c r="D297" s="372"/>
      <c r="E297" s="105"/>
      <c r="F297" s="105"/>
      <c r="G297" s="105"/>
      <c r="H297" s="105"/>
      <c r="I297" s="105"/>
      <c r="J297" s="105"/>
      <c r="K297" s="105"/>
      <c r="L297" s="105"/>
      <c r="M297" s="105"/>
      <c r="N297" s="105"/>
      <c r="O297" s="105"/>
      <c r="P297" s="105"/>
      <c r="Q297" s="105"/>
      <c r="R297" s="105"/>
      <c r="S297" s="105"/>
    </row>
    <row r="298" spans="1:19" ht="12.75" customHeight="1">
      <c r="A298" s="89"/>
      <c r="B298" s="104"/>
      <c r="C298" s="15"/>
      <c r="D298" s="372"/>
      <c r="E298" s="105"/>
      <c r="F298" s="105"/>
      <c r="G298" s="105"/>
      <c r="H298" s="105"/>
      <c r="I298" s="105"/>
      <c r="J298" s="105"/>
      <c r="K298" s="105"/>
      <c r="L298" s="105"/>
      <c r="M298" s="105"/>
      <c r="N298" s="105"/>
      <c r="O298" s="105"/>
      <c r="P298" s="105"/>
      <c r="Q298" s="105"/>
      <c r="R298" s="105"/>
      <c r="S298" s="105"/>
    </row>
    <row r="299" spans="1:19" ht="12.75" customHeight="1">
      <c r="A299" s="89"/>
      <c r="B299" s="104"/>
      <c r="C299" s="15"/>
      <c r="D299" s="372"/>
      <c r="E299" s="105"/>
      <c r="F299" s="105"/>
      <c r="G299" s="105"/>
      <c r="H299" s="105"/>
      <c r="I299" s="105"/>
      <c r="J299" s="105"/>
      <c r="K299" s="105"/>
      <c r="L299" s="105"/>
      <c r="M299" s="105"/>
      <c r="N299" s="105"/>
      <c r="O299" s="105"/>
      <c r="P299" s="105"/>
      <c r="Q299" s="105"/>
      <c r="R299" s="105"/>
      <c r="S299" s="105"/>
    </row>
    <row r="300" spans="1:19" ht="12.75" customHeight="1">
      <c r="A300" s="89"/>
      <c r="B300" s="104"/>
      <c r="C300" s="15"/>
      <c r="D300" s="372"/>
      <c r="E300" s="105"/>
      <c r="F300" s="105"/>
      <c r="G300" s="105"/>
      <c r="H300" s="105"/>
      <c r="I300" s="105"/>
      <c r="J300" s="105"/>
      <c r="K300" s="105"/>
      <c r="L300" s="105"/>
      <c r="M300" s="105"/>
      <c r="N300" s="105"/>
      <c r="O300" s="105"/>
      <c r="P300" s="105"/>
      <c r="Q300" s="105"/>
      <c r="R300" s="105"/>
      <c r="S300" s="105"/>
    </row>
    <row r="301" spans="1:19" ht="12.75" customHeight="1">
      <c r="A301" s="89"/>
      <c r="B301" s="104"/>
      <c r="C301" s="15"/>
      <c r="D301" s="372"/>
      <c r="E301" s="105"/>
      <c r="F301" s="105"/>
      <c r="G301" s="105"/>
      <c r="H301" s="105"/>
      <c r="I301" s="105"/>
      <c r="J301" s="105"/>
      <c r="K301" s="105"/>
      <c r="L301" s="105"/>
      <c r="M301" s="105"/>
      <c r="N301" s="105"/>
      <c r="O301" s="105"/>
      <c r="P301" s="105"/>
      <c r="Q301" s="105"/>
      <c r="R301" s="105"/>
      <c r="S301" s="105"/>
    </row>
    <row r="302" spans="1:19" ht="12.75" customHeight="1">
      <c r="A302" s="89"/>
      <c r="B302" s="104"/>
      <c r="C302" s="15"/>
      <c r="D302" s="372"/>
      <c r="E302" s="105"/>
      <c r="F302" s="105"/>
      <c r="G302" s="105"/>
      <c r="H302" s="105"/>
      <c r="I302" s="105"/>
      <c r="J302" s="105"/>
      <c r="K302" s="105"/>
      <c r="L302" s="105"/>
      <c r="M302" s="105"/>
      <c r="N302" s="105"/>
      <c r="O302" s="105"/>
      <c r="P302" s="105"/>
      <c r="Q302" s="105"/>
      <c r="R302" s="105"/>
      <c r="S302" s="105"/>
    </row>
    <row r="303" spans="1:19" ht="12.75" customHeight="1">
      <c r="A303" s="89"/>
      <c r="B303" s="104"/>
      <c r="C303" s="15"/>
      <c r="D303" s="372"/>
      <c r="E303" s="105"/>
      <c r="F303" s="105"/>
      <c r="G303" s="105"/>
      <c r="H303" s="105"/>
      <c r="I303" s="105"/>
      <c r="J303" s="105"/>
      <c r="K303" s="105"/>
      <c r="L303" s="105"/>
      <c r="M303" s="105"/>
      <c r="N303" s="105"/>
      <c r="O303" s="105"/>
      <c r="P303" s="105"/>
      <c r="Q303" s="105"/>
      <c r="R303" s="105"/>
      <c r="S303" s="105"/>
    </row>
    <row r="304" spans="1:19" ht="12.75" customHeight="1">
      <c r="A304" s="89"/>
      <c r="B304" s="104"/>
      <c r="C304" s="15"/>
      <c r="D304" s="372"/>
      <c r="E304" s="105"/>
      <c r="F304" s="105"/>
      <c r="G304" s="105"/>
      <c r="H304" s="105"/>
      <c r="I304" s="105"/>
      <c r="J304" s="105"/>
      <c r="K304" s="105"/>
      <c r="L304" s="105"/>
      <c r="M304" s="105"/>
      <c r="N304" s="105"/>
      <c r="O304" s="105"/>
      <c r="P304" s="105"/>
      <c r="Q304" s="105"/>
      <c r="R304" s="105"/>
      <c r="S304" s="105"/>
    </row>
    <row r="305" spans="1:19" ht="12.75" customHeight="1">
      <c r="A305" s="89"/>
      <c r="B305" s="104"/>
      <c r="C305" s="15"/>
      <c r="D305" s="372"/>
      <c r="E305" s="105"/>
      <c r="F305" s="105"/>
      <c r="G305" s="105"/>
      <c r="H305" s="105"/>
      <c r="I305" s="105"/>
      <c r="J305" s="105"/>
      <c r="K305" s="105"/>
      <c r="L305" s="105"/>
      <c r="M305" s="105"/>
      <c r="N305" s="105"/>
      <c r="O305" s="105"/>
      <c r="P305" s="105"/>
      <c r="Q305" s="105"/>
      <c r="R305" s="105"/>
      <c r="S305" s="105"/>
    </row>
    <row r="306" spans="1:19" ht="12.75" customHeight="1">
      <c r="A306" s="89"/>
      <c r="B306" s="104"/>
      <c r="C306" s="15"/>
      <c r="D306" s="372"/>
      <c r="E306" s="105"/>
      <c r="F306" s="105"/>
      <c r="G306" s="105"/>
      <c r="H306" s="105"/>
      <c r="I306" s="105"/>
      <c r="J306" s="105"/>
      <c r="K306" s="105"/>
      <c r="L306" s="105"/>
      <c r="M306" s="105"/>
      <c r="N306" s="105"/>
      <c r="O306" s="105"/>
      <c r="P306" s="105"/>
      <c r="Q306" s="105"/>
      <c r="R306" s="105"/>
      <c r="S306" s="105"/>
    </row>
    <row r="307" spans="1:19" ht="12.75" customHeight="1">
      <c r="A307" s="89"/>
      <c r="B307" s="104"/>
      <c r="C307" s="15"/>
      <c r="D307" s="372"/>
      <c r="E307" s="105"/>
      <c r="F307" s="105"/>
      <c r="G307" s="105"/>
      <c r="H307" s="105"/>
      <c r="I307" s="105"/>
      <c r="J307" s="105"/>
      <c r="K307" s="105"/>
      <c r="L307" s="105"/>
      <c r="M307" s="105"/>
      <c r="N307" s="105"/>
      <c r="O307" s="105"/>
      <c r="P307" s="105"/>
      <c r="Q307" s="105"/>
      <c r="R307" s="105"/>
      <c r="S307" s="105"/>
    </row>
    <row r="308" spans="1:19" ht="12.75" customHeight="1">
      <c r="A308" s="89"/>
      <c r="B308" s="104"/>
      <c r="C308" s="15"/>
      <c r="D308" s="372"/>
      <c r="E308" s="105"/>
      <c r="F308" s="105"/>
      <c r="G308" s="105"/>
      <c r="H308" s="105"/>
      <c r="I308" s="105"/>
      <c r="J308" s="105"/>
      <c r="K308" s="105"/>
      <c r="L308" s="105"/>
      <c r="M308" s="105"/>
      <c r="N308" s="105"/>
      <c r="O308" s="105"/>
      <c r="P308" s="105"/>
      <c r="Q308" s="105"/>
      <c r="R308" s="105"/>
      <c r="S308" s="105"/>
    </row>
    <row r="309" spans="1:19" ht="12.75" customHeight="1">
      <c r="A309" s="89"/>
      <c r="B309" s="104"/>
      <c r="C309" s="15"/>
      <c r="D309" s="372"/>
      <c r="E309" s="105"/>
      <c r="F309" s="105"/>
      <c r="G309" s="105"/>
      <c r="H309" s="105"/>
      <c r="I309" s="105"/>
      <c r="J309" s="105"/>
      <c r="K309" s="105"/>
      <c r="L309" s="105"/>
      <c r="M309" s="105"/>
      <c r="N309" s="105"/>
      <c r="O309" s="105"/>
      <c r="P309" s="105"/>
      <c r="Q309" s="105"/>
      <c r="R309" s="105"/>
      <c r="S309" s="105"/>
    </row>
    <row r="310" spans="1:19" ht="12.75" customHeight="1">
      <c r="A310" s="89"/>
      <c r="B310" s="104"/>
      <c r="C310" s="15"/>
      <c r="D310" s="372"/>
      <c r="E310" s="105"/>
      <c r="F310" s="105"/>
      <c r="G310" s="105"/>
      <c r="H310" s="105"/>
      <c r="I310" s="105"/>
      <c r="J310" s="105"/>
      <c r="K310" s="105"/>
      <c r="L310" s="105"/>
      <c r="M310" s="105"/>
      <c r="N310" s="105"/>
      <c r="O310" s="105"/>
      <c r="P310" s="105"/>
      <c r="Q310" s="105"/>
      <c r="R310" s="105"/>
      <c r="S310" s="105"/>
    </row>
    <row r="311" spans="1:19" ht="12.75" customHeight="1">
      <c r="A311" s="89"/>
      <c r="B311" s="104"/>
      <c r="C311" s="15"/>
      <c r="D311" s="372"/>
      <c r="E311" s="105"/>
      <c r="F311" s="105"/>
      <c r="G311" s="105"/>
      <c r="H311" s="105"/>
      <c r="I311" s="105"/>
      <c r="J311" s="105"/>
      <c r="K311" s="105"/>
      <c r="L311" s="105"/>
      <c r="M311" s="105"/>
      <c r="N311" s="105"/>
      <c r="O311" s="105"/>
      <c r="P311" s="105"/>
      <c r="Q311" s="105"/>
      <c r="R311" s="105"/>
      <c r="S311" s="105"/>
    </row>
    <row r="312" spans="1:19" ht="12.75" customHeight="1">
      <c r="A312" s="89"/>
      <c r="B312" s="104"/>
      <c r="C312" s="15"/>
      <c r="D312" s="372"/>
      <c r="E312" s="105"/>
      <c r="F312" s="105"/>
      <c r="G312" s="105"/>
      <c r="H312" s="105"/>
      <c r="I312" s="105"/>
      <c r="J312" s="105"/>
      <c r="K312" s="105"/>
      <c r="L312" s="105"/>
      <c r="M312" s="105"/>
      <c r="N312" s="105"/>
      <c r="O312" s="105"/>
      <c r="P312" s="105"/>
      <c r="Q312" s="105"/>
      <c r="R312" s="105"/>
      <c r="S312" s="105"/>
    </row>
    <row r="313" spans="1:19" ht="12.75" customHeight="1">
      <c r="A313" s="89"/>
      <c r="B313" s="104"/>
      <c r="C313" s="15"/>
      <c r="D313" s="372"/>
      <c r="E313" s="105"/>
      <c r="F313" s="105"/>
      <c r="G313" s="105"/>
      <c r="H313" s="105"/>
      <c r="I313" s="105"/>
      <c r="J313" s="105"/>
      <c r="K313" s="105"/>
      <c r="L313" s="105"/>
      <c r="M313" s="105"/>
      <c r="N313" s="105"/>
      <c r="O313" s="105"/>
      <c r="P313" s="105"/>
      <c r="Q313" s="105"/>
      <c r="R313" s="105"/>
      <c r="S313" s="105"/>
    </row>
    <row r="314" spans="1:19" ht="12.75" customHeight="1">
      <c r="A314" s="89"/>
      <c r="B314" s="104"/>
      <c r="C314" s="15"/>
      <c r="D314" s="372"/>
      <c r="E314" s="105"/>
      <c r="F314" s="105"/>
      <c r="G314" s="105"/>
      <c r="H314" s="105"/>
      <c r="I314" s="105"/>
      <c r="J314" s="105"/>
      <c r="K314" s="105"/>
      <c r="L314" s="105"/>
      <c r="M314" s="105"/>
      <c r="N314" s="105"/>
      <c r="O314" s="105"/>
      <c r="P314" s="105"/>
      <c r="Q314" s="105"/>
      <c r="R314" s="105"/>
      <c r="S314" s="105"/>
    </row>
    <row r="315" spans="1:19" ht="12.75" customHeight="1">
      <c r="A315" s="89"/>
      <c r="B315" s="104"/>
      <c r="C315" s="15"/>
      <c r="D315" s="372"/>
      <c r="E315" s="105"/>
      <c r="F315" s="105"/>
      <c r="G315" s="105"/>
      <c r="H315" s="105"/>
      <c r="I315" s="105"/>
      <c r="J315" s="105"/>
      <c r="K315" s="105"/>
      <c r="L315" s="105"/>
      <c r="M315" s="105"/>
      <c r="N315" s="105"/>
      <c r="O315" s="105"/>
      <c r="P315" s="105"/>
      <c r="Q315" s="105"/>
      <c r="R315" s="105"/>
      <c r="S315" s="105"/>
    </row>
    <row r="316" spans="1:19" ht="12.75" customHeight="1">
      <c r="A316" s="89"/>
      <c r="B316" s="104"/>
      <c r="C316" s="15"/>
      <c r="D316" s="372"/>
      <c r="E316" s="105"/>
      <c r="F316" s="105"/>
      <c r="G316" s="105"/>
      <c r="H316" s="105"/>
      <c r="I316" s="105"/>
      <c r="J316" s="105"/>
      <c r="K316" s="105"/>
      <c r="L316" s="105"/>
      <c r="M316" s="105"/>
      <c r="N316" s="105"/>
      <c r="O316" s="105"/>
      <c r="P316" s="105"/>
      <c r="Q316" s="105"/>
      <c r="R316" s="105"/>
      <c r="S316" s="105"/>
    </row>
    <row r="317" spans="1:19" ht="12.75" customHeight="1">
      <c r="A317" s="89"/>
      <c r="B317" s="104"/>
      <c r="C317" s="15"/>
      <c r="D317" s="372"/>
      <c r="E317" s="105"/>
      <c r="F317" s="105"/>
      <c r="G317" s="105"/>
      <c r="H317" s="105"/>
      <c r="I317" s="105"/>
      <c r="J317" s="105"/>
      <c r="K317" s="105"/>
      <c r="L317" s="105"/>
      <c r="M317" s="105"/>
      <c r="N317" s="105"/>
      <c r="O317" s="105"/>
      <c r="P317" s="105"/>
      <c r="Q317" s="105"/>
      <c r="R317" s="105"/>
      <c r="S317" s="105"/>
    </row>
    <row r="318" spans="1:19" ht="12.75" customHeight="1">
      <c r="A318" s="89"/>
      <c r="B318" s="104"/>
      <c r="C318" s="15"/>
      <c r="D318" s="372"/>
      <c r="E318" s="105"/>
      <c r="F318" s="105"/>
      <c r="G318" s="105"/>
      <c r="H318" s="105"/>
      <c r="I318" s="105"/>
      <c r="J318" s="105"/>
      <c r="K318" s="105"/>
      <c r="L318" s="105"/>
      <c r="M318" s="105"/>
      <c r="N318" s="105"/>
      <c r="O318" s="105"/>
      <c r="P318" s="105"/>
      <c r="Q318" s="105"/>
      <c r="R318" s="105"/>
      <c r="S318" s="105"/>
    </row>
    <row r="319" spans="1:19" ht="12.75" customHeight="1">
      <c r="A319" s="89"/>
      <c r="B319" s="104"/>
      <c r="C319" s="15"/>
      <c r="D319" s="372"/>
      <c r="E319" s="105"/>
      <c r="F319" s="105"/>
      <c r="G319" s="105"/>
      <c r="H319" s="105"/>
      <c r="I319" s="105"/>
      <c r="J319" s="105"/>
      <c r="K319" s="105"/>
      <c r="L319" s="105"/>
      <c r="M319" s="105"/>
      <c r="N319" s="105"/>
      <c r="O319" s="105"/>
      <c r="P319" s="105"/>
      <c r="Q319" s="105"/>
      <c r="R319" s="105"/>
      <c r="S319" s="105"/>
    </row>
    <row r="320" spans="1:19" ht="12.75" customHeight="1">
      <c r="A320" s="89"/>
      <c r="B320" s="104"/>
      <c r="C320" s="15"/>
      <c r="D320" s="372"/>
      <c r="E320" s="105"/>
      <c r="F320" s="105"/>
      <c r="G320" s="105"/>
      <c r="H320" s="105"/>
      <c r="I320" s="105"/>
      <c r="J320" s="105"/>
      <c r="K320" s="105"/>
      <c r="L320" s="105"/>
      <c r="M320" s="105"/>
      <c r="N320" s="105"/>
      <c r="O320" s="105"/>
      <c r="P320" s="105"/>
      <c r="Q320" s="105"/>
      <c r="R320" s="105"/>
      <c r="S320" s="105"/>
    </row>
    <row r="321" spans="1:19" ht="12.75" customHeight="1">
      <c r="A321" s="89"/>
      <c r="B321" s="104"/>
      <c r="C321" s="15"/>
      <c r="D321" s="372"/>
      <c r="E321" s="105"/>
      <c r="F321" s="105"/>
      <c r="G321" s="105"/>
      <c r="H321" s="105"/>
      <c r="I321" s="105"/>
      <c r="J321" s="105"/>
      <c r="K321" s="105"/>
      <c r="L321" s="105"/>
      <c r="M321" s="105"/>
      <c r="N321" s="105"/>
      <c r="O321" s="105"/>
      <c r="P321" s="105"/>
      <c r="Q321" s="105"/>
      <c r="R321" s="105"/>
      <c r="S321" s="105"/>
    </row>
    <row r="322" spans="1:19" ht="12.75" customHeight="1"/>
    <row r="323" spans="1:19" ht="12.75" customHeight="1"/>
    <row r="324" spans="1:19" ht="12.75" customHeight="1"/>
    <row r="325" spans="1:19" ht="12.75" customHeight="1"/>
    <row r="326" spans="1:19" ht="12.75" customHeight="1"/>
    <row r="327" spans="1:19" ht="12.75" customHeight="1"/>
    <row r="328" spans="1:19" ht="12.75" customHeight="1"/>
    <row r="329" spans="1:19" ht="12.75" customHeight="1"/>
    <row r="330" spans="1:19" ht="12.75" customHeight="1"/>
    <row r="331" spans="1:19" ht="12.75" customHeight="1"/>
    <row r="332" spans="1:19" ht="12.75" customHeight="1"/>
    <row r="333" spans="1:19" ht="12.75" customHeight="1"/>
    <row r="334" spans="1:19" ht="12.75" customHeight="1"/>
    <row r="335" spans="1:19" ht="12.75" customHeight="1"/>
    <row r="336" spans="1:19"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hidden="1" customHeight="1"/>
    <row r="697" ht="12.75" hidden="1" customHeight="1"/>
    <row r="698" ht="12.75" hidden="1"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sheetData>
  <autoFilter ref="A10:W71">
    <sortState ref="A12:W70">
      <sortCondition ref="A10:A87"/>
    </sortState>
  </autoFilter>
  <customSheetViews>
    <customSheetView guid="{45C8AF51-29EC-46A5-AB7F-1F0634E55D82}" scale="60" showAutoFilter="1" hiddenRows="1" hiddenColumns="1" topLeftCell="A85">
      <pane ySplit="13.72" topLeftCell="A532"/>
      <selection activeCell="A101" sqref="A101"/>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70">
        <sortState ref="A12:W70">
          <sortCondition ref="A10:A87"/>
        </sortState>
      </autoFilter>
    </customSheetView>
    <customSheetView guid="{FCC3B493-4306-43B2-9C73-76324485DD47}" scale="60" showAutoFilter="1" hiddenRows="1" hiddenColumns="1">
      <pane xSplit="4" ySplit="16" topLeftCell="E17" activePane="bottomRight" state="frozen"/>
      <selection pane="bottomRight" activeCell="A11" sqref="A11:A70"/>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XFD70"/>
    </customSheetView>
    <customSheetView guid="{AEDE1BDB-8710-4CDA-8488-31F49D423ACE}" scale="60" filter="1" showAutoFilter="1" hiddenRows="1" hiddenColumns="1">
      <pane xSplit="3" ySplit="83" topLeftCell="S138" activePane="bottomRight" state="frozenSplit"/>
      <selection pane="bottomRight" activeCell="S153" sqref="S153"/>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84">
        <filterColumn colId="18">
          <filters>
            <filter val="Inviable Sanitariamente"/>
          </filters>
        </filterColumn>
      </autoFilter>
    </customSheetView>
    <customSheetView guid="{75DD7674-E7DE-4BB1-A36D-76AA33452CB3}" scale="60" showAutoFilter="1" hiddenRows="1" hiddenColumns="1">
      <selection activeCell="C78" sqref="C78"/>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W70">
        <sortState ref="A12:W70">
          <sortCondition ref="A10:A87"/>
        </sortState>
      </autoFilter>
    </customSheetView>
  </customSheetViews>
  <mergeCells count="22">
    <mergeCell ref="C73:S74"/>
    <mergeCell ref="B1:D1"/>
    <mergeCell ref="B2:D2"/>
    <mergeCell ref="B4:D4"/>
    <mergeCell ref="C5:C6"/>
    <mergeCell ref="C9:C10"/>
    <mergeCell ref="A7:B7"/>
    <mergeCell ref="A9:A10"/>
    <mergeCell ref="D5:D6"/>
    <mergeCell ref="B5:B6"/>
    <mergeCell ref="B9:B10"/>
    <mergeCell ref="D9:D10"/>
    <mergeCell ref="S9:S10"/>
    <mergeCell ref="Q5:R6"/>
    <mergeCell ref="S5:S6"/>
    <mergeCell ref="H5:J6"/>
    <mergeCell ref="E9:P9"/>
    <mergeCell ref="R9:R10"/>
    <mergeCell ref="N5:P6"/>
    <mergeCell ref="E5:G6"/>
    <mergeCell ref="Q9:Q10"/>
    <mergeCell ref="K5:M6"/>
  </mergeCells>
  <conditionalFormatting sqref="Q11:Q39 Q41:Q71">
    <cfRule type="containsBlanks" dxfId="4188" priority="980" stopIfTrue="1">
      <formula>LEN(TRIM(Q11))=0</formula>
    </cfRule>
    <cfRule type="cellIs" dxfId="4187" priority="981" stopIfTrue="1" operator="between">
      <formula>80.1</formula>
      <formula>100</formula>
    </cfRule>
    <cfRule type="cellIs" dxfId="4186" priority="982" stopIfTrue="1" operator="between">
      <formula>35.1</formula>
      <formula>80</formula>
    </cfRule>
    <cfRule type="cellIs" dxfId="4185" priority="983" stopIfTrue="1" operator="between">
      <formula>14.1</formula>
      <formula>35</formula>
    </cfRule>
    <cfRule type="cellIs" dxfId="4184" priority="984" stopIfTrue="1" operator="between">
      <formula>5.1</formula>
      <formula>14</formula>
    </cfRule>
    <cfRule type="cellIs" dxfId="4183" priority="985" stopIfTrue="1" operator="between">
      <formula>0</formula>
      <formula>5</formula>
    </cfRule>
    <cfRule type="containsBlanks" dxfId="4182" priority="986" stopIfTrue="1">
      <formula>LEN(TRIM(Q11))=0</formula>
    </cfRule>
  </conditionalFormatting>
  <conditionalFormatting sqref="R20:R27 R11:R16">
    <cfRule type="cellIs" dxfId="4181" priority="460" stopIfTrue="1" operator="equal">
      <formula>"NO"</formula>
    </cfRule>
  </conditionalFormatting>
  <conditionalFormatting sqref="R17">
    <cfRule type="cellIs" dxfId="4180" priority="270" stopIfTrue="1" operator="equal">
      <formula>"NO"</formula>
    </cfRule>
  </conditionalFormatting>
  <conditionalFormatting sqref="Q17:Q18">
    <cfRule type="containsBlanks" dxfId="4179" priority="263" stopIfTrue="1">
      <formula>LEN(TRIM(Q17))=0</formula>
    </cfRule>
    <cfRule type="cellIs" dxfId="4178" priority="264" stopIfTrue="1" operator="between">
      <formula>80.1</formula>
      <formula>100</formula>
    </cfRule>
    <cfRule type="cellIs" dxfId="4177" priority="265" stopIfTrue="1" operator="between">
      <formula>35.1</formula>
      <formula>80</formula>
    </cfRule>
    <cfRule type="cellIs" dxfId="4176" priority="266" stopIfTrue="1" operator="between">
      <formula>14.1</formula>
      <formula>35</formula>
    </cfRule>
    <cfRule type="cellIs" dxfId="4175" priority="267" stopIfTrue="1" operator="between">
      <formula>5.1</formula>
      <formula>14</formula>
    </cfRule>
    <cfRule type="cellIs" dxfId="4174" priority="268" stopIfTrue="1" operator="between">
      <formula>0</formula>
      <formula>5</formula>
    </cfRule>
    <cfRule type="containsBlanks" dxfId="4173" priority="269" stopIfTrue="1">
      <formula>LEN(TRIM(Q17))=0</formula>
    </cfRule>
  </conditionalFormatting>
  <conditionalFormatting sqref="R19">
    <cfRule type="cellIs" dxfId="4172" priority="255" stopIfTrue="1" operator="equal">
      <formula>"NO"</formula>
    </cfRule>
  </conditionalFormatting>
  <conditionalFormatting sqref="R18">
    <cfRule type="cellIs" dxfId="4171" priority="247" stopIfTrue="1" operator="equal">
      <formula>"NO"</formula>
    </cfRule>
  </conditionalFormatting>
  <conditionalFormatting sqref="S11:S39 S41:S71">
    <cfRule type="cellIs" dxfId="4170" priority="42" stopIfTrue="1" operator="equal">
      <formula>"INVIABLE SANITARIAMENTE"</formula>
    </cfRule>
  </conditionalFormatting>
  <conditionalFormatting sqref="S11:S39 S41:S71">
    <cfRule type="containsText" dxfId="4169" priority="30" stopIfTrue="1" operator="containsText" text="INVIABLE SANITARIAMENTE">
      <formula>NOT(ISERROR(SEARCH("INVIABLE SANITARIAMENTE",S11)))</formula>
    </cfRule>
    <cfRule type="containsText" dxfId="4168" priority="31" stopIfTrue="1" operator="containsText" text="ALTO">
      <formula>NOT(ISERROR(SEARCH("ALTO",S11)))</formula>
    </cfRule>
    <cfRule type="containsText" dxfId="4167" priority="32" stopIfTrue="1" operator="containsText" text="MEDIO">
      <formula>NOT(ISERROR(SEARCH("MEDIO",S11)))</formula>
    </cfRule>
    <cfRule type="containsText" dxfId="4166" priority="33" stopIfTrue="1" operator="containsText" text="BAJO">
      <formula>NOT(ISERROR(SEARCH("BAJO",S11)))</formula>
    </cfRule>
    <cfRule type="containsText" dxfId="4165" priority="34" stopIfTrue="1" operator="containsText" text="SIN RIESGO">
      <formula>NOT(ISERROR(SEARCH("SIN RIESGO",S11)))</formula>
    </cfRule>
  </conditionalFormatting>
  <conditionalFormatting sqref="S11:S39 S41:S71">
    <cfRule type="containsText" dxfId="4164" priority="29" stopIfTrue="1" operator="containsText" text="SIN RIESGO">
      <formula>NOT(ISERROR(SEARCH("SIN RIESGO",S11)))</formula>
    </cfRule>
  </conditionalFormatting>
  <conditionalFormatting sqref="Q71:R71 E11:P39 E41:P71">
    <cfRule type="containsBlanks" dxfId="4163" priority="22" stopIfTrue="1">
      <formula>LEN(TRIM(E11))=0</formula>
    </cfRule>
    <cfRule type="cellIs" dxfId="4162" priority="23" stopIfTrue="1" operator="between">
      <formula>79.1</formula>
      <formula>100</formula>
    </cfRule>
    <cfRule type="cellIs" dxfId="4161" priority="24" stopIfTrue="1" operator="between">
      <formula>34.1</formula>
      <formula>79</formula>
    </cfRule>
    <cfRule type="cellIs" dxfId="4160" priority="25" stopIfTrue="1" operator="between">
      <formula>13.1</formula>
      <formula>34</formula>
    </cfRule>
    <cfRule type="cellIs" dxfId="4159" priority="26" stopIfTrue="1" operator="between">
      <formula>5.1</formula>
      <formula>13</formula>
    </cfRule>
    <cfRule type="cellIs" dxfId="4158" priority="27" stopIfTrue="1" operator="between">
      <formula>0</formula>
      <formula>5</formula>
    </cfRule>
    <cfRule type="containsBlanks" dxfId="4157" priority="28" stopIfTrue="1">
      <formula>LEN(TRIM(E11))=0</formula>
    </cfRule>
  </conditionalFormatting>
  <conditionalFormatting sqref="Q40">
    <cfRule type="containsBlanks" dxfId="4156" priority="15" stopIfTrue="1">
      <formula>LEN(TRIM(Q40))=0</formula>
    </cfRule>
    <cfRule type="cellIs" dxfId="4155" priority="16" stopIfTrue="1" operator="between">
      <formula>80.1</formula>
      <formula>100</formula>
    </cfRule>
    <cfRule type="cellIs" dxfId="4154" priority="17" stopIfTrue="1" operator="between">
      <formula>35.1</formula>
      <formula>80</formula>
    </cfRule>
    <cfRule type="cellIs" dxfId="4153" priority="18" stopIfTrue="1" operator="between">
      <formula>14.1</formula>
      <formula>35</formula>
    </cfRule>
    <cfRule type="cellIs" dxfId="4152" priority="19" stopIfTrue="1" operator="between">
      <formula>5.1</formula>
      <formula>14</formula>
    </cfRule>
    <cfRule type="cellIs" dxfId="4151" priority="20" stopIfTrue="1" operator="between">
      <formula>0</formula>
      <formula>5</formula>
    </cfRule>
    <cfRule type="containsBlanks" dxfId="4150" priority="21" stopIfTrue="1">
      <formula>LEN(TRIM(Q40))=0</formula>
    </cfRule>
  </conditionalFormatting>
  <conditionalFormatting sqref="S40">
    <cfRule type="cellIs" dxfId="4149" priority="14" stopIfTrue="1" operator="equal">
      <formula>"INVIABLE SANITARIAMENTE"</formula>
    </cfRule>
  </conditionalFormatting>
  <conditionalFormatting sqref="S40">
    <cfRule type="containsText" dxfId="4148" priority="9" stopIfTrue="1" operator="containsText" text="INVIABLE SANITARIAMENTE">
      <formula>NOT(ISERROR(SEARCH("INVIABLE SANITARIAMENTE",S40)))</formula>
    </cfRule>
    <cfRule type="containsText" dxfId="4147" priority="10" stopIfTrue="1" operator="containsText" text="ALTO">
      <formula>NOT(ISERROR(SEARCH("ALTO",S40)))</formula>
    </cfRule>
    <cfRule type="containsText" dxfId="4146" priority="11" stopIfTrue="1" operator="containsText" text="MEDIO">
      <formula>NOT(ISERROR(SEARCH("MEDIO",S40)))</formula>
    </cfRule>
    <cfRule type="containsText" dxfId="4145" priority="12" stopIfTrue="1" operator="containsText" text="BAJO">
      <formula>NOT(ISERROR(SEARCH("BAJO",S40)))</formula>
    </cfRule>
    <cfRule type="containsText" dxfId="4144" priority="13" stopIfTrue="1" operator="containsText" text="SIN RIESGO">
      <formula>NOT(ISERROR(SEARCH("SIN RIESGO",S40)))</formula>
    </cfRule>
  </conditionalFormatting>
  <conditionalFormatting sqref="S40">
    <cfRule type="containsText" dxfId="4143" priority="8" stopIfTrue="1" operator="containsText" text="SIN RIESGO">
      <formula>NOT(ISERROR(SEARCH("SIN RIESGO",S40)))</formula>
    </cfRule>
  </conditionalFormatting>
  <conditionalFormatting sqref="E40:P40">
    <cfRule type="containsBlanks" dxfId="4142" priority="1" stopIfTrue="1">
      <formula>LEN(TRIM(E40))=0</formula>
    </cfRule>
    <cfRule type="cellIs" dxfId="4141" priority="2" stopIfTrue="1" operator="between">
      <formula>79.1</formula>
      <formula>100</formula>
    </cfRule>
    <cfRule type="cellIs" dxfId="4140" priority="3" stopIfTrue="1" operator="between">
      <formula>34.1</formula>
      <formula>79</formula>
    </cfRule>
    <cfRule type="cellIs" dxfId="4139" priority="4" stopIfTrue="1" operator="between">
      <formula>13.1</formula>
      <formula>34</formula>
    </cfRule>
    <cfRule type="cellIs" dxfId="4138" priority="5" stopIfTrue="1" operator="between">
      <formula>5.1</formula>
      <formula>13</formula>
    </cfRule>
    <cfRule type="cellIs" dxfId="4137" priority="6" stopIfTrue="1" operator="between">
      <formula>0</formula>
      <formula>5</formula>
    </cfRule>
    <cfRule type="containsBlanks" dxfId="4136" priority="7" stopIfTrue="1">
      <formula>LEN(TRIM(E40))=0</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sheetPr>
  <dimension ref="A1:BR90"/>
  <sheetViews>
    <sheetView zoomScale="60" zoomScaleNormal="80" workbookViewId="0">
      <pane xSplit="3" ySplit="7" topLeftCell="D8" activePane="bottomRight" state="frozenSplit"/>
      <selection pane="topRight" activeCell="D1" sqref="D1"/>
      <selection pane="bottomLeft" activeCell="A8" sqref="A8"/>
      <selection pane="bottomRight" activeCell="F89" sqref="F89"/>
    </sheetView>
  </sheetViews>
  <sheetFormatPr baseColWidth="10" defaultRowHeight="12.75"/>
  <cols>
    <col min="1" max="1" width="35.140625" style="34" customWidth="1"/>
    <col min="2" max="2" width="48.85546875" style="14" customWidth="1"/>
    <col min="3" max="3" width="59.42578125" style="14" customWidth="1"/>
    <col min="4" max="4" width="24.7109375" style="14" customWidth="1"/>
    <col min="5" max="18" width="10.7109375" style="13" customWidth="1"/>
    <col min="19" max="19" width="42.85546875" style="13" bestFit="1" customWidth="1"/>
    <col min="20" max="20" width="9.85546875" style="13" customWidth="1"/>
    <col min="21" max="16384" width="11.42578125" style="13"/>
  </cols>
  <sheetData>
    <row r="1" spans="1:23" s="7" customFormat="1" ht="18" customHeight="1">
      <c r="A1" s="54"/>
      <c r="B1" s="551" t="s">
        <v>258</v>
      </c>
      <c r="C1" s="551"/>
      <c r="D1" s="551"/>
      <c r="E1" s="100"/>
      <c r="F1" s="100"/>
      <c r="G1" s="100"/>
      <c r="H1" s="100"/>
      <c r="I1" s="100"/>
      <c r="J1" s="100"/>
      <c r="K1" s="100"/>
      <c r="L1" s="100"/>
      <c r="M1" s="100"/>
      <c r="N1" s="100"/>
      <c r="O1" s="100"/>
      <c r="P1" s="100"/>
      <c r="Q1" s="100"/>
      <c r="R1" s="101"/>
      <c r="S1" s="39" t="s">
        <v>546</v>
      </c>
      <c r="T1" s="3"/>
      <c r="U1" s="5"/>
      <c r="V1" s="6"/>
      <c r="W1" s="6"/>
    </row>
    <row r="2" spans="1:23" s="9" customFormat="1" ht="18" customHeight="1">
      <c r="A2" s="54"/>
      <c r="B2" s="552" t="s">
        <v>259</v>
      </c>
      <c r="C2" s="552"/>
      <c r="D2" s="552"/>
      <c r="E2" s="99"/>
      <c r="F2" s="99"/>
      <c r="G2" s="99"/>
      <c r="H2" s="99"/>
      <c r="I2" s="99"/>
      <c r="J2" s="99"/>
      <c r="K2" s="99"/>
      <c r="L2" s="99"/>
      <c r="M2" s="99"/>
      <c r="N2" s="99"/>
      <c r="O2" s="99"/>
      <c r="P2" s="99"/>
      <c r="Q2" s="99"/>
      <c r="R2" s="102"/>
      <c r="S2" s="40" t="s">
        <v>260</v>
      </c>
      <c r="T2" s="3"/>
      <c r="U2" s="8"/>
      <c r="V2" s="6"/>
      <c r="W2" s="6"/>
    </row>
    <row r="3" spans="1:23" s="7" customFormat="1" ht="18" customHeight="1">
      <c r="A3" s="54"/>
      <c r="B3" s="63" t="s">
        <v>4368</v>
      </c>
      <c r="C3" s="63"/>
      <c r="D3" s="63"/>
      <c r="E3" s="69"/>
      <c r="F3" s="69"/>
      <c r="G3" s="69"/>
      <c r="H3" s="69"/>
      <c r="I3" s="69"/>
      <c r="J3" s="69"/>
      <c r="K3" s="69"/>
      <c r="L3" s="69"/>
      <c r="M3" s="69"/>
      <c r="N3" s="69"/>
      <c r="O3" s="69"/>
      <c r="P3" s="69"/>
      <c r="Q3" s="69"/>
      <c r="R3" s="103"/>
      <c r="S3" s="40" t="s">
        <v>547</v>
      </c>
      <c r="T3" s="3"/>
      <c r="U3" s="5"/>
      <c r="V3" s="6"/>
      <c r="W3" s="6"/>
    </row>
    <row r="4" spans="1:23" s="7" customFormat="1" ht="18" customHeight="1">
      <c r="A4" s="54"/>
      <c r="B4" s="551" t="s">
        <v>4569</v>
      </c>
      <c r="C4" s="551"/>
      <c r="D4" s="551"/>
      <c r="E4" s="37"/>
      <c r="F4" s="37"/>
      <c r="G4" s="37"/>
      <c r="H4" s="37"/>
      <c r="I4" s="37"/>
      <c r="J4" s="37"/>
      <c r="K4" s="37"/>
      <c r="L4" s="37"/>
      <c r="M4" s="37"/>
      <c r="N4" s="37"/>
      <c r="O4" s="37"/>
      <c r="P4" s="37"/>
      <c r="Q4" s="37"/>
      <c r="R4" s="38"/>
      <c r="S4" s="40" t="s">
        <v>261</v>
      </c>
      <c r="T4" s="3"/>
      <c r="U4" s="5"/>
      <c r="V4" s="6"/>
      <c r="W4" s="6"/>
    </row>
    <row r="5" spans="1:23" s="32" customFormat="1" ht="15" customHeight="1">
      <c r="A5" s="42"/>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3" s="32" customFormat="1" ht="12.75" customHeight="1">
      <c r="A6" s="42"/>
      <c r="B6" s="558"/>
      <c r="C6" s="553"/>
      <c r="D6" s="557"/>
      <c r="E6" s="544"/>
      <c r="F6" s="544"/>
      <c r="G6" s="544"/>
      <c r="H6" s="539"/>
      <c r="I6" s="539"/>
      <c r="J6" s="539"/>
      <c r="K6" s="546"/>
      <c r="L6" s="546"/>
      <c r="M6" s="546"/>
      <c r="N6" s="543"/>
      <c r="O6" s="543"/>
      <c r="P6" s="543"/>
      <c r="Q6" s="562"/>
      <c r="R6" s="562"/>
      <c r="S6" s="538"/>
    </row>
    <row r="7" spans="1:23" s="32" customFormat="1" ht="6" customHeight="1">
      <c r="A7" s="555"/>
      <c r="B7" s="555"/>
      <c r="C7" s="43"/>
      <c r="D7" s="43"/>
      <c r="E7" s="44"/>
      <c r="F7" s="44"/>
      <c r="G7" s="44"/>
      <c r="H7" s="44"/>
      <c r="I7" s="44"/>
      <c r="J7" s="44"/>
      <c r="K7" s="44"/>
      <c r="L7" s="44"/>
      <c r="M7" s="44"/>
      <c r="N7" s="44"/>
      <c r="O7" s="44"/>
      <c r="P7" s="44"/>
      <c r="Q7" s="44"/>
      <c r="R7" s="44"/>
      <c r="S7" s="41"/>
    </row>
    <row r="8" spans="1:23" ht="19.5" customHeight="1">
      <c r="A8" s="52" t="s">
        <v>268</v>
      </c>
      <c r="B8" s="53"/>
      <c r="C8" s="51"/>
      <c r="D8" s="51"/>
      <c r="E8" s="51"/>
      <c r="F8" s="51"/>
      <c r="G8" s="51"/>
      <c r="H8" s="51"/>
      <c r="I8" s="51"/>
      <c r="J8" s="51"/>
      <c r="K8" s="51"/>
      <c r="L8" s="51"/>
      <c r="M8" s="51"/>
      <c r="N8" s="51"/>
      <c r="O8" s="51"/>
      <c r="P8" s="51"/>
      <c r="Q8" s="51"/>
      <c r="R8" s="51"/>
      <c r="S8" s="50"/>
      <c r="T8" s="15"/>
    </row>
    <row r="9" spans="1:23" ht="32.1" customHeight="1">
      <c r="A9" s="556" t="s">
        <v>37</v>
      </c>
      <c r="B9" s="554" t="s">
        <v>38</v>
      </c>
      <c r="C9" s="554" t="s">
        <v>262</v>
      </c>
      <c r="D9" s="569" t="s">
        <v>454</v>
      </c>
      <c r="E9" s="554" t="s">
        <v>33</v>
      </c>
      <c r="F9" s="554"/>
      <c r="G9" s="554"/>
      <c r="H9" s="554"/>
      <c r="I9" s="554"/>
      <c r="J9" s="554"/>
      <c r="K9" s="554"/>
      <c r="L9" s="554"/>
      <c r="M9" s="554"/>
      <c r="N9" s="554"/>
      <c r="O9" s="554"/>
      <c r="P9" s="554"/>
      <c r="Q9" s="567" t="s">
        <v>34</v>
      </c>
      <c r="R9" s="567" t="s">
        <v>36</v>
      </c>
      <c r="S9" s="554" t="s">
        <v>35</v>
      </c>
      <c r="T9" s="15"/>
    </row>
    <row r="10" spans="1:23" ht="32.1" customHeight="1">
      <c r="A10" s="556"/>
      <c r="B10" s="554"/>
      <c r="C10" s="554"/>
      <c r="D10" s="570"/>
      <c r="E10" s="370" t="s">
        <v>21</v>
      </c>
      <c r="F10" s="370" t="s">
        <v>22</v>
      </c>
      <c r="G10" s="370" t="s">
        <v>23</v>
      </c>
      <c r="H10" s="370" t="s">
        <v>24</v>
      </c>
      <c r="I10" s="370" t="s">
        <v>25</v>
      </c>
      <c r="J10" s="370" t="s">
        <v>26</v>
      </c>
      <c r="K10" s="370" t="s">
        <v>27</v>
      </c>
      <c r="L10" s="370" t="s">
        <v>28</v>
      </c>
      <c r="M10" s="370" t="s">
        <v>29</v>
      </c>
      <c r="N10" s="370" t="s">
        <v>30</v>
      </c>
      <c r="O10" s="370" t="s">
        <v>31</v>
      </c>
      <c r="P10" s="370" t="s">
        <v>32</v>
      </c>
      <c r="Q10" s="567"/>
      <c r="R10" s="567"/>
      <c r="S10" s="554"/>
      <c r="T10" s="15"/>
    </row>
    <row r="11" spans="1:23" ht="50.1" customHeight="1">
      <c r="A11" s="82" t="s">
        <v>191</v>
      </c>
      <c r="B11" s="490" t="s">
        <v>1591</v>
      </c>
      <c r="C11" s="110" t="s">
        <v>4418</v>
      </c>
      <c r="D11" s="114">
        <v>42</v>
      </c>
      <c r="E11" s="196"/>
      <c r="F11" s="196"/>
      <c r="G11" s="196"/>
      <c r="H11" s="196"/>
      <c r="I11" s="196"/>
      <c r="J11" s="196"/>
      <c r="K11" s="196"/>
      <c r="L11" s="196"/>
      <c r="M11" s="196"/>
      <c r="N11" s="196"/>
      <c r="O11" s="196"/>
      <c r="P11" s="196"/>
      <c r="Q11" s="139" t="e">
        <f t="shared" ref="Q11:Q44" si="0">AVERAGE(E11:P11)</f>
        <v>#DIV/0!</v>
      </c>
      <c r="R11" s="144" t="e">
        <f t="shared" ref="R11:R44" si="1">IF(Q11&lt;5,"SI","NO")</f>
        <v>#DIV/0!</v>
      </c>
      <c r="S11" s="145" t="e">
        <f t="shared" ref="S11:S44" si="2">IF(Q11&lt;=5,"Sin Riesgo",IF(Q11 &lt;=14,"Bajo",IF(Q11&lt;=35,"Medio",IF(Q11&lt;=80,"Alto","Inviable Sanitariamente"))))</f>
        <v>#DIV/0!</v>
      </c>
      <c r="T11" s="15"/>
    </row>
    <row r="12" spans="1:23" ht="50.1" customHeight="1">
      <c r="A12" s="82" t="s">
        <v>191</v>
      </c>
      <c r="B12" s="490" t="s">
        <v>1592</v>
      </c>
      <c r="C12" s="110" t="s">
        <v>4419</v>
      </c>
      <c r="D12" s="114">
        <v>24</v>
      </c>
      <c r="E12" s="196"/>
      <c r="F12" s="196"/>
      <c r="G12" s="196"/>
      <c r="H12" s="196"/>
      <c r="I12" s="196"/>
      <c r="J12" s="196"/>
      <c r="K12" s="196"/>
      <c r="L12" s="196"/>
      <c r="M12" s="196"/>
      <c r="N12" s="196"/>
      <c r="O12" s="196"/>
      <c r="P12" s="196"/>
      <c r="Q12" s="81" t="e">
        <f t="shared" si="0"/>
        <v>#DIV/0!</v>
      </c>
      <c r="R12" s="146" t="e">
        <f t="shared" si="1"/>
        <v>#DIV/0!</v>
      </c>
      <c r="S12" s="145" t="e">
        <f t="shared" si="2"/>
        <v>#DIV/0!</v>
      </c>
      <c r="T12" s="15"/>
    </row>
    <row r="13" spans="1:23" ht="50.1" customHeight="1">
      <c r="A13" s="82" t="s">
        <v>191</v>
      </c>
      <c r="B13" s="490" t="s">
        <v>1593</v>
      </c>
      <c r="C13" s="110" t="s">
        <v>4420</v>
      </c>
      <c r="D13" s="114">
        <v>54</v>
      </c>
      <c r="E13" s="196"/>
      <c r="F13" s="196"/>
      <c r="G13" s="196"/>
      <c r="H13" s="196"/>
      <c r="I13" s="196"/>
      <c r="J13" s="196"/>
      <c r="K13" s="196"/>
      <c r="L13" s="196"/>
      <c r="M13" s="196"/>
      <c r="N13" s="196"/>
      <c r="O13" s="196"/>
      <c r="P13" s="196"/>
      <c r="Q13" s="81" t="e">
        <f t="shared" si="0"/>
        <v>#DIV/0!</v>
      </c>
      <c r="R13" s="146" t="e">
        <f t="shared" si="1"/>
        <v>#DIV/0!</v>
      </c>
      <c r="S13" s="145" t="e">
        <f t="shared" si="2"/>
        <v>#DIV/0!</v>
      </c>
      <c r="T13" s="15"/>
    </row>
    <row r="14" spans="1:23" ht="50.1" customHeight="1">
      <c r="A14" s="82" t="s">
        <v>191</v>
      </c>
      <c r="B14" s="490" t="s">
        <v>1594</v>
      </c>
      <c r="C14" s="110" t="s">
        <v>4421</v>
      </c>
      <c r="D14" s="114">
        <v>19</v>
      </c>
      <c r="E14" s="196"/>
      <c r="F14" s="196"/>
      <c r="G14" s="196"/>
      <c r="H14" s="196"/>
      <c r="I14" s="196"/>
      <c r="J14" s="196"/>
      <c r="K14" s="196"/>
      <c r="L14" s="196"/>
      <c r="M14" s="196"/>
      <c r="N14" s="196"/>
      <c r="O14" s="196"/>
      <c r="P14" s="196"/>
      <c r="Q14" s="81" t="e">
        <f t="shared" si="0"/>
        <v>#DIV/0!</v>
      </c>
      <c r="R14" s="146" t="e">
        <f t="shared" si="1"/>
        <v>#DIV/0!</v>
      </c>
      <c r="S14" s="145" t="e">
        <f t="shared" si="2"/>
        <v>#DIV/0!</v>
      </c>
      <c r="T14" s="15"/>
    </row>
    <row r="15" spans="1:23" ht="50.1" customHeight="1">
      <c r="A15" s="82" t="s">
        <v>191</v>
      </c>
      <c r="B15" s="490" t="s">
        <v>1595</v>
      </c>
      <c r="C15" s="110" t="s">
        <v>4422</v>
      </c>
      <c r="D15" s="114">
        <v>9</v>
      </c>
      <c r="E15" s="196"/>
      <c r="F15" s="196"/>
      <c r="G15" s="196"/>
      <c r="H15" s="196"/>
      <c r="I15" s="196"/>
      <c r="J15" s="196"/>
      <c r="K15" s="196"/>
      <c r="L15" s="196"/>
      <c r="M15" s="196"/>
      <c r="N15" s="196"/>
      <c r="O15" s="196"/>
      <c r="P15" s="196"/>
      <c r="Q15" s="139" t="e">
        <f t="shared" si="0"/>
        <v>#DIV/0!</v>
      </c>
      <c r="R15" s="144" t="e">
        <f t="shared" si="1"/>
        <v>#DIV/0!</v>
      </c>
      <c r="S15" s="145" t="e">
        <f t="shared" si="2"/>
        <v>#DIV/0!</v>
      </c>
      <c r="T15" s="15"/>
    </row>
    <row r="16" spans="1:23" ht="50.1" customHeight="1">
      <c r="A16" s="82" t="s">
        <v>191</v>
      </c>
      <c r="B16" s="490" t="s">
        <v>1596</v>
      </c>
      <c r="C16" s="110" t="s">
        <v>4423</v>
      </c>
      <c r="D16" s="114">
        <v>39</v>
      </c>
      <c r="E16" s="196"/>
      <c r="F16" s="196"/>
      <c r="G16" s="196"/>
      <c r="H16" s="196"/>
      <c r="I16" s="196"/>
      <c r="J16" s="196"/>
      <c r="K16" s="196"/>
      <c r="L16" s="196"/>
      <c r="M16" s="196"/>
      <c r="N16" s="196"/>
      <c r="O16" s="196"/>
      <c r="P16" s="196"/>
      <c r="Q16" s="81" t="e">
        <f t="shared" si="0"/>
        <v>#DIV/0!</v>
      </c>
      <c r="R16" s="146" t="e">
        <f t="shared" si="1"/>
        <v>#DIV/0!</v>
      </c>
      <c r="S16" s="145" t="e">
        <f t="shared" si="2"/>
        <v>#DIV/0!</v>
      </c>
      <c r="T16" s="15"/>
    </row>
    <row r="17" spans="1:32" ht="50.1" customHeight="1">
      <c r="A17" s="82" t="s">
        <v>191</v>
      </c>
      <c r="B17" s="490" t="s">
        <v>1597</v>
      </c>
      <c r="C17" s="110" t="s">
        <v>4424</v>
      </c>
      <c r="D17" s="114">
        <v>12</v>
      </c>
      <c r="E17" s="196"/>
      <c r="F17" s="196"/>
      <c r="G17" s="196"/>
      <c r="H17" s="196"/>
      <c r="I17" s="196"/>
      <c r="J17" s="196"/>
      <c r="K17" s="196"/>
      <c r="L17" s="196"/>
      <c r="M17" s="196"/>
      <c r="N17" s="196"/>
      <c r="O17" s="196"/>
      <c r="P17" s="196"/>
      <c r="Q17" s="81" t="e">
        <f t="shared" si="0"/>
        <v>#DIV/0!</v>
      </c>
      <c r="R17" s="146" t="e">
        <f t="shared" si="1"/>
        <v>#DIV/0!</v>
      </c>
      <c r="S17" s="145" t="e">
        <f t="shared" si="2"/>
        <v>#DIV/0!</v>
      </c>
      <c r="T17" s="15"/>
    </row>
    <row r="18" spans="1:32" ht="50.1" customHeight="1">
      <c r="A18" s="82" t="s">
        <v>191</v>
      </c>
      <c r="B18" s="490" t="s">
        <v>1598</v>
      </c>
      <c r="C18" s="110" t="s">
        <v>4425</v>
      </c>
      <c r="D18" s="114">
        <v>65</v>
      </c>
      <c r="E18" s="196"/>
      <c r="F18" s="196"/>
      <c r="G18" s="196"/>
      <c r="H18" s="196"/>
      <c r="I18" s="196"/>
      <c r="J18" s="196"/>
      <c r="K18" s="196"/>
      <c r="L18" s="196"/>
      <c r="M18" s="196"/>
      <c r="N18" s="196"/>
      <c r="O18" s="196"/>
      <c r="P18" s="196"/>
      <c r="Q18" s="81" t="e">
        <f t="shared" si="0"/>
        <v>#DIV/0!</v>
      </c>
      <c r="R18" s="146" t="e">
        <f t="shared" si="1"/>
        <v>#DIV/0!</v>
      </c>
      <c r="S18" s="145" t="e">
        <f t="shared" si="2"/>
        <v>#DIV/0!</v>
      </c>
      <c r="T18" s="15"/>
    </row>
    <row r="19" spans="1:32" ht="50.1" customHeight="1">
      <c r="A19" s="82" t="s">
        <v>191</v>
      </c>
      <c r="B19" s="490" t="s">
        <v>1599</v>
      </c>
      <c r="C19" s="110" t="s">
        <v>4426</v>
      </c>
      <c r="D19" s="114">
        <v>8</v>
      </c>
      <c r="E19" s="196"/>
      <c r="F19" s="196"/>
      <c r="G19" s="196"/>
      <c r="H19" s="196"/>
      <c r="I19" s="196"/>
      <c r="J19" s="196"/>
      <c r="K19" s="196"/>
      <c r="L19" s="196"/>
      <c r="M19" s="196"/>
      <c r="N19" s="196"/>
      <c r="O19" s="196"/>
      <c r="P19" s="196"/>
      <c r="Q19" s="139" t="e">
        <f t="shared" si="0"/>
        <v>#DIV/0!</v>
      </c>
      <c r="R19" s="144" t="e">
        <f t="shared" si="1"/>
        <v>#DIV/0!</v>
      </c>
      <c r="S19" s="145" t="e">
        <f t="shared" si="2"/>
        <v>#DIV/0!</v>
      </c>
      <c r="T19" s="16"/>
    </row>
    <row r="20" spans="1:32" ht="50.1" customHeight="1">
      <c r="A20" s="82" t="s">
        <v>192</v>
      </c>
      <c r="B20" s="82" t="s">
        <v>1600</v>
      </c>
      <c r="C20" s="110" t="s">
        <v>4427</v>
      </c>
      <c r="D20" s="88">
        <v>32</v>
      </c>
      <c r="E20" s="196"/>
      <c r="F20" s="196"/>
      <c r="G20" s="196"/>
      <c r="H20" s="196"/>
      <c r="I20" s="196"/>
      <c r="J20" s="196"/>
      <c r="K20" s="196"/>
      <c r="L20" s="196"/>
      <c r="M20" s="196">
        <v>95</v>
      </c>
      <c r="N20" s="196"/>
      <c r="O20" s="196"/>
      <c r="P20" s="196"/>
      <c r="Q20" s="81">
        <f t="shared" si="0"/>
        <v>95</v>
      </c>
      <c r="R20" s="146" t="str">
        <f t="shared" si="1"/>
        <v>NO</v>
      </c>
      <c r="S20" s="145" t="str">
        <f t="shared" si="2"/>
        <v>Inviable Sanitariamente</v>
      </c>
      <c r="T20" s="16"/>
    </row>
    <row r="21" spans="1:32" ht="50.1" customHeight="1">
      <c r="A21" s="82" t="s">
        <v>192</v>
      </c>
      <c r="B21" s="82" t="s">
        <v>1601</v>
      </c>
      <c r="C21" s="491" t="s">
        <v>4348</v>
      </c>
      <c r="D21" s="187">
        <v>240</v>
      </c>
      <c r="E21" s="196"/>
      <c r="F21" s="196"/>
      <c r="G21" s="196"/>
      <c r="H21" s="196"/>
      <c r="I21" s="196"/>
      <c r="J21" s="196"/>
      <c r="K21" s="196"/>
      <c r="L21" s="196"/>
      <c r="M21" s="196"/>
      <c r="N21" s="196">
        <v>88</v>
      </c>
      <c r="O21" s="196"/>
      <c r="P21" s="196"/>
      <c r="Q21" s="81">
        <f t="shared" si="0"/>
        <v>88</v>
      </c>
      <c r="R21" s="146" t="str">
        <f t="shared" si="1"/>
        <v>NO</v>
      </c>
      <c r="S21" s="145" t="str">
        <f t="shared" si="2"/>
        <v>Inviable Sanitariamente</v>
      </c>
      <c r="T21" s="16"/>
    </row>
    <row r="22" spans="1:32" ht="50.1" customHeight="1">
      <c r="A22" s="82" t="s">
        <v>192</v>
      </c>
      <c r="B22" s="82" t="s">
        <v>1602</v>
      </c>
      <c r="C22" s="82" t="s">
        <v>4428</v>
      </c>
      <c r="D22" s="88">
        <v>208</v>
      </c>
      <c r="E22" s="196"/>
      <c r="F22" s="196"/>
      <c r="G22" s="196"/>
      <c r="H22" s="196"/>
      <c r="I22" s="196"/>
      <c r="J22" s="196">
        <v>97.3</v>
      </c>
      <c r="K22" s="196"/>
      <c r="L22" s="196"/>
      <c r="M22" s="196"/>
      <c r="N22" s="196"/>
      <c r="O22" s="196"/>
      <c r="P22" s="196"/>
      <c r="Q22" s="81">
        <f t="shared" si="0"/>
        <v>97.3</v>
      </c>
      <c r="R22" s="146" t="str">
        <f t="shared" si="1"/>
        <v>NO</v>
      </c>
      <c r="S22" s="145" t="str">
        <f t="shared" si="2"/>
        <v>Inviable Sanitariamente</v>
      </c>
      <c r="T22" s="16"/>
    </row>
    <row r="23" spans="1:32" ht="50.1" customHeight="1">
      <c r="A23" s="313" t="s">
        <v>192</v>
      </c>
      <c r="B23" s="313" t="s">
        <v>1603</v>
      </c>
      <c r="C23" s="313" t="s">
        <v>4429</v>
      </c>
      <c r="D23" s="312">
        <v>115</v>
      </c>
      <c r="E23" s="196"/>
      <c r="F23" s="196"/>
      <c r="G23" s="196"/>
      <c r="H23" s="196"/>
      <c r="I23" s="196"/>
      <c r="J23" s="196"/>
      <c r="K23" s="196"/>
      <c r="L23" s="196">
        <v>85</v>
      </c>
      <c r="M23" s="196"/>
      <c r="N23" s="196"/>
      <c r="O23" s="196"/>
      <c r="P23" s="196"/>
      <c r="Q23" s="314">
        <f t="shared" ref="Q23:Q24" si="3">AVERAGE(E23:P23)</f>
        <v>85</v>
      </c>
      <c r="R23" s="315" t="str">
        <f t="shared" ref="R23:R24" si="4">IF(Q23&lt;5,"SI","NO")</f>
        <v>NO</v>
      </c>
      <c r="S23" s="145" t="str">
        <f t="shared" ref="S23:S24" si="5">IF(Q23&lt;=5,"Sin Riesgo",IF(Q23 &lt;=14,"Bajo",IF(Q23&lt;=35,"Medio",IF(Q23&lt;=80,"Alto","Inviable Sanitariamente"))))</f>
        <v>Inviable Sanitariamente</v>
      </c>
      <c r="T23" s="16"/>
    </row>
    <row r="24" spans="1:32" ht="50.1" customHeight="1">
      <c r="A24" s="313" t="s">
        <v>192</v>
      </c>
      <c r="B24" s="313" t="s">
        <v>4496</v>
      </c>
      <c r="C24" s="313" t="s">
        <v>4577</v>
      </c>
      <c r="D24" s="312"/>
      <c r="E24" s="196"/>
      <c r="F24" s="196"/>
      <c r="G24" s="196"/>
      <c r="H24" s="196"/>
      <c r="I24" s="196"/>
      <c r="J24" s="196"/>
      <c r="K24" s="196"/>
      <c r="L24" s="196"/>
      <c r="M24" s="196"/>
      <c r="N24" s="196"/>
      <c r="O24" s="196"/>
      <c r="P24" s="196"/>
      <c r="Q24" s="314" t="e">
        <f t="shared" si="3"/>
        <v>#DIV/0!</v>
      </c>
      <c r="R24" s="315" t="e">
        <f t="shared" si="4"/>
        <v>#DIV/0!</v>
      </c>
      <c r="S24" s="145" t="e">
        <f t="shared" si="5"/>
        <v>#DIV/0!</v>
      </c>
      <c r="T24" s="16"/>
    </row>
    <row r="25" spans="1:32" ht="50.1" customHeight="1">
      <c r="A25" s="313" t="s">
        <v>192</v>
      </c>
      <c r="B25" s="313" t="s">
        <v>4495</v>
      </c>
      <c r="C25" s="313" t="s">
        <v>4577</v>
      </c>
      <c r="D25" s="312"/>
      <c r="E25" s="196"/>
      <c r="F25" s="196"/>
      <c r="G25" s="196"/>
      <c r="H25" s="196"/>
      <c r="I25" s="196"/>
      <c r="J25" s="196"/>
      <c r="K25" s="196"/>
      <c r="L25" s="196"/>
      <c r="M25" s="196"/>
      <c r="N25" s="196"/>
      <c r="O25" s="196"/>
      <c r="P25" s="196"/>
      <c r="Q25" s="314" t="e">
        <f t="shared" si="0"/>
        <v>#DIV/0!</v>
      </c>
      <c r="R25" s="315" t="e">
        <f t="shared" si="1"/>
        <v>#DIV/0!</v>
      </c>
      <c r="S25" s="145" t="e">
        <f t="shared" si="2"/>
        <v>#DIV/0!</v>
      </c>
      <c r="T25" s="16"/>
    </row>
    <row r="26" spans="1:32" s="83" customFormat="1" ht="50.1" customHeight="1">
      <c r="A26" s="82" t="s">
        <v>192</v>
      </c>
      <c r="B26" s="82" t="s">
        <v>1604</v>
      </c>
      <c r="C26" s="82" t="s">
        <v>4430</v>
      </c>
      <c r="D26" s="88">
        <v>34</v>
      </c>
      <c r="E26" s="196"/>
      <c r="F26" s="196"/>
      <c r="G26" s="196"/>
      <c r="H26" s="196"/>
      <c r="I26" s="196"/>
      <c r="J26" s="196"/>
      <c r="K26" s="196"/>
      <c r="L26" s="196">
        <v>91.4</v>
      </c>
      <c r="M26" s="196"/>
      <c r="N26" s="196"/>
      <c r="O26" s="196"/>
      <c r="P26" s="196"/>
      <c r="Q26" s="81">
        <f t="shared" si="0"/>
        <v>91.4</v>
      </c>
      <c r="R26" s="146" t="str">
        <f t="shared" si="1"/>
        <v>NO</v>
      </c>
      <c r="S26" s="145" t="str">
        <f t="shared" si="2"/>
        <v>Inviable Sanitariamente</v>
      </c>
      <c r="T26" s="16"/>
      <c r="U26" s="105"/>
      <c r="V26" s="105"/>
      <c r="W26" s="105"/>
      <c r="X26" s="105"/>
      <c r="Y26" s="105"/>
      <c r="Z26" s="105"/>
      <c r="AA26" s="105"/>
      <c r="AB26" s="105"/>
      <c r="AC26" s="105"/>
      <c r="AD26" s="105"/>
      <c r="AE26" s="105"/>
      <c r="AF26" s="338"/>
    </row>
    <row r="27" spans="1:32" ht="50.1" customHeight="1">
      <c r="A27" s="492" t="s">
        <v>192</v>
      </c>
      <c r="B27" s="492" t="s">
        <v>1605</v>
      </c>
      <c r="C27" s="493" t="s">
        <v>4431</v>
      </c>
      <c r="D27" s="316">
        <v>21</v>
      </c>
      <c r="E27" s="196"/>
      <c r="F27" s="196"/>
      <c r="G27" s="196"/>
      <c r="H27" s="196"/>
      <c r="I27" s="196"/>
      <c r="J27" s="196"/>
      <c r="K27" s="196"/>
      <c r="L27" s="196"/>
      <c r="M27" s="196">
        <v>92.7</v>
      </c>
      <c r="N27" s="196"/>
      <c r="O27" s="196"/>
      <c r="P27" s="196"/>
      <c r="Q27" s="317">
        <f t="shared" si="0"/>
        <v>92.7</v>
      </c>
      <c r="R27" s="318" t="str">
        <f t="shared" si="1"/>
        <v>NO</v>
      </c>
      <c r="S27" s="145" t="str">
        <f t="shared" si="2"/>
        <v>Inviable Sanitariamente</v>
      </c>
      <c r="T27" s="16"/>
    </row>
    <row r="28" spans="1:32" ht="32.1" customHeight="1">
      <c r="A28" s="82" t="s">
        <v>4097</v>
      </c>
      <c r="B28" s="490" t="s">
        <v>1606</v>
      </c>
      <c r="C28" s="490" t="s">
        <v>1607</v>
      </c>
      <c r="D28" s="119">
        <v>49</v>
      </c>
      <c r="E28" s="196"/>
      <c r="F28" s="196"/>
      <c r="G28" s="196"/>
      <c r="H28" s="196"/>
      <c r="I28" s="196"/>
      <c r="J28" s="196"/>
      <c r="K28" s="196">
        <v>55</v>
      </c>
      <c r="L28" s="196"/>
      <c r="M28" s="196"/>
      <c r="N28" s="196"/>
      <c r="O28" s="196"/>
      <c r="P28" s="196"/>
      <c r="Q28" s="139">
        <f t="shared" si="0"/>
        <v>55</v>
      </c>
      <c r="R28" s="144" t="str">
        <f t="shared" si="1"/>
        <v>NO</v>
      </c>
      <c r="S28" s="145" t="str">
        <f t="shared" si="2"/>
        <v>Alto</v>
      </c>
      <c r="T28" s="16"/>
    </row>
    <row r="29" spans="1:32" ht="32.1" customHeight="1">
      <c r="A29" s="82" t="s">
        <v>4097</v>
      </c>
      <c r="B29" s="490" t="s">
        <v>1608</v>
      </c>
      <c r="C29" s="490" t="s">
        <v>1609</v>
      </c>
      <c r="D29" s="119">
        <v>149</v>
      </c>
      <c r="E29" s="196"/>
      <c r="F29" s="196"/>
      <c r="G29" s="196"/>
      <c r="H29" s="196"/>
      <c r="I29" s="196"/>
      <c r="J29" s="196"/>
      <c r="K29" s="196">
        <v>55</v>
      </c>
      <c r="L29" s="196"/>
      <c r="M29" s="196"/>
      <c r="N29" s="196"/>
      <c r="O29" s="196"/>
      <c r="P29" s="196"/>
      <c r="Q29" s="139">
        <f t="shared" si="0"/>
        <v>55</v>
      </c>
      <c r="R29" s="144" t="str">
        <f t="shared" si="1"/>
        <v>NO</v>
      </c>
      <c r="S29" s="145" t="str">
        <f t="shared" si="2"/>
        <v>Alto</v>
      </c>
      <c r="T29" s="16"/>
    </row>
    <row r="30" spans="1:32" ht="32.1" customHeight="1">
      <c r="A30" s="82" t="s">
        <v>4097</v>
      </c>
      <c r="B30" s="490" t="s">
        <v>1610</v>
      </c>
      <c r="C30" s="490" t="s">
        <v>1611</v>
      </c>
      <c r="D30" s="119"/>
      <c r="E30" s="196"/>
      <c r="F30" s="196"/>
      <c r="G30" s="196"/>
      <c r="H30" s="196"/>
      <c r="I30" s="196"/>
      <c r="J30" s="196"/>
      <c r="K30" s="196"/>
      <c r="L30" s="196"/>
      <c r="M30" s="196"/>
      <c r="N30" s="196"/>
      <c r="O30" s="196"/>
      <c r="P30" s="196"/>
      <c r="Q30" s="139" t="e">
        <f t="shared" si="0"/>
        <v>#DIV/0!</v>
      </c>
      <c r="R30" s="144" t="e">
        <f t="shared" si="1"/>
        <v>#DIV/0!</v>
      </c>
      <c r="S30" s="145" t="e">
        <f t="shared" si="2"/>
        <v>#DIV/0!</v>
      </c>
      <c r="T30" s="16"/>
    </row>
    <row r="31" spans="1:32" ht="32.1" customHeight="1">
      <c r="A31" s="82" t="s">
        <v>4097</v>
      </c>
      <c r="B31" s="490" t="s">
        <v>785</v>
      </c>
      <c r="C31" s="490" t="s">
        <v>1612</v>
      </c>
      <c r="D31" s="119"/>
      <c r="E31" s="196"/>
      <c r="F31" s="196"/>
      <c r="G31" s="196"/>
      <c r="H31" s="196"/>
      <c r="I31" s="196"/>
      <c r="J31" s="196"/>
      <c r="K31" s="196"/>
      <c r="L31" s="196"/>
      <c r="M31" s="196"/>
      <c r="N31" s="196"/>
      <c r="O31" s="196"/>
      <c r="P31" s="196"/>
      <c r="Q31" s="139" t="e">
        <f t="shared" si="0"/>
        <v>#DIV/0!</v>
      </c>
      <c r="R31" s="144" t="e">
        <f t="shared" si="1"/>
        <v>#DIV/0!</v>
      </c>
      <c r="S31" s="145" t="e">
        <f t="shared" si="2"/>
        <v>#DIV/0!</v>
      </c>
      <c r="T31" s="16"/>
    </row>
    <row r="32" spans="1:32" ht="32.1" customHeight="1">
      <c r="A32" s="82" t="s">
        <v>4097</v>
      </c>
      <c r="B32" s="490" t="s">
        <v>1613</v>
      </c>
      <c r="C32" s="490" t="s">
        <v>1614</v>
      </c>
      <c r="D32" s="119">
        <v>6</v>
      </c>
      <c r="E32" s="196"/>
      <c r="F32" s="196"/>
      <c r="G32" s="196"/>
      <c r="H32" s="196"/>
      <c r="I32" s="196"/>
      <c r="J32" s="196"/>
      <c r="K32" s="196">
        <v>0</v>
      </c>
      <c r="L32" s="196"/>
      <c r="M32" s="196"/>
      <c r="N32" s="196"/>
      <c r="O32" s="196"/>
      <c r="P32" s="196"/>
      <c r="Q32" s="139">
        <f t="shared" si="0"/>
        <v>0</v>
      </c>
      <c r="R32" s="144" t="str">
        <f t="shared" si="1"/>
        <v>SI</v>
      </c>
      <c r="S32" s="145" t="str">
        <f t="shared" si="2"/>
        <v>Sin Riesgo</v>
      </c>
      <c r="T32" s="16"/>
    </row>
    <row r="33" spans="1:20" ht="32.1" customHeight="1">
      <c r="A33" s="82" t="s">
        <v>4097</v>
      </c>
      <c r="B33" s="490" t="s">
        <v>1615</v>
      </c>
      <c r="C33" s="490" t="s">
        <v>1616</v>
      </c>
      <c r="D33" s="119">
        <v>150</v>
      </c>
      <c r="E33" s="196"/>
      <c r="F33" s="196"/>
      <c r="G33" s="196"/>
      <c r="H33" s="196"/>
      <c r="I33" s="196"/>
      <c r="J33" s="196">
        <v>55</v>
      </c>
      <c r="K33" s="196"/>
      <c r="L33" s="196"/>
      <c r="M33" s="196"/>
      <c r="N33" s="196"/>
      <c r="O33" s="196"/>
      <c r="P33" s="196"/>
      <c r="Q33" s="139">
        <f t="shared" si="0"/>
        <v>55</v>
      </c>
      <c r="R33" s="144" t="str">
        <f t="shared" si="1"/>
        <v>NO</v>
      </c>
      <c r="S33" s="145" t="str">
        <f t="shared" si="2"/>
        <v>Alto</v>
      </c>
      <c r="T33" s="16"/>
    </row>
    <row r="34" spans="1:20" ht="32.1" customHeight="1">
      <c r="A34" s="82" t="s">
        <v>4097</v>
      </c>
      <c r="B34" s="490" t="s">
        <v>1617</v>
      </c>
      <c r="C34" s="490" t="s">
        <v>1618</v>
      </c>
      <c r="D34" s="119">
        <v>25</v>
      </c>
      <c r="E34" s="196"/>
      <c r="F34" s="196"/>
      <c r="G34" s="196"/>
      <c r="H34" s="196"/>
      <c r="I34" s="196"/>
      <c r="J34" s="196">
        <v>55</v>
      </c>
      <c r="K34" s="196"/>
      <c r="L34" s="196"/>
      <c r="M34" s="196"/>
      <c r="N34" s="196"/>
      <c r="O34" s="196"/>
      <c r="P34" s="196"/>
      <c r="Q34" s="139">
        <f t="shared" si="0"/>
        <v>55</v>
      </c>
      <c r="R34" s="144" t="str">
        <f t="shared" si="1"/>
        <v>NO</v>
      </c>
      <c r="S34" s="145" t="str">
        <f t="shared" si="2"/>
        <v>Alto</v>
      </c>
      <c r="T34" s="16"/>
    </row>
    <row r="35" spans="1:20" ht="32.1" customHeight="1">
      <c r="A35" s="82" t="s">
        <v>4097</v>
      </c>
      <c r="B35" s="490" t="s">
        <v>1619</v>
      </c>
      <c r="C35" s="490" t="s">
        <v>1620</v>
      </c>
      <c r="D35" s="119">
        <v>78</v>
      </c>
      <c r="E35" s="196"/>
      <c r="F35" s="196"/>
      <c r="G35" s="196"/>
      <c r="H35" s="196"/>
      <c r="I35" s="196"/>
      <c r="J35" s="196">
        <v>55</v>
      </c>
      <c r="K35" s="196"/>
      <c r="L35" s="196"/>
      <c r="M35" s="196"/>
      <c r="N35" s="196"/>
      <c r="O35" s="196"/>
      <c r="P35" s="196"/>
      <c r="Q35" s="139">
        <f t="shared" si="0"/>
        <v>55</v>
      </c>
      <c r="R35" s="144" t="str">
        <f t="shared" si="1"/>
        <v>NO</v>
      </c>
      <c r="S35" s="145" t="str">
        <f t="shared" si="2"/>
        <v>Alto</v>
      </c>
      <c r="T35" s="16"/>
    </row>
    <row r="36" spans="1:20" ht="32.1" customHeight="1">
      <c r="A36" s="82" t="s">
        <v>4097</v>
      </c>
      <c r="B36" s="490" t="s">
        <v>1621</v>
      </c>
      <c r="C36" s="490" t="s">
        <v>1622</v>
      </c>
      <c r="D36" s="119">
        <v>50</v>
      </c>
      <c r="E36" s="196"/>
      <c r="F36" s="196"/>
      <c r="G36" s="196"/>
      <c r="H36" s="196"/>
      <c r="I36" s="196"/>
      <c r="J36" s="196"/>
      <c r="K36" s="196">
        <v>55</v>
      </c>
      <c r="L36" s="196"/>
      <c r="M36" s="196"/>
      <c r="N36" s="196"/>
      <c r="O36" s="196"/>
      <c r="P36" s="196"/>
      <c r="Q36" s="139">
        <f t="shared" si="0"/>
        <v>55</v>
      </c>
      <c r="R36" s="144" t="str">
        <f t="shared" si="1"/>
        <v>NO</v>
      </c>
      <c r="S36" s="145" t="str">
        <f t="shared" si="2"/>
        <v>Alto</v>
      </c>
      <c r="T36" s="16"/>
    </row>
    <row r="37" spans="1:20" ht="32.1" customHeight="1">
      <c r="A37" s="82" t="s">
        <v>4097</v>
      </c>
      <c r="B37" s="490" t="s">
        <v>1623</v>
      </c>
      <c r="C37" s="490" t="s">
        <v>1624</v>
      </c>
      <c r="D37" s="119">
        <v>181</v>
      </c>
      <c r="E37" s="196"/>
      <c r="F37" s="196"/>
      <c r="G37" s="196"/>
      <c r="H37" s="196"/>
      <c r="I37" s="196"/>
      <c r="J37" s="196"/>
      <c r="K37" s="196"/>
      <c r="L37" s="196">
        <v>55</v>
      </c>
      <c r="M37" s="196"/>
      <c r="N37" s="196"/>
      <c r="O37" s="196"/>
      <c r="P37" s="196"/>
      <c r="Q37" s="139">
        <f t="shared" si="0"/>
        <v>55</v>
      </c>
      <c r="R37" s="144" t="str">
        <f t="shared" si="1"/>
        <v>NO</v>
      </c>
      <c r="S37" s="145" t="str">
        <f t="shared" si="2"/>
        <v>Alto</v>
      </c>
      <c r="T37" s="16"/>
    </row>
    <row r="38" spans="1:20" ht="32.1" customHeight="1">
      <c r="A38" s="82" t="s">
        <v>4097</v>
      </c>
      <c r="B38" s="490" t="s">
        <v>1625</v>
      </c>
      <c r="C38" s="490" t="s">
        <v>1626</v>
      </c>
      <c r="D38" s="114">
        <v>50</v>
      </c>
      <c r="E38" s="196"/>
      <c r="F38" s="196"/>
      <c r="G38" s="196"/>
      <c r="H38" s="196"/>
      <c r="I38" s="196"/>
      <c r="J38" s="196"/>
      <c r="K38" s="196">
        <v>55</v>
      </c>
      <c r="L38" s="196"/>
      <c r="M38" s="196"/>
      <c r="N38" s="196"/>
      <c r="O38" s="196"/>
      <c r="P38" s="196"/>
      <c r="Q38" s="139">
        <f t="shared" si="0"/>
        <v>55</v>
      </c>
      <c r="R38" s="144" t="str">
        <f t="shared" si="1"/>
        <v>NO</v>
      </c>
      <c r="S38" s="145" t="str">
        <f t="shared" si="2"/>
        <v>Alto</v>
      </c>
      <c r="T38" s="16"/>
    </row>
    <row r="39" spans="1:20" ht="32.1" customHeight="1">
      <c r="A39" s="82" t="s">
        <v>4097</v>
      </c>
      <c r="B39" s="490" t="s">
        <v>1627</v>
      </c>
      <c r="C39" s="490" t="s">
        <v>1628</v>
      </c>
      <c r="D39" s="119">
        <v>117</v>
      </c>
      <c r="E39" s="196"/>
      <c r="F39" s="196"/>
      <c r="G39" s="196"/>
      <c r="H39" s="196"/>
      <c r="I39" s="196"/>
      <c r="J39" s="196"/>
      <c r="K39" s="196">
        <v>55</v>
      </c>
      <c r="L39" s="196"/>
      <c r="M39" s="196"/>
      <c r="N39" s="196"/>
      <c r="O39" s="196"/>
      <c r="P39" s="196"/>
      <c r="Q39" s="139">
        <f t="shared" si="0"/>
        <v>55</v>
      </c>
      <c r="R39" s="144" t="str">
        <f t="shared" si="1"/>
        <v>NO</v>
      </c>
      <c r="S39" s="145" t="str">
        <f t="shared" si="2"/>
        <v>Alto</v>
      </c>
      <c r="T39" s="16"/>
    </row>
    <row r="40" spans="1:20" ht="32.1" customHeight="1">
      <c r="A40" s="82" t="s">
        <v>4097</v>
      </c>
      <c r="B40" s="490" t="s">
        <v>1629</v>
      </c>
      <c r="C40" s="490" t="s">
        <v>1630</v>
      </c>
      <c r="D40" s="119">
        <v>40</v>
      </c>
      <c r="E40" s="196"/>
      <c r="F40" s="196"/>
      <c r="G40" s="196"/>
      <c r="H40" s="196"/>
      <c r="I40" s="196"/>
      <c r="J40" s="196"/>
      <c r="K40" s="196"/>
      <c r="L40" s="196">
        <v>55</v>
      </c>
      <c r="M40" s="196"/>
      <c r="N40" s="196"/>
      <c r="O40" s="196"/>
      <c r="P40" s="196"/>
      <c r="Q40" s="139">
        <f t="shared" si="0"/>
        <v>55</v>
      </c>
      <c r="R40" s="144" t="str">
        <f t="shared" si="1"/>
        <v>NO</v>
      </c>
      <c r="S40" s="145" t="str">
        <f t="shared" si="2"/>
        <v>Alto</v>
      </c>
      <c r="T40" s="16"/>
    </row>
    <row r="41" spans="1:20" ht="32.1" customHeight="1">
      <c r="A41" s="82" t="s">
        <v>4097</v>
      </c>
      <c r="B41" s="490" t="s">
        <v>1631</v>
      </c>
      <c r="C41" s="490" t="s">
        <v>1632</v>
      </c>
      <c r="D41" s="114">
        <v>36</v>
      </c>
      <c r="E41" s="196"/>
      <c r="F41" s="196"/>
      <c r="G41" s="196"/>
      <c r="H41" s="196"/>
      <c r="I41" s="196"/>
      <c r="J41" s="196">
        <v>55</v>
      </c>
      <c r="K41" s="196"/>
      <c r="L41" s="196"/>
      <c r="M41" s="196"/>
      <c r="N41" s="196"/>
      <c r="O41" s="196"/>
      <c r="P41" s="196"/>
      <c r="Q41" s="139">
        <f t="shared" si="0"/>
        <v>55</v>
      </c>
      <c r="R41" s="144" t="str">
        <f t="shared" si="1"/>
        <v>NO</v>
      </c>
      <c r="S41" s="145" t="str">
        <f t="shared" si="2"/>
        <v>Alto</v>
      </c>
      <c r="T41" s="16"/>
    </row>
    <row r="42" spans="1:20" ht="32.1" customHeight="1">
      <c r="A42" s="82" t="s">
        <v>4097</v>
      </c>
      <c r="B42" s="490" t="s">
        <v>1633</v>
      </c>
      <c r="C42" s="490" t="s">
        <v>1634</v>
      </c>
      <c r="D42" s="119"/>
      <c r="E42" s="196"/>
      <c r="F42" s="196"/>
      <c r="G42" s="196"/>
      <c r="H42" s="196"/>
      <c r="I42" s="196"/>
      <c r="J42" s="196"/>
      <c r="K42" s="196"/>
      <c r="L42" s="196"/>
      <c r="M42" s="196"/>
      <c r="N42" s="196"/>
      <c r="O42" s="196"/>
      <c r="P42" s="196"/>
      <c r="Q42" s="139" t="e">
        <f t="shared" si="0"/>
        <v>#DIV/0!</v>
      </c>
      <c r="R42" s="144" t="e">
        <f t="shared" si="1"/>
        <v>#DIV/0!</v>
      </c>
      <c r="S42" s="145" t="e">
        <f t="shared" si="2"/>
        <v>#DIV/0!</v>
      </c>
      <c r="T42" s="16"/>
    </row>
    <row r="43" spans="1:20" ht="32.1" customHeight="1">
      <c r="A43" s="82" t="s">
        <v>194</v>
      </c>
      <c r="B43" s="82" t="s">
        <v>1635</v>
      </c>
      <c r="C43" s="82" t="s">
        <v>1636</v>
      </c>
      <c r="D43" s="138">
        <v>150</v>
      </c>
      <c r="E43" s="196"/>
      <c r="F43" s="196"/>
      <c r="G43" s="196"/>
      <c r="H43" s="196"/>
      <c r="I43" s="196"/>
      <c r="J43" s="196">
        <v>0</v>
      </c>
      <c r="K43" s="196"/>
      <c r="L43" s="196"/>
      <c r="M43" s="196"/>
      <c r="N43" s="196"/>
      <c r="O43" s="196"/>
      <c r="P43" s="196"/>
      <c r="Q43" s="81">
        <f t="shared" si="0"/>
        <v>0</v>
      </c>
      <c r="R43" s="146" t="str">
        <f t="shared" si="1"/>
        <v>SI</v>
      </c>
      <c r="S43" s="145" t="str">
        <f t="shared" si="2"/>
        <v>Sin Riesgo</v>
      </c>
      <c r="T43" s="16"/>
    </row>
    <row r="44" spans="1:20" ht="32.1" customHeight="1">
      <c r="A44" s="82" t="s">
        <v>194</v>
      </c>
      <c r="B44" s="82" t="s">
        <v>18</v>
      </c>
      <c r="C44" s="82" t="s">
        <v>1637</v>
      </c>
      <c r="D44" s="138"/>
      <c r="E44" s="196"/>
      <c r="F44" s="196"/>
      <c r="G44" s="196"/>
      <c r="H44" s="196"/>
      <c r="I44" s="196"/>
      <c r="J44" s="196"/>
      <c r="K44" s="196"/>
      <c r="L44" s="196"/>
      <c r="M44" s="196"/>
      <c r="N44" s="196"/>
      <c r="O44" s="196"/>
      <c r="P44" s="196"/>
      <c r="Q44" s="81" t="e">
        <f t="shared" si="0"/>
        <v>#DIV/0!</v>
      </c>
      <c r="R44" s="146" t="e">
        <f t="shared" si="1"/>
        <v>#DIV/0!</v>
      </c>
      <c r="S44" s="145" t="e">
        <f t="shared" si="2"/>
        <v>#DIV/0!</v>
      </c>
      <c r="T44" s="16"/>
    </row>
    <row r="45" spans="1:20" ht="32.1" customHeight="1">
      <c r="A45" s="82" t="s">
        <v>194</v>
      </c>
      <c r="B45" s="82" t="s">
        <v>1638</v>
      </c>
      <c r="C45" s="82" t="s">
        <v>1639</v>
      </c>
      <c r="D45" s="138">
        <v>4190</v>
      </c>
      <c r="E45" s="417">
        <v>0</v>
      </c>
      <c r="F45" s="417">
        <v>0</v>
      </c>
      <c r="G45" s="417">
        <v>0</v>
      </c>
      <c r="H45" s="417">
        <v>0</v>
      </c>
      <c r="I45" s="417">
        <v>0</v>
      </c>
      <c r="J45" s="417">
        <v>0</v>
      </c>
      <c r="K45" s="417"/>
      <c r="L45" s="417"/>
      <c r="M45" s="417"/>
      <c r="N45" s="417"/>
      <c r="O45" s="417"/>
      <c r="P45" s="417"/>
      <c r="Q45" s="418">
        <f t="shared" ref="Q45:Q76" si="6">AVERAGE(E45:P45)</f>
        <v>0</v>
      </c>
      <c r="R45" s="144" t="str">
        <f t="shared" ref="R45:R76" si="7">IF(Q45&lt;5,"SI","NO")</f>
        <v>SI</v>
      </c>
      <c r="S45" s="145" t="str">
        <f t="shared" ref="S45:S81" si="8">IF(Q45&lt;=5,"Sin Riesgo",IF(Q45 &lt;=14,"Bajo",IF(Q45&lt;=35,"Medio",IF(Q45&lt;=80,"Alto","Inviable Sanitariamente"))))</f>
        <v>Sin Riesgo</v>
      </c>
      <c r="T45" s="16"/>
    </row>
    <row r="46" spans="1:20" ht="32.1" customHeight="1">
      <c r="A46" s="82" t="s">
        <v>194</v>
      </c>
      <c r="B46" s="82" t="s">
        <v>1640</v>
      </c>
      <c r="C46" s="82" t="s">
        <v>1641</v>
      </c>
      <c r="D46" s="138">
        <v>1930</v>
      </c>
      <c r="E46" s="417">
        <v>0</v>
      </c>
      <c r="F46" s="417">
        <v>0</v>
      </c>
      <c r="G46" s="417">
        <v>0</v>
      </c>
      <c r="H46" s="417">
        <v>0</v>
      </c>
      <c r="I46" s="417">
        <v>0</v>
      </c>
      <c r="J46" s="417">
        <v>0</v>
      </c>
      <c r="K46" s="417"/>
      <c r="L46" s="417"/>
      <c r="M46" s="417"/>
      <c r="N46" s="417"/>
      <c r="O46" s="417"/>
      <c r="P46" s="417"/>
      <c r="Q46" s="418">
        <f t="shared" ref="Q46" si="9">AVERAGE(E46:P46)</f>
        <v>0</v>
      </c>
      <c r="R46" s="146" t="str">
        <f t="shared" si="7"/>
        <v>SI</v>
      </c>
      <c r="S46" s="145" t="str">
        <f t="shared" si="8"/>
        <v>Sin Riesgo</v>
      </c>
      <c r="T46" s="16"/>
    </row>
    <row r="47" spans="1:20" ht="32.1" customHeight="1">
      <c r="A47" s="82" t="s">
        <v>194</v>
      </c>
      <c r="B47" s="82" t="s">
        <v>1642</v>
      </c>
      <c r="C47" s="82" t="s">
        <v>57</v>
      </c>
      <c r="D47" s="138"/>
      <c r="E47" s="196"/>
      <c r="F47" s="196"/>
      <c r="G47" s="196"/>
      <c r="H47" s="196"/>
      <c r="I47" s="196"/>
      <c r="J47" s="196"/>
      <c r="K47" s="196"/>
      <c r="L47" s="196"/>
      <c r="M47" s="196"/>
      <c r="N47" s="196"/>
      <c r="O47" s="196"/>
      <c r="P47" s="196"/>
      <c r="Q47" s="81" t="e">
        <f t="shared" si="6"/>
        <v>#DIV/0!</v>
      </c>
      <c r="R47" s="146" t="e">
        <f t="shared" si="7"/>
        <v>#DIV/0!</v>
      </c>
      <c r="S47" s="145" t="e">
        <f t="shared" si="8"/>
        <v>#DIV/0!</v>
      </c>
      <c r="T47" s="16"/>
    </row>
    <row r="48" spans="1:20" ht="32.1" customHeight="1">
      <c r="A48" s="82" t="s">
        <v>194</v>
      </c>
      <c r="B48" s="82" t="s">
        <v>20</v>
      </c>
      <c r="C48" s="82" t="s">
        <v>1643</v>
      </c>
      <c r="D48" s="138"/>
      <c r="E48" s="196"/>
      <c r="F48" s="196"/>
      <c r="G48" s="196"/>
      <c r="H48" s="196"/>
      <c r="I48" s="196"/>
      <c r="J48" s="196"/>
      <c r="K48" s="196"/>
      <c r="L48" s="196"/>
      <c r="M48" s="196"/>
      <c r="N48" s="196"/>
      <c r="O48" s="196"/>
      <c r="P48" s="196"/>
      <c r="Q48" s="139" t="e">
        <f t="shared" si="6"/>
        <v>#DIV/0!</v>
      </c>
      <c r="R48" s="144" t="e">
        <f t="shared" si="7"/>
        <v>#DIV/0!</v>
      </c>
      <c r="S48" s="145" t="e">
        <f t="shared" si="8"/>
        <v>#DIV/0!</v>
      </c>
      <c r="T48" s="16"/>
    </row>
    <row r="49" spans="1:20" ht="32.1" customHeight="1">
      <c r="A49" s="82" t="s">
        <v>194</v>
      </c>
      <c r="B49" s="82" t="s">
        <v>1644</v>
      </c>
      <c r="C49" s="82" t="s">
        <v>57</v>
      </c>
      <c r="D49" s="138"/>
      <c r="E49" s="196"/>
      <c r="F49" s="196"/>
      <c r="G49" s="196"/>
      <c r="H49" s="196"/>
      <c r="I49" s="196"/>
      <c r="J49" s="196"/>
      <c r="K49" s="196"/>
      <c r="L49" s="196"/>
      <c r="M49" s="196"/>
      <c r="N49" s="196"/>
      <c r="O49" s="196"/>
      <c r="P49" s="196"/>
      <c r="Q49" s="81" t="e">
        <f t="shared" si="6"/>
        <v>#DIV/0!</v>
      </c>
      <c r="R49" s="146" t="e">
        <f t="shared" si="7"/>
        <v>#DIV/0!</v>
      </c>
      <c r="S49" s="145" t="e">
        <f t="shared" si="8"/>
        <v>#DIV/0!</v>
      </c>
      <c r="T49" s="16"/>
    </row>
    <row r="50" spans="1:20" ht="32.1" customHeight="1">
      <c r="A50" s="82" t="s">
        <v>56</v>
      </c>
      <c r="B50" s="110" t="s">
        <v>1645</v>
      </c>
      <c r="C50" s="110" t="s">
        <v>1646</v>
      </c>
      <c r="D50" s="377">
        <v>43</v>
      </c>
      <c r="E50" s="196"/>
      <c r="F50" s="196"/>
      <c r="G50" s="196"/>
      <c r="H50" s="196"/>
      <c r="I50" s="196"/>
      <c r="J50" s="196"/>
      <c r="K50" s="196"/>
      <c r="L50" s="196"/>
      <c r="M50" s="196">
        <v>41.96</v>
      </c>
      <c r="N50" s="196"/>
      <c r="O50" s="196"/>
      <c r="P50" s="196"/>
      <c r="Q50" s="139">
        <f t="shared" si="6"/>
        <v>41.96</v>
      </c>
      <c r="R50" s="144" t="str">
        <f t="shared" si="7"/>
        <v>NO</v>
      </c>
      <c r="S50" s="145" t="str">
        <f t="shared" si="8"/>
        <v>Alto</v>
      </c>
      <c r="T50" s="16"/>
    </row>
    <row r="51" spans="1:20" ht="32.1" customHeight="1">
      <c r="A51" s="82" t="s">
        <v>56</v>
      </c>
      <c r="B51" s="110" t="s">
        <v>1647</v>
      </c>
      <c r="C51" s="110" t="s">
        <v>1648</v>
      </c>
      <c r="D51" s="377">
        <v>463</v>
      </c>
      <c r="E51" s="196"/>
      <c r="F51" s="196"/>
      <c r="G51" s="196"/>
      <c r="H51" s="196"/>
      <c r="I51" s="196"/>
      <c r="J51" s="196"/>
      <c r="K51" s="196"/>
      <c r="L51" s="196">
        <v>38.71</v>
      </c>
      <c r="M51" s="196"/>
      <c r="N51" s="196"/>
      <c r="O51" s="196"/>
      <c r="P51" s="196"/>
      <c r="Q51" s="139">
        <f t="shared" si="6"/>
        <v>38.71</v>
      </c>
      <c r="R51" s="144" t="str">
        <f t="shared" si="7"/>
        <v>NO</v>
      </c>
      <c r="S51" s="145" t="str">
        <f t="shared" si="8"/>
        <v>Alto</v>
      </c>
      <c r="T51" s="16"/>
    </row>
    <row r="52" spans="1:20" ht="32.1" customHeight="1">
      <c r="A52" s="82" t="s">
        <v>56</v>
      </c>
      <c r="B52" s="110" t="s">
        <v>1649</v>
      </c>
      <c r="C52" s="110" t="s">
        <v>1650</v>
      </c>
      <c r="D52" s="377">
        <v>459</v>
      </c>
      <c r="E52" s="196">
        <v>9.67</v>
      </c>
      <c r="F52" s="196">
        <v>0</v>
      </c>
      <c r="G52" s="196">
        <v>0</v>
      </c>
      <c r="H52" s="196">
        <v>0</v>
      </c>
      <c r="I52" s="196">
        <v>0</v>
      </c>
      <c r="J52" s="196">
        <v>0</v>
      </c>
      <c r="K52" s="196">
        <v>0</v>
      </c>
      <c r="L52" s="196">
        <v>0</v>
      </c>
      <c r="M52" s="196">
        <v>0</v>
      </c>
      <c r="N52" s="196">
        <v>13.3</v>
      </c>
      <c r="O52" s="196">
        <v>0</v>
      </c>
      <c r="P52" s="196">
        <v>29.6</v>
      </c>
      <c r="Q52" s="139">
        <f t="shared" si="6"/>
        <v>4.3808333333333334</v>
      </c>
      <c r="R52" s="144" t="str">
        <f t="shared" si="7"/>
        <v>SI</v>
      </c>
      <c r="S52" s="145" t="str">
        <f t="shared" si="8"/>
        <v>Sin Riesgo</v>
      </c>
      <c r="T52" s="16"/>
    </row>
    <row r="53" spans="1:20" ht="32.1" customHeight="1">
      <c r="A53" s="82" t="s">
        <v>56</v>
      </c>
      <c r="B53" s="110" t="s">
        <v>1651</v>
      </c>
      <c r="C53" s="110" t="s">
        <v>1652</v>
      </c>
      <c r="D53" s="377">
        <v>1805</v>
      </c>
      <c r="E53" s="196">
        <v>0</v>
      </c>
      <c r="F53" s="196">
        <v>0.83</v>
      </c>
      <c r="G53" s="196">
        <v>0</v>
      </c>
      <c r="H53" s="196">
        <v>0.59</v>
      </c>
      <c r="I53" s="196">
        <v>0.83</v>
      </c>
      <c r="J53" s="196">
        <v>0</v>
      </c>
      <c r="K53" s="196">
        <v>0</v>
      </c>
      <c r="L53" s="196">
        <v>0.64</v>
      </c>
      <c r="M53" s="196">
        <v>6.45</v>
      </c>
      <c r="N53" s="196">
        <v>0</v>
      </c>
      <c r="O53" s="196">
        <v>6.45</v>
      </c>
      <c r="P53" s="196">
        <v>0</v>
      </c>
      <c r="Q53" s="139">
        <f t="shared" si="6"/>
        <v>1.3158333333333332</v>
      </c>
      <c r="R53" s="144" t="str">
        <f t="shared" si="7"/>
        <v>SI</v>
      </c>
      <c r="S53" s="145" t="str">
        <f t="shared" si="8"/>
        <v>Sin Riesgo</v>
      </c>
      <c r="T53" s="16"/>
    </row>
    <row r="54" spans="1:20" ht="32.1" customHeight="1">
      <c r="A54" s="82" t="s">
        <v>56</v>
      </c>
      <c r="B54" s="110" t="s">
        <v>2</v>
      </c>
      <c r="C54" s="110" t="s">
        <v>1653</v>
      </c>
      <c r="D54" s="377">
        <v>97</v>
      </c>
      <c r="E54" s="196"/>
      <c r="F54" s="196"/>
      <c r="G54" s="196"/>
      <c r="H54" s="196"/>
      <c r="I54" s="196"/>
      <c r="J54" s="196"/>
      <c r="K54" s="196"/>
      <c r="L54" s="196"/>
      <c r="M54" s="196">
        <v>62.94</v>
      </c>
      <c r="N54" s="196"/>
      <c r="O54" s="196"/>
      <c r="P54" s="196"/>
      <c r="Q54" s="139">
        <f t="shared" si="6"/>
        <v>62.94</v>
      </c>
      <c r="R54" s="144" t="str">
        <f t="shared" si="7"/>
        <v>NO</v>
      </c>
      <c r="S54" s="145" t="str">
        <f t="shared" si="8"/>
        <v>Alto</v>
      </c>
      <c r="T54" s="16"/>
    </row>
    <row r="55" spans="1:20" ht="32.1" customHeight="1">
      <c r="A55" s="82" t="s">
        <v>56</v>
      </c>
      <c r="B55" s="110" t="s">
        <v>1654</v>
      </c>
      <c r="C55" s="110" t="s">
        <v>1655</v>
      </c>
      <c r="D55" s="377">
        <v>905</v>
      </c>
      <c r="E55" s="196">
        <v>0</v>
      </c>
      <c r="F55" s="196">
        <v>0</v>
      </c>
      <c r="G55" s="196">
        <v>0</v>
      </c>
      <c r="H55" s="196">
        <v>0</v>
      </c>
      <c r="I55" s="196">
        <v>13.27</v>
      </c>
      <c r="J55" s="196">
        <v>36.22</v>
      </c>
      <c r="K55" s="196">
        <v>9.6999999999999993</v>
      </c>
      <c r="L55" s="196">
        <v>9.6999999999999993</v>
      </c>
      <c r="M55" s="196">
        <v>25.8</v>
      </c>
      <c r="N55" s="196">
        <v>0</v>
      </c>
      <c r="O55" s="196">
        <v>0</v>
      </c>
      <c r="P55" s="196">
        <v>0</v>
      </c>
      <c r="Q55" s="139">
        <f t="shared" si="6"/>
        <v>7.8908333333333331</v>
      </c>
      <c r="R55" s="144" t="str">
        <f t="shared" si="7"/>
        <v>NO</v>
      </c>
      <c r="S55" s="145" t="str">
        <f t="shared" si="8"/>
        <v>Bajo</v>
      </c>
      <c r="T55" s="16"/>
    </row>
    <row r="56" spans="1:20" ht="32.1" customHeight="1">
      <c r="A56" s="82" t="s">
        <v>56</v>
      </c>
      <c r="B56" s="110" t="s">
        <v>1656</v>
      </c>
      <c r="C56" s="110" t="s">
        <v>1657</v>
      </c>
      <c r="D56" s="377">
        <v>1</v>
      </c>
      <c r="E56" s="196"/>
      <c r="F56" s="196">
        <v>90.32</v>
      </c>
      <c r="G56" s="196">
        <v>98.06</v>
      </c>
      <c r="H56" s="196">
        <v>98.06</v>
      </c>
      <c r="I56" s="196">
        <v>98.06</v>
      </c>
      <c r="J56" s="196">
        <v>98.06</v>
      </c>
      <c r="K56" s="196">
        <v>90.32</v>
      </c>
      <c r="L56" s="196">
        <v>98.6</v>
      </c>
      <c r="M56" s="196">
        <v>27.1</v>
      </c>
      <c r="N56" s="196">
        <v>98.06</v>
      </c>
      <c r="O56" s="196"/>
      <c r="P56" s="196">
        <v>98.06</v>
      </c>
      <c r="Q56" s="139">
        <f t="shared" si="6"/>
        <v>89.47</v>
      </c>
      <c r="R56" s="144" t="str">
        <f t="shared" si="7"/>
        <v>NO</v>
      </c>
      <c r="S56" s="145" t="str">
        <f t="shared" si="8"/>
        <v>Inviable Sanitariamente</v>
      </c>
      <c r="T56" s="16"/>
    </row>
    <row r="57" spans="1:20" ht="32.1" customHeight="1">
      <c r="A57" s="82" t="s">
        <v>56</v>
      </c>
      <c r="B57" s="110" t="s">
        <v>1658</v>
      </c>
      <c r="C57" s="110" t="s">
        <v>1659</v>
      </c>
      <c r="D57" s="378">
        <v>50</v>
      </c>
      <c r="E57" s="196"/>
      <c r="F57" s="196"/>
      <c r="G57" s="196"/>
      <c r="H57" s="196"/>
      <c r="I57" s="196"/>
      <c r="J57" s="196"/>
      <c r="K57" s="196"/>
      <c r="L57" s="196"/>
      <c r="M57" s="196">
        <v>41.96</v>
      </c>
      <c r="N57" s="196"/>
      <c r="O57" s="196"/>
      <c r="P57" s="196"/>
      <c r="Q57" s="139">
        <f t="shared" si="6"/>
        <v>41.96</v>
      </c>
      <c r="R57" s="144" t="str">
        <f t="shared" si="7"/>
        <v>NO</v>
      </c>
      <c r="S57" s="145" t="str">
        <f t="shared" si="8"/>
        <v>Alto</v>
      </c>
      <c r="T57" s="16"/>
    </row>
    <row r="58" spans="1:20" ht="32.1" customHeight="1">
      <c r="A58" s="82" t="s">
        <v>56</v>
      </c>
      <c r="B58" s="110" t="s">
        <v>1660</v>
      </c>
      <c r="C58" s="110" t="s">
        <v>1661</v>
      </c>
      <c r="D58" s="377">
        <v>75</v>
      </c>
      <c r="E58" s="196"/>
      <c r="F58" s="196"/>
      <c r="G58" s="196"/>
      <c r="H58" s="196"/>
      <c r="I58" s="196"/>
      <c r="J58" s="196"/>
      <c r="K58" s="196"/>
      <c r="L58" s="196"/>
      <c r="M58" s="196">
        <v>41.96</v>
      </c>
      <c r="N58" s="196"/>
      <c r="O58" s="196"/>
      <c r="P58" s="196"/>
      <c r="Q58" s="139">
        <f t="shared" si="6"/>
        <v>41.96</v>
      </c>
      <c r="R58" s="144" t="str">
        <f t="shared" si="7"/>
        <v>NO</v>
      </c>
      <c r="S58" s="145" t="str">
        <f t="shared" si="8"/>
        <v>Alto</v>
      </c>
      <c r="T58" s="16"/>
    </row>
    <row r="59" spans="1:20" ht="32.1" customHeight="1">
      <c r="A59" s="82" t="s">
        <v>56</v>
      </c>
      <c r="B59" s="110" t="s">
        <v>1662</v>
      </c>
      <c r="C59" s="110" t="s">
        <v>1663</v>
      </c>
      <c r="D59" s="378">
        <v>298</v>
      </c>
      <c r="E59" s="196">
        <v>0</v>
      </c>
      <c r="F59" s="196">
        <v>0</v>
      </c>
      <c r="G59" s="196">
        <v>0</v>
      </c>
      <c r="H59" s="196">
        <v>0</v>
      </c>
      <c r="I59" s="196">
        <v>0</v>
      </c>
      <c r="J59" s="196">
        <v>9.6750000000000007</v>
      </c>
      <c r="K59" s="196">
        <v>0</v>
      </c>
      <c r="L59" s="196">
        <v>0</v>
      </c>
      <c r="M59" s="196">
        <v>0</v>
      </c>
      <c r="N59" s="196">
        <v>0</v>
      </c>
      <c r="O59" s="196">
        <v>9.67</v>
      </c>
      <c r="P59" s="196">
        <v>0</v>
      </c>
      <c r="Q59" s="139">
        <f t="shared" si="6"/>
        <v>1.6120833333333333</v>
      </c>
      <c r="R59" s="144" t="str">
        <f t="shared" si="7"/>
        <v>SI</v>
      </c>
      <c r="S59" s="145" t="str">
        <f t="shared" si="8"/>
        <v>Sin Riesgo</v>
      </c>
      <c r="T59" s="16"/>
    </row>
    <row r="60" spans="1:20" ht="32.1" customHeight="1">
      <c r="A60" s="82" t="s">
        <v>56</v>
      </c>
      <c r="B60" s="110" t="s">
        <v>1664</v>
      </c>
      <c r="C60" s="110" t="s">
        <v>1665</v>
      </c>
      <c r="D60" s="377">
        <v>100</v>
      </c>
      <c r="E60" s="196"/>
      <c r="F60" s="196">
        <v>75.2</v>
      </c>
      <c r="G60" s="196"/>
      <c r="H60" s="196"/>
      <c r="I60" s="196"/>
      <c r="J60" s="196"/>
      <c r="K60" s="196"/>
      <c r="L60" s="196"/>
      <c r="M60" s="196"/>
      <c r="N60" s="196"/>
      <c r="O60" s="196"/>
      <c r="P60" s="196"/>
      <c r="Q60" s="139">
        <f t="shared" si="6"/>
        <v>75.2</v>
      </c>
      <c r="R60" s="144" t="str">
        <f t="shared" si="7"/>
        <v>NO</v>
      </c>
      <c r="S60" s="145" t="str">
        <f t="shared" si="8"/>
        <v>Alto</v>
      </c>
      <c r="T60" s="16"/>
    </row>
    <row r="61" spans="1:20" ht="32.1" customHeight="1">
      <c r="A61" s="82" t="s">
        <v>4098</v>
      </c>
      <c r="B61" s="110" t="s">
        <v>1666</v>
      </c>
      <c r="C61" s="110" t="s">
        <v>1667</v>
      </c>
      <c r="D61" s="114">
        <v>74</v>
      </c>
      <c r="E61" s="196"/>
      <c r="F61" s="196"/>
      <c r="G61" s="196"/>
      <c r="H61" s="196"/>
      <c r="I61" s="196"/>
      <c r="J61" s="196">
        <v>41.96</v>
      </c>
      <c r="K61" s="196"/>
      <c r="L61" s="196"/>
      <c r="M61" s="196"/>
      <c r="N61" s="196"/>
      <c r="O61" s="196"/>
      <c r="P61" s="196"/>
      <c r="Q61" s="139">
        <f t="shared" si="6"/>
        <v>41.96</v>
      </c>
      <c r="R61" s="144" t="str">
        <f t="shared" si="7"/>
        <v>NO</v>
      </c>
      <c r="S61" s="145" t="str">
        <f t="shared" si="8"/>
        <v>Alto</v>
      </c>
      <c r="T61" s="16"/>
    </row>
    <row r="62" spans="1:20" ht="32.1" customHeight="1">
      <c r="A62" s="82" t="s">
        <v>4098</v>
      </c>
      <c r="B62" s="110" t="s">
        <v>1668</v>
      </c>
      <c r="C62" s="110" t="s">
        <v>1669</v>
      </c>
      <c r="D62" s="114">
        <v>407</v>
      </c>
      <c r="E62" s="196"/>
      <c r="F62" s="196"/>
      <c r="G62" s="196"/>
      <c r="H62" s="196"/>
      <c r="I62" s="196"/>
      <c r="J62" s="196"/>
      <c r="K62" s="196"/>
      <c r="L62" s="196"/>
      <c r="M62" s="196">
        <v>27.1</v>
      </c>
      <c r="N62" s="196"/>
      <c r="O62" s="196"/>
      <c r="P62" s="196"/>
      <c r="Q62" s="139">
        <f t="shared" si="6"/>
        <v>27.1</v>
      </c>
      <c r="R62" s="144" t="str">
        <f t="shared" si="7"/>
        <v>NO</v>
      </c>
      <c r="S62" s="145" t="str">
        <f t="shared" si="8"/>
        <v>Medio</v>
      </c>
      <c r="T62" s="16"/>
    </row>
    <row r="63" spans="1:20" ht="32.1" customHeight="1">
      <c r="A63" s="82" t="s">
        <v>4098</v>
      </c>
      <c r="B63" s="110" t="s">
        <v>1670</v>
      </c>
      <c r="C63" s="110" t="s">
        <v>1671</v>
      </c>
      <c r="D63" s="114">
        <v>42</v>
      </c>
      <c r="E63" s="196"/>
      <c r="F63" s="196"/>
      <c r="G63" s="196"/>
      <c r="H63" s="196"/>
      <c r="I63" s="196">
        <v>90</v>
      </c>
      <c r="J63" s="196"/>
      <c r="K63" s="196"/>
      <c r="L63" s="196"/>
      <c r="M63" s="196"/>
      <c r="N63" s="196"/>
      <c r="O63" s="196"/>
      <c r="P63" s="196"/>
      <c r="Q63" s="139">
        <f t="shared" si="6"/>
        <v>90</v>
      </c>
      <c r="R63" s="144" t="str">
        <f t="shared" si="7"/>
        <v>NO</v>
      </c>
      <c r="S63" s="145" t="str">
        <f t="shared" si="8"/>
        <v>Inviable Sanitariamente</v>
      </c>
      <c r="T63" s="16"/>
    </row>
    <row r="64" spans="1:20" ht="32.1" customHeight="1">
      <c r="A64" s="82" t="s">
        <v>4098</v>
      </c>
      <c r="B64" s="110" t="s">
        <v>1672</v>
      </c>
      <c r="C64" s="110" t="s">
        <v>1673</v>
      </c>
      <c r="D64" s="114">
        <v>19</v>
      </c>
      <c r="E64" s="196"/>
      <c r="F64" s="196"/>
      <c r="G64" s="196"/>
      <c r="H64" s="196"/>
      <c r="I64" s="196"/>
      <c r="J64" s="196"/>
      <c r="K64" s="196"/>
      <c r="L64" s="196"/>
      <c r="M64" s="196"/>
      <c r="N64" s="196">
        <v>80.650000000000006</v>
      </c>
      <c r="O64" s="196"/>
      <c r="P64" s="196"/>
      <c r="Q64" s="139">
        <f t="shared" si="6"/>
        <v>80.650000000000006</v>
      </c>
      <c r="R64" s="144" t="str">
        <f t="shared" si="7"/>
        <v>NO</v>
      </c>
      <c r="S64" s="145" t="str">
        <f t="shared" si="8"/>
        <v>Inviable Sanitariamente</v>
      </c>
      <c r="T64" s="16"/>
    </row>
    <row r="65" spans="1:70" ht="32.1" customHeight="1">
      <c r="A65" s="82" t="s">
        <v>4098</v>
      </c>
      <c r="B65" s="110" t="s">
        <v>1674</v>
      </c>
      <c r="C65" s="110" t="s">
        <v>1675</v>
      </c>
      <c r="D65" s="114"/>
      <c r="E65" s="196"/>
      <c r="F65" s="196"/>
      <c r="G65" s="196"/>
      <c r="H65" s="196"/>
      <c r="I65" s="196"/>
      <c r="J65" s="196"/>
      <c r="K65" s="196"/>
      <c r="L65" s="196"/>
      <c r="M65" s="196"/>
      <c r="N65" s="196"/>
      <c r="O65" s="196"/>
      <c r="P65" s="196"/>
      <c r="Q65" s="139" t="e">
        <f t="shared" si="6"/>
        <v>#DIV/0!</v>
      </c>
      <c r="R65" s="144" t="e">
        <f t="shared" si="7"/>
        <v>#DIV/0!</v>
      </c>
      <c r="S65" s="145" t="e">
        <f t="shared" si="8"/>
        <v>#DIV/0!</v>
      </c>
      <c r="T65" s="16"/>
    </row>
    <row r="66" spans="1:70" ht="32.1" customHeight="1">
      <c r="A66" s="82" t="s">
        <v>4098</v>
      </c>
      <c r="B66" s="110" t="s">
        <v>66</v>
      </c>
      <c r="C66" s="110" t="s">
        <v>1676</v>
      </c>
      <c r="D66" s="114"/>
      <c r="E66" s="196"/>
      <c r="F66" s="196"/>
      <c r="G66" s="196"/>
      <c r="H66" s="196"/>
      <c r="I66" s="196"/>
      <c r="J66" s="196"/>
      <c r="K66" s="196"/>
      <c r="L66" s="196"/>
      <c r="M66" s="196"/>
      <c r="N66" s="196"/>
      <c r="O66" s="196"/>
      <c r="P66" s="196"/>
      <c r="Q66" s="139" t="e">
        <f t="shared" si="6"/>
        <v>#DIV/0!</v>
      </c>
      <c r="R66" s="144" t="e">
        <f t="shared" si="7"/>
        <v>#DIV/0!</v>
      </c>
      <c r="S66" s="145" t="e">
        <f t="shared" si="8"/>
        <v>#DIV/0!</v>
      </c>
      <c r="T66" s="16"/>
    </row>
    <row r="67" spans="1:70" ht="32.1" customHeight="1">
      <c r="A67" s="82" t="s">
        <v>4098</v>
      </c>
      <c r="B67" s="110" t="s">
        <v>1677</v>
      </c>
      <c r="C67" s="110" t="s">
        <v>1678</v>
      </c>
      <c r="D67" s="114">
        <v>42</v>
      </c>
      <c r="E67" s="196"/>
      <c r="F67" s="196"/>
      <c r="G67" s="196"/>
      <c r="H67" s="196"/>
      <c r="I67" s="196"/>
      <c r="J67" s="196">
        <v>38.71</v>
      </c>
      <c r="K67" s="196"/>
      <c r="L67" s="196"/>
      <c r="M67" s="196"/>
      <c r="N67" s="196"/>
      <c r="O67" s="196"/>
      <c r="P67" s="196"/>
      <c r="Q67" s="139">
        <f t="shared" si="6"/>
        <v>38.71</v>
      </c>
      <c r="R67" s="144" t="str">
        <f t="shared" si="7"/>
        <v>NO</v>
      </c>
      <c r="S67" s="145" t="str">
        <f t="shared" si="8"/>
        <v>Alto</v>
      </c>
      <c r="T67" s="16"/>
    </row>
    <row r="68" spans="1:70" ht="32.1" customHeight="1">
      <c r="A68" s="82" t="s">
        <v>4098</v>
      </c>
      <c r="B68" s="110" t="s">
        <v>1679</v>
      </c>
      <c r="C68" s="110" t="s">
        <v>1680</v>
      </c>
      <c r="D68" s="114">
        <v>43</v>
      </c>
      <c r="E68" s="196"/>
      <c r="F68" s="196"/>
      <c r="G68" s="196"/>
      <c r="H68" s="196"/>
      <c r="I68" s="196"/>
      <c r="J68" s="196"/>
      <c r="K68" s="196">
        <v>80.650000000000006</v>
      </c>
      <c r="L68" s="196"/>
      <c r="M68" s="196"/>
      <c r="N68" s="196"/>
      <c r="O68" s="196"/>
      <c r="P68" s="196"/>
      <c r="Q68" s="139">
        <f t="shared" si="6"/>
        <v>80.650000000000006</v>
      </c>
      <c r="R68" s="144" t="str">
        <f t="shared" si="7"/>
        <v>NO</v>
      </c>
      <c r="S68" s="145" t="str">
        <f t="shared" si="8"/>
        <v>Inviable Sanitariamente</v>
      </c>
    </row>
    <row r="69" spans="1:70" ht="32.1" customHeight="1">
      <c r="A69" s="82" t="s">
        <v>4098</v>
      </c>
      <c r="B69" s="110" t="s">
        <v>1681</v>
      </c>
      <c r="C69" s="110" t="s">
        <v>1682</v>
      </c>
      <c r="D69" s="114">
        <v>18</v>
      </c>
      <c r="E69" s="196"/>
      <c r="F69" s="196"/>
      <c r="G69" s="196"/>
      <c r="H69" s="196"/>
      <c r="I69" s="196">
        <v>68</v>
      </c>
      <c r="J69" s="196"/>
      <c r="K69" s="196"/>
      <c r="L69" s="196"/>
      <c r="M69" s="196"/>
      <c r="N69" s="196"/>
      <c r="O69" s="196"/>
      <c r="P69" s="196"/>
      <c r="Q69" s="139">
        <f t="shared" si="6"/>
        <v>68</v>
      </c>
      <c r="R69" s="144" t="str">
        <f t="shared" si="7"/>
        <v>NO</v>
      </c>
      <c r="S69" s="145" t="str">
        <f t="shared" si="8"/>
        <v>Alto</v>
      </c>
    </row>
    <row r="70" spans="1:70" ht="32.1" customHeight="1">
      <c r="A70" s="82" t="s">
        <v>4098</v>
      </c>
      <c r="B70" s="110" t="s">
        <v>1683</v>
      </c>
      <c r="C70" s="110" t="s">
        <v>1684</v>
      </c>
      <c r="D70" s="114">
        <v>45</v>
      </c>
      <c r="E70" s="196"/>
      <c r="F70" s="196"/>
      <c r="G70" s="196"/>
      <c r="H70" s="196"/>
      <c r="I70" s="196"/>
      <c r="J70" s="196"/>
      <c r="K70" s="196"/>
      <c r="L70" s="196">
        <v>97.9</v>
      </c>
      <c r="M70" s="196"/>
      <c r="N70" s="196"/>
      <c r="O70" s="196"/>
      <c r="P70" s="196"/>
      <c r="Q70" s="139">
        <f t="shared" si="6"/>
        <v>97.9</v>
      </c>
      <c r="R70" s="144" t="str">
        <f t="shared" si="7"/>
        <v>NO</v>
      </c>
      <c r="S70" s="145" t="str">
        <f t="shared" si="8"/>
        <v>Inviable Sanitariamente</v>
      </c>
    </row>
    <row r="71" spans="1:70" ht="32.1" customHeight="1">
      <c r="A71" s="82" t="s">
        <v>4098</v>
      </c>
      <c r="B71" s="110" t="s">
        <v>1685</v>
      </c>
      <c r="C71" s="110" t="s">
        <v>1686</v>
      </c>
      <c r="D71" s="114">
        <v>24</v>
      </c>
      <c r="E71" s="196"/>
      <c r="F71" s="196"/>
      <c r="G71" s="196"/>
      <c r="H71" s="196"/>
      <c r="I71" s="196"/>
      <c r="J71" s="196"/>
      <c r="K71" s="196"/>
      <c r="L71" s="196"/>
      <c r="M71" s="196">
        <v>80.650000000000006</v>
      </c>
      <c r="N71" s="196"/>
      <c r="O71" s="196"/>
      <c r="P71" s="196"/>
      <c r="Q71" s="139">
        <f t="shared" si="6"/>
        <v>80.650000000000006</v>
      </c>
      <c r="R71" s="144" t="str">
        <f t="shared" si="7"/>
        <v>NO</v>
      </c>
      <c r="S71" s="145" t="str">
        <f t="shared" si="8"/>
        <v>Inviable Sanitariamente</v>
      </c>
    </row>
    <row r="72" spans="1:70" ht="32.1" customHeight="1">
      <c r="A72" s="82" t="s">
        <v>4098</v>
      </c>
      <c r="B72" s="110" t="s">
        <v>1687</v>
      </c>
      <c r="C72" s="110" t="s">
        <v>1688</v>
      </c>
      <c r="D72" s="114"/>
      <c r="E72" s="196"/>
      <c r="F72" s="196"/>
      <c r="G72" s="196"/>
      <c r="H72" s="196"/>
      <c r="I72" s="196"/>
      <c r="J72" s="196"/>
      <c r="K72" s="196"/>
      <c r="L72" s="196"/>
      <c r="M72" s="196"/>
      <c r="N72" s="196"/>
      <c r="O72" s="196"/>
      <c r="P72" s="196"/>
      <c r="Q72" s="139" t="e">
        <f t="shared" si="6"/>
        <v>#DIV/0!</v>
      </c>
      <c r="R72" s="144" t="e">
        <f t="shared" si="7"/>
        <v>#DIV/0!</v>
      </c>
      <c r="S72" s="145" t="e">
        <f t="shared" si="8"/>
        <v>#DIV/0!</v>
      </c>
    </row>
    <row r="73" spans="1:70" ht="32.1" customHeight="1">
      <c r="A73" s="82" t="s">
        <v>4098</v>
      </c>
      <c r="B73" s="110" t="s">
        <v>1689</v>
      </c>
      <c r="C73" s="110" t="s">
        <v>1690</v>
      </c>
      <c r="D73" s="114">
        <v>18</v>
      </c>
      <c r="E73" s="196"/>
      <c r="F73" s="196"/>
      <c r="G73" s="196"/>
      <c r="H73" s="196"/>
      <c r="I73" s="196">
        <v>48</v>
      </c>
      <c r="J73" s="196"/>
      <c r="K73" s="196"/>
      <c r="L73" s="196"/>
      <c r="M73" s="196"/>
      <c r="N73" s="196"/>
      <c r="O73" s="196"/>
      <c r="P73" s="196"/>
      <c r="Q73" s="139">
        <f t="shared" si="6"/>
        <v>48</v>
      </c>
      <c r="R73" s="144" t="str">
        <f t="shared" si="7"/>
        <v>NO</v>
      </c>
      <c r="S73" s="145" t="str">
        <f t="shared" si="8"/>
        <v>Alto</v>
      </c>
    </row>
    <row r="74" spans="1:70" ht="32.1" customHeight="1">
      <c r="A74" s="82" t="s">
        <v>4098</v>
      </c>
      <c r="B74" s="110" t="s">
        <v>1691</v>
      </c>
      <c r="C74" s="110" t="s">
        <v>1692</v>
      </c>
      <c r="D74" s="114"/>
      <c r="E74" s="196"/>
      <c r="F74" s="196"/>
      <c r="G74" s="196"/>
      <c r="H74" s="196"/>
      <c r="I74" s="196"/>
      <c r="J74" s="196"/>
      <c r="K74" s="196"/>
      <c r="L74" s="196"/>
      <c r="M74" s="196"/>
      <c r="N74" s="196"/>
      <c r="O74" s="196"/>
      <c r="P74" s="196"/>
      <c r="Q74" s="139" t="e">
        <f t="shared" si="6"/>
        <v>#DIV/0!</v>
      </c>
      <c r="R74" s="144" t="e">
        <f t="shared" si="7"/>
        <v>#DIV/0!</v>
      </c>
      <c r="S74" s="145" t="e">
        <f t="shared" si="8"/>
        <v>#DIV/0!</v>
      </c>
    </row>
    <row r="75" spans="1:70" ht="32.1" customHeight="1">
      <c r="A75" s="82" t="s">
        <v>4098</v>
      </c>
      <c r="B75" s="110" t="s">
        <v>1693</v>
      </c>
      <c r="C75" s="110" t="s">
        <v>1694</v>
      </c>
      <c r="D75" s="114">
        <v>15</v>
      </c>
      <c r="E75" s="196"/>
      <c r="F75" s="196"/>
      <c r="G75" s="196"/>
      <c r="H75" s="196">
        <v>41.96</v>
      </c>
      <c r="I75" s="196"/>
      <c r="J75" s="196"/>
      <c r="K75" s="196"/>
      <c r="L75" s="196"/>
      <c r="M75" s="196"/>
      <c r="N75" s="196"/>
      <c r="O75" s="196"/>
      <c r="P75" s="196"/>
      <c r="Q75" s="139">
        <f t="shared" si="6"/>
        <v>41.96</v>
      </c>
      <c r="R75" s="144" t="str">
        <f t="shared" si="7"/>
        <v>NO</v>
      </c>
      <c r="S75" s="145" t="str">
        <f t="shared" si="8"/>
        <v>Alto</v>
      </c>
    </row>
    <row r="76" spans="1:70" s="83" customFormat="1" ht="32.1" customHeight="1">
      <c r="A76" s="82" t="s">
        <v>4098</v>
      </c>
      <c r="B76" s="110" t="s">
        <v>508</v>
      </c>
      <c r="C76" s="110" t="s">
        <v>1695</v>
      </c>
      <c r="D76" s="114">
        <v>25</v>
      </c>
      <c r="E76" s="196"/>
      <c r="F76" s="196"/>
      <c r="G76" s="196"/>
      <c r="H76" s="196"/>
      <c r="I76" s="196"/>
      <c r="J76" s="196"/>
      <c r="K76" s="196"/>
      <c r="L76" s="196">
        <v>41.96</v>
      </c>
      <c r="M76" s="196"/>
      <c r="N76" s="196"/>
      <c r="O76" s="196"/>
      <c r="P76" s="196"/>
      <c r="Q76" s="468">
        <f t="shared" si="6"/>
        <v>41.96</v>
      </c>
      <c r="R76" s="154" t="str">
        <f t="shared" si="7"/>
        <v>NO</v>
      </c>
      <c r="S76" s="145" t="str">
        <f t="shared" si="8"/>
        <v>Alto</v>
      </c>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row>
    <row r="77" spans="1:70" s="83" customFormat="1" ht="32.1" customHeight="1">
      <c r="A77" s="82" t="s">
        <v>4098</v>
      </c>
      <c r="B77" s="110" t="s">
        <v>1696</v>
      </c>
      <c r="C77" s="110" t="s">
        <v>1697</v>
      </c>
      <c r="D77" s="114">
        <v>30</v>
      </c>
      <c r="E77" s="196"/>
      <c r="F77" s="196"/>
      <c r="G77" s="196"/>
      <c r="H77" s="196"/>
      <c r="I77" s="196"/>
      <c r="J77" s="196"/>
      <c r="K77" s="196">
        <v>38.71</v>
      </c>
      <c r="L77" s="196"/>
      <c r="M77" s="196"/>
      <c r="N77" s="196"/>
      <c r="O77" s="196"/>
      <c r="P77" s="196"/>
      <c r="Q77" s="468">
        <f t="shared" ref="Q77:Q81" si="10">AVERAGE(E77:P77)</f>
        <v>38.71</v>
      </c>
      <c r="R77" s="154" t="str">
        <f t="shared" ref="R77:R81" si="11">IF(Q77&lt;5,"SI","NO")</f>
        <v>NO</v>
      </c>
      <c r="S77" s="145" t="str">
        <f t="shared" si="8"/>
        <v>Alto</v>
      </c>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row>
    <row r="78" spans="1:70" s="83" customFormat="1" ht="32.1" customHeight="1">
      <c r="A78" s="82" t="s">
        <v>4098</v>
      </c>
      <c r="B78" s="110" t="s">
        <v>1698</v>
      </c>
      <c r="C78" s="110" t="s">
        <v>1699</v>
      </c>
      <c r="D78" s="114">
        <v>26</v>
      </c>
      <c r="E78" s="196"/>
      <c r="F78" s="196"/>
      <c r="G78" s="196"/>
      <c r="H78" s="196"/>
      <c r="I78" s="196"/>
      <c r="J78" s="196"/>
      <c r="K78" s="196"/>
      <c r="L78" s="196">
        <v>41.96</v>
      </c>
      <c r="M78" s="196"/>
      <c r="N78" s="196"/>
      <c r="O78" s="196"/>
      <c r="P78" s="196"/>
      <c r="Q78" s="468">
        <f t="shared" si="10"/>
        <v>41.96</v>
      </c>
      <c r="R78" s="154" t="str">
        <f t="shared" si="11"/>
        <v>NO</v>
      </c>
      <c r="S78" s="145" t="str">
        <f t="shared" si="8"/>
        <v>Alto</v>
      </c>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row>
    <row r="79" spans="1:70" s="83" customFormat="1" ht="32.1" customHeight="1">
      <c r="A79" s="82" t="s">
        <v>4098</v>
      </c>
      <c r="B79" s="110" t="s">
        <v>1700</v>
      </c>
      <c r="C79" s="110" t="s">
        <v>1701</v>
      </c>
      <c r="D79" s="114">
        <v>46</v>
      </c>
      <c r="E79" s="196"/>
      <c r="F79" s="196"/>
      <c r="G79" s="196"/>
      <c r="H79" s="196"/>
      <c r="I79" s="196"/>
      <c r="J79" s="196">
        <v>38.71</v>
      </c>
      <c r="K79" s="196"/>
      <c r="L79" s="196"/>
      <c r="M79" s="196"/>
      <c r="N79" s="196"/>
      <c r="O79" s="196"/>
      <c r="P79" s="196"/>
      <c r="Q79" s="468">
        <f t="shared" si="10"/>
        <v>38.71</v>
      </c>
      <c r="R79" s="154" t="str">
        <f t="shared" si="11"/>
        <v>NO</v>
      </c>
      <c r="S79" s="145" t="str">
        <f t="shared" si="8"/>
        <v>Alto</v>
      </c>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row>
    <row r="80" spans="1:70" s="83" customFormat="1" ht="32.1" customHeight="1">
      <c r="A80" s="82" t="s">
        <v>4098</v>
      </c>
      <c r="B80" s="110" t="s">
        <v>1702</v>
      </c>
      <c r="C80" s="110" t="s">
        <v>1703</v>
      </c>
      <c r="D80" s="114">
        <v>19</v>
      </c>
      <c r="E80" s="196"/>
      <c r="F80" s="196"/>
      <c r="G80" s="196"/>
      <c r="H80" s="196">
        <v>90</v>
      </c>
      <c r="I80" s="196"/>
      <c r="J80" s="196"/>
      <c r="K80" s="196"/>
      <c r="L80" s="196"/>
      <c r="M80" s="196"/>
      <c r="N80" s="196"/>
      <c r="O80" s="196"/>
      <c r="P80" s="196"/>
      <c r="Q80" s="153">
        <f t="shared" si="10"/>
        <v>90</v>
      </c>
      <c r="R80" s="154" t="str">
        <f t="shared" si="11"/>
        <v>NO</v>
      </c>
      <c r="S80" s="145" t="str">
        <f t="shared" si="8"/>
        <v>Inviable Sanitariamente</v>
      </c>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row>
    <row r="81" spans="1:70" s="83" customFormat="1" ht="32.1" customHeight="1">
      <c r="A81" s="82" t="s">
        <v>4098</v>
      </c>
      <c r="B81" s="110" t="s">
        <v>1704</v>
      </c>
      <c r="C81" s="110" t="s">
        <v>1705</v>
      </c>
      <c r="D81" s="114">
        <v>586</v>
      </c>
      <c r="E81" s="196">
        <v>0</v>
      </c>
      <c r="F81" s="196">
        <v>0</v>
      </c>
      <c r="G81" s="196">
        <v>0</v>
      </c>
      <c r="H81" s="196">
        <v>7.74</v>
      </c>
      <c r="I81" s="196">
        <v>0</v>
      </c>
      <c r="J81" s="196">
        <v>1.7</v>
      </c>
      <c r="K81" s="196">
        <v>0</v>
      </c>
      <c r="L81" s="196">
        <v>0</v>
      </c>
      <c r="M81" s="196">
        <v>0</v>
      </c>
      <c r="N81" s="196">
        <v>0</v>
      </c>
      <c r="O81" s="196">
        <v>0</v>
      </c>
      <c r="P81" s="196">
        <v>0</v>
      </c>
      <c r="Q81" s="469">
        <f t="shared" si="10"/>
        <v>0.78666666666666663</v>
      </c>
      <c r="R81" s="154" t="str">
        <f t="shared" si="11"/>
        <v>SI</v>
      </c>
      <c r="S81" s="145" t="str">
        <f t="shared" si="8"/>
        <v>Sin Riesgo</v>
      </c>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row>
    <row r="82" spans="1:70" s="83" customFormat="1" ht="32.1" customHeight="1">
      <c r="A82" s="89"/>
      <c r="B82" s="104"/>
      <c r="C82" s="104"/>
      <c r="D82" s="104"/>
      <c r="E82" s="105"/>
      <c r="F82" s="105"/>
      <c r="G82" s="105"/>
      <c r="H82" s="105"/>
      <c r="I82" s="105"/>
      <c r="J82" s="105"/>
      <c r="K82" s="105"/>
      <c r="L82" s="105"/>
      <c r="M82" s="105"/>
      <c r="N82" s="105"/>
      <c r="O82" s="105"/>
      <c r="P82" s="105"/>
      <c r="Q82" s="190"/>
      <c r="R82" s="191"/>
      <c r="S82" s="192"/>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row>
    <row r="83" spans="1:70" s="83" customFormat="1" ht="32.1" customHeight="1">
      <c r="A83" s="438" t="s">
        <v>4385</v>
      </c>
      <c r="B83" s="438" t="s">
        <v>4432</v>
      </c>
      <c r="C83" s="549" t="s">
        <v>4578</v>
      </c>
      <c r="D83" s="550"/>
      <c r="E83" s="550"/>
      <c r="F83" s="550"/>
      <c r="G83" s="550"/>
      <c r="H83" s="550"/>
      <c r="I83" s="550"/>
      <c r="J83" s="550"/>
      <c r="K83" s="550"/>
      <c r="L83" s="550"/>
      <c r="M83" s="550"/>
      <c r="N83" s="550"/>
      <c r="O83" s="550"/>
      <c r="P83" s="550"/>
      <c r="Q83" s="550"/>
      <c r="R83" s="550"/>
      <c r="S83" s="550"/>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row>
    <row r="84" spans="1:70" s="83" customFormat="1" ht="32.1" customHeight="1">
      <c r="A84" s="442" t="s">
        <v>4313</v>
      </c>
      <c r="B84" s="443">
        <f>COUNTIF(E11:P81,"&lt;=5")</f>
        <v>61</v>
      </c>
      <c r="C84" s="549"/>
      <c r="D84" s="550"/>
      <c r="E84" s="550"/>
      <c r="F84" s="550"/>
      <c r="G84" s="550"/>
      <c r="H84" s="550"/>
      <c r="I84" s="550"/>
      <c r="J84" s="550"/>
      <c r="K84" s="550"/>
      <c r="L84" s="550"/>
      <c r="M84" s="550"/>
      <c r="N84" s="550"/>
      <c r="O84" s="550"/>
      <c r="P84" s="550"/>
      <c r="Q84" s="550"/>
      <c r="R84" s="550"/>
      <c r="S84" s="550"/>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row>
    <row r="85" spans="1:70" s="83" customFormat="1" ht="32.1" customHeight="1">
      <c r="A85" s="428" t="s">
        <v>4314</v>
      </c>
      <c r="B85" s="440">
        <f>COUNTIFS(E11:P81,"&gt;5",E11:P81,"&lt;=14")</f>
        <v>10</v>
      </c>
      <c r="C85" s="549" t="s">
        <v>4556</v>
      </c>
      <c r="D85" s="550"/>
      <c r="E85" s="550"/>
      <c r="F85" s="550"/>
      <c r="G85" s="550"/>
      <c r="H85" s="550"/>
      <c r="I85" s="550"/>
      <c r="J85" s="550"/>
      <c r="K85" s="550"/>
      <c r="L85" s="550"/>
      <c r="M85" s="550"/>
      <c r="N85" s="550"/>
      <c r="O85" s="550"/>
      <c r="P85" s="550"/>
      <c r="Q85" s="550"/>
      <c r="R85" s="550"/>
      <c r="S85" s="550"/>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row>
    <row r="86" spans="1:70" s="83" customFormat="1" ht="32.1" customHeight="1">
      <c r="A86" s="429" t="s">
        <v>4315</v>
      </c>
      <c r="B86" s="439">
        <f>COUNTIFS(E11:P81,"&gt;14",E11:P81,"&lt;=35")</f>
        <v>4</v>
      </c>
      <c r="C86" s="549"/>
      <c r="D86" s="550"/>
      <c r="E86" s="550"/>
      <c r="F86" s="550"/>
      <c r="G86" s="550"/>
      <c r="H86" s="550"/>
      <c r="I86" s="550"/>
      <c r="J86" s="550"/>
      <c r="K86" s="550"/>
      <c r="L86" s="550"/>
      <c r="M86" s="550"/>
      <c r="N86" s="550"/>
      <c r="O86" s="550"/>
      <c r="P86" s="550"/>
      <c r="Q86" s="550"/>
      <c r="R86" s="550"/>
      <c r="S86" s="550"/>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row>
    <row r="87" spans="1:70" s="83" customFormat="1" ht="32.1" customHeight="1">
      <c r="A87" s="430" t="s">
        <v>4316</v>
      </c>
      <c r="B87" s="439">
        <f>COUNTIFS(E11:P81,"&gt;35",E11:P81,"&lt;=80")</f>
        <v>27</v>
      </c>
      <c r="C87" s="104"/>
      <c r="D87" s="104"/>
      <c r="E87" s="105"/>
      <c r="F87" s="105"/>
      <c r="G87" s="105"/>
      <c r="H87" s="105"/>
      <c r="I87" s="105"/>
      <c r="J87" s="105"/>
      <c r="K87" s="105"/>
      <c r="L87" s="105"/>
      <c r="M87" s="105"/>
      <c r="N87" s="105"/>
      <c r="O87" s="105"/>
      <c r="P87" s="105"/>
      <c r="Q87" s="193"/>
      <c r="R87" s="194"/>
      <c r="S87" s="19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row>
    <row r="88" spans="1:70" ht="36.75" customHeight="1">
      <c r="A88" s="431" t="s">
        <v>4317</v>
      </c>
      <c r="B88" s="439">
        <f>COUNTIFS(E11:P81,"&gt;80",E11:P81,"&lt;=100")</f>
        <v>21</v>
      </c>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row>
    <row r="89" spans="1:70" ht="30.75" customHeight="1">
      <c r="A89" s="451" t="s">
        <v>4318</v>
      </c>
      <c r="B89" s="452">
        <f>COUNT(E11:P81)</f>
        <v>123</v>
      </c>
    </row>
    <row r="90" spans="1:70" ht="36.75" customHeight="1">
      <c r="A90" s="434" t="s">
        <v>4321</v>
      </c>
      <c r="B90" s="436">
        <f>B89-B84</f>
        <v>62</v>
      </c>
    </row>
  </sheetData>
  <autoFilter ref="A10:BR81">
    <sortState ref="A12:BR79">
      <sortCondition ref="A10:A79"/>
    </sortState>
  </autoFilter>
  <customSheetViews>
    <customSheetView guid="{45C8AF51-29EC-46A5-AB7F-1F0634E55D82}" scale="60" showPageBreaks="1">
      <pane xSplit="2.2000000000000002" ySplit="7" topLeftCell="D51" activePane="bottomRight" state="frozenSplit"/>
      <selection pane="bottomRight" activeCell="A79" sqref="A59:A79"/>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showPageBreaks="1">
      <pane xSplit="3" ySplit="7" topLeftCell="G8" activePane="bottomRight" state="frozenSplit"/>
      <selection pane="bottomRight" activeCell="A43" sqref="A43:S44"/>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showPageBreaks="1">
      <pane xSplit="3" ySplit="7" topLeftCell="S68" activePane="bottomRight" state="frozenSplit"/>
      <selection pane="bottomRight" activeCell="S92" sqref="S92"/>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PageBreaks="1" showAutoFilter="1">
      <pane xSplit="3" ySplit="7" topLeftCell="D8" activePane="bottomRight" state="frozenSplit"/>
      <selection pane="bottomRight" activeCell="M74" sqref="M74"/>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0:BR79">
        <sortState ref="A12:BR79">
          <sortCondition ref="A10:A79"/>
        </sortState>
      </autoFilter>
    </customSheetView>
  </customSheetViews>
  <mergeCells count="23">
    <mergeCell ref="C83:S84"/>
    <mergeCell ref="E5:G6"/>
    <mergeCell ref="H5:J6"/>
    <mergeCell ref="D9:D10"/>
    <mergeCell ref="E9:P9"/>
    <mergeCell ref="A9:A10"/>
    <mergeCell ref="B9:B10"/>
    <mergeCell ref="K5:M6"/>
    <mergeCell ref="N5:P6"/>
    <mergeCell ref="C85:S86"/>
    <mergeCell ref="B1:D1"/>
    <mergeCell ref="B2:D2"/>
    <mergeCell ref="B4:D4"/>
    <mergeCell ref="B5:B6"/>
    <mergeCell ref="C5:C6"/>
    <mergeCell ref="D5:D6"/>
    <mergeCell ref="S9:S10"/>
    <mergeCell ref="C9:C10"/>
    <mergeCell ref="R9:R10"/>
    <mergeCell ref="Q9:Q10"/>
    <mergeCell ref="Q5:R6"/>
    <mergeCell ref="S5:S6"/>
    <mergeCell ref="A7:B7"/>
  </mergeCells>
  <phoneticPr fontId="2" type="noConversion"/>
  <conditionalFormatting sqref="Q12:Q22 E11:P22 E47:P81 Q47:Q75 E25:Q45">
    <cfRule type="containsBlanks" dxfId="4135" priority="920" stopIfTrue="1">
      <formula>LEN(TRIM(E11))=0</formula>
    </cfRule>
    <cfRule type="cellIs" dxfId="4134" priority="921" stopIfTrue="1" operator="between">
      <formula>80.1</formula>
      <formula>100</formula>
    </cfRule>
    <cfRule type="cellIs" dxfId="4133" priority="922" stopIfTrue="1" operator="between">
      <formula>35.1</formula>
      <formula>80</formula>
    </cfRule>
    <cfRule type="cellIs" dxfId="4132" priority="923" stopIfTrue="1" operator="between">
      <formula>14.1</formula>
      <formula>35</formula>
    </cfRule>
    <cfRule type="cellIs" dxfId="4131" priority="924" stopIfTrue="1" operator="between">
      <formula>5.1</formula>
      <formula>14</formula>
    </cfRule>
    <cfRule type="cellIs" dxfId="4130" priority="925" stopIfTrue="1" operator="between">
      <formula>0</formula>
      <formula>5</formula>
    </cfRule>
    <cfRule type="containsBlanks" dxfId="4129" priority="926" stopIfTrue="1">
      <formula>LEN(TRIM(E11))=0</formula>
    </cfRule>
  </conditionalFormatting>
  <conditionalFormatting sqref="J43">
    <cfRule type="containsBlanks" dxfId="4128" priority="711" stopIfTrue="1">
      <formula>LEN(TRIM(J43))=0</formula>
    </cfRule>
    <cfRule type="cellIs" dxfId="4127" priority="712" stopIfTrue="1" operator="between">
      <formula>79.1</formula>
      <formula>100</formula>
    </cfRule>
    <cfRule type="cellIs" dxfId="4126" priority="713" stopIfTrue="1" operator="between">
      <formula>34.1</formula>
      <formula>79</formula>
    </cfRule>
    <cfRule type="cellIs" dxfId="4125" priority="714" stopIfTrue="1" operator="between">
      <formula>13.1</formula>
      <formula>34</formula>
    </cfRule>
    <cfRule type="cellIs" dxfId="4124" priority="715" stopIfTrue="1" operator="between">
      <formula>5.1</formula>
      <formula>13</formula>
    </cfRule>
    <cfRule type="cellIs" dxfId="4123" priority="716" stopIfTrue="1" operator="between">
      <formula>0</formula>
      <formula>5</formula>
    </cfRule>
    <cfRule type="containsBlanks" dxfId="4122" priority="717" stopIfTrue="1">
      <formula>LEN(TRIM(J43))=0</formula>
    </cfRule>
  </conditionalFormatting>
  <conditionalFormatting sqref="L56">
    <cfRule type="containsBlanks" dxfId="4121" priority="613" stopIfTrue="1">
      <formula>LEN(TRIM(L56))=0</formula>
    </cfRule>
    <cfRule type="cellIs" dxfId="4120" priority="614" stopIfTrue="1" operator="between">
      <formula>79.1</formula>
      <formula>100</formula>
    </cfRule>
    <cfRule type="cellIs" dxfId="4119" priority="615" stopIfTrue="1" operator="between">
      <formula>34.1</formula>
      <formula>79</formula>
    </cfRule>
    <cfRule type="cellIs" dxfId="4118" priority="616" stopIfTrue="1" operator="between">
      <formula>13.1</formula>
      <formula>34</formula>
    </cfRule>
    <cfRule type="cellIs" dxfId="4117" priority="617" stopIfTrue="1" operator="between">
      <formula>5.1</formula>
      <formula>13</formula>
    </cfRule>
    <cfRule type="cellIs" dxfId="4116" priority="618" stopIfTrue="1" operator="between">
      <formula>0</formula>
      <formula>5</formula>
    </cfRule>
    <cfRule type="containsBlanks" dxfId="4115" priority="619" stopIfTrue="1">
      <formula>LEN(TRIM(L56))=0</formula>
    </cfRule>
  </conditionalFormatting>
  <conditionalFormatting sqref="O57:P57">
    <cfRule type="containsBlanks" dxfId="4114" priority="550" stopIfTrue="1">
      <formula>LEN(TRIM(O57))=0</formula>
    </cfRule>
    <cfRule type="cellIs" dxfId="4113" priority="551" stopIfTrue="1" operator="between">
      <formula>79.1</formula>
      <formula>100</formula>
    </cfRule>
    <cfRule type="cellIs" dxfId="4112" priority="552" stopIfTrue="1" operator="between">
      <formula>34.1</formula>
      <formula>79</formula>
    </cfRule>
    <cfRule type="cellIs" dxfId="4111" priority="553" stopIfTrue="1" operator="between">
      <formula>13.1</formula>
      <formula>34</formula>
    </cfRule>
    <cfRule type="cellIs" dxfId="4110" priority="554" stopIfTrue="1" operator="between">
      <formula>5.1</formula>
      <formula>13</formula>
    </cfRule>
    <cfRule type="cellIs" dxfId="4109" priority="555" stopIfTrue="1" operator="between">
      <formula>0</formula>
      <formula>5</formula>
    </cfRule>
    <cfRule type="containsBlanks" dxfId="4108" priority="556" stopIfTrue="1">
      <formula>LEN(TRIM(O57))=0</formula>
    </cfRule>
  </conditionalFormatting>
  <conditionalFormatting sqref="N57">
    <cfRule type="containsBlanks" dxfId="4107" priority="515" stopIfTrue="1">
      <formula>LEN(TRIM(N57))=0</formula>
    </cfRule>
    <cfRule type="cellIs" dxfId="4106" priority="516" stopIfTrue="1" operator="between">
      <formula>79.1</formula>
      <formula>100</formula>
    </cfRule>
    <cfRule type="cellIs" dxfId="4105" priority="517" stopIfTrue="1" operator="between">
      <formula>34.1</formula>
      <formula>79</formula>
    </cfRule>
    <cfRule type="cellIs" dxfId="4104" priority="518" stopIfTrue="1" operator="between">
      <formula>13.1</formula>
      <formula>34</formula>
    </cfRule>
    <cfRule type="cellIs" dxfId="4103" priority="519" stopIfTrue="1" operator="between">
      <formula>5.1</formula>
      <formula>13</formula>
    </cfRule>
    <cfRule type="cellIs" dxfId="4102" priority="520" stopIfTrue="1" operator="between">
      <formula>0</formula>
      <formula>5</formula>
    </cfRule>
    <cfRule type="containsBlanks" dxfId="4101" priority="521" stopIfTrue="1">
      <formula>LEN(TRIM(N57))=0</formula>
    </cfRule>
  </conditionalFormatting>
  <conditionalFormatting sqref="E62:F62 K60:P60 K62:P62 L61:P61 E65:F66 P73 K71:P72 N68:P68 O69:P69 K64:P67 L63:P63 P70">
    <cfRule type="containsBlanks" dxfId="4100" priority="641" stopIfTrue="1">
      <formula>LEN(TRIM(E60))=0</formula>
    </cfRule>
    <cfRule type="cellIs" dxfId="4099" priority="642" stopIfTrue="1" operator="between">
      <formula>79.1</formula>
      <formula>100</formula>
    </cfRule>
    <cfRule type="cellIs" dxfId="4098" priority="643" stopIfTrue="1" operator="between">
      <formula>34.1</formula>
      <formula>79</formula>
    </cfRule>
    <cfRule type="cellIs" dxfId="4097" priority="644" stopIfTrue="1" operator="between">
      <formula>13.1</formula>
      <formula>34</formula>
    </cfRule>
    <cfRule type="cellIs" dxfId="4096" priority="645" stopIfTrue="1" operator="between">
      <formula>5.1</formula>
      <formula>13</formula>
    </cfRule>
    <cfRule type="cellIs" dxfId="4095" priority="646" stopIfTrue="1" operator="between">
      <formula>0</formula>
      <formula>5</formula>
    </cfRule>
    <cfRule type="containsBlanks" dxfId="4094" priority="647" stopIfTrue="1">
      <formula>LEN(TRIM(E60))=0</formula>
    </cfRule>
  </conditionalFormatting>
  <conditionalFormatting sqref="O56:P56">
    <cfRule type="containsBlanks" dxfId="4093" priority="634" stopIfTrue="1">
      <formula>LEN(TRIM(O56))=0</formula>
    </cfRule>
    <cfRule type="cellIs" dxfId="4092" priority="635" stopIfTrue="1" operator="between">
      <formula>79.1</formula>
      <formula>100</formula>
    </cfRule>
    <cfRule type="cellIs" dxfId="4091" priority="636" stopIfTrue="1" operator="between">
      <formula>34.1</formula>
      <formula>79</formula>
    </cfRule>
    <cfRule type="cellIs" dxfId="4090" priority="637" stopIfTrue="1" operator="between">
      <formula>13.1</formula>
      <formula>34</formula>
    </cfRule>
    <cfRule type="cellIs" dxfId="4089" priority="638" stopIfTrue="1" operator="between">
      <formula>5.1</formula>
      <formula>13</formula>
    </cfRule>
    <cfRule type="cellIs" dxfId="4088" priority="639" stopIfTrue="1" operator="between">
      <formula>0</formula>
      <formula>5</formula>
    </cfRule>
    <cfRule type="containsBlanks" dxfId="4087" priority="640" stopIfTrue="1">
      <formula>LEN(TRIM(O56))=0</formula>
    </cfRule>
  </conditionalFormatting>
  <conditionalFormatting sqref="M56">
    <cfRule type="containsBlanks" dxfId="4086" priority="606" stopIfTrue="1">
      <formula>LEN(TRIM(M56))=0</formula>
    </cfRule>
    <cfRule type="cellIs" dxfId="4085" priority="607" stopIfTrue="1" operator="between">
      <formula>79.1</formula>
      <formula>100</formula>
    </cfRule>
    <cfRule type="cellIs" dxfId="4084" priority="608" stopIfTrue="1" operator="between">
      <formula>34.1</formula>
      <formula>79</formula>
    </cfRule>
    <cfRule type="cellIs" dxfId="4083" priority="609" stopIfTrue="1" operator="between">
      <formula>13.1</formula>
      <formula>34</formula>
    </cfRule>
    <cfRule type="cellIs" dxfId="4082" priority="610" stopIfTrue="1" operator="between">
      <formula>5.1</formula>
      <formula>13</formula>
    </cfRule>
    <cfRule type="cellIs" dxfId="4081" priority="611" stopIfTrue="1" operator="between">
      <formula>0</formula>
      <formula>5</formula>
    </cfRule>
    <cfRule type="containsBlanks" dxfId="4080" priority="612" stopIfTrue="1">
      <formula>LEN(TRIM(M56))=0</formula>
    </cfRule>
  </conditionalFormatting>
  <conditionalFormatting sqref="N56">
    <cfRule type="containsBlanks" dxfId="4079" priority="599" stopIfTrue="1">
      <formula>LEN(TRIM(N56))=0</formula>
    </cfRule>
    <cfRule type="cellIs" dxfId="4078" priority="600" stopIfTrue="1" operator="between">
      <formula>79.1</formula>
      <formula>100</formula>
    </cfRule>
    <cfRule type="cellIs" dxfId="4077" priority="601" stopIfTrue="1" operator="between">
      <formula>34.1</formula>
      <formula>79</formula>
    </cfRule>
    <cfRule type="cellIs" dxfId="4076" priority="602" stopIfTrue="1" operator="between">
      <formula>13.1</formula>
      <formula>34</formula>
    </cfRule>
    <cfRule type="cellIs" dxfId="4075" priority="603" stopIfTrue="1" operator="between">
      <formula>5.1</formula>
      <formula>13</formula>
    </cfRule>
    <cfRule type="cellIs" dxfId="4074" priority="604" stopIfTrue="1" operator="between">
      <formula>0</formula>
      <formula>5</formula>
    </cfRule>
    <cfRule type="containsBlanks" dxfId="4073" priority="605" stopIfTrue="1">
      <formula>LEN(TRIM(N56))=0</formula>
    </cfRule>
  </conditionalFormatting>
  <conditionalFormatting sqref="O55:P55">
    <cfRule type="containsBlanks" dxfId="4072" priority="592" stopIfTrue="1">
      <formula>LEN(TRIM(O55))=0</formula>
    </cfRule>
    <cfRule type="cellIs" dxfId="4071" priority="593" stopIfTrue="1" operator="between">
      <formula>79.1</formula>
      <formula>100</formula>
    </cfRule>
    <cfRule type="cellIs" dxfId="4070" priority="594" stopIfTrue="1" operator="between">
      <formula>34.1</formula>
      <formula>79</formula>
    </cfRule>
    <cfRule type="cellIs" dxfId="4069" priority="595" stopIfTrue="1" operator="between">
      <formula>13.1</formula>
      <formula>34</formula>
    </cfRule>
    <cfRule type="cellIs" dxfId="4068" priority="596" stopIfTrue="1" operator="between">
      <formula>5.1</formula>
      <formula>13</formula>
    </cfRule>
    <cfRule type="cellIs" dxfId="4067" priority="597" stopIfTrue="1" operator="between">
      <formula>0</formula>
      <formula>5</formula>
    </cfRule>
    <cfRule type="containsBlanks" dxfId="4066" priority="598" stopIfTrue="1">
      <formula>LEN(TRIM(O55))=0</formula>
    </cfRule>
  </conditionalFormatting>
  <conditionalFormatting sqref="J55">
    <cfRule type="containsBlanks" dxfId="4065" priority="585" stopIfTrue="1">
      <formula>LEN(TRIM(J55))=0</formula>
    </cfRule>
    <cfRule type="cellIs" dxfId="4064" priority="586" stopIfTrue="1" operator="between">
      <formula>79.1</formula>
      <formula>100</formula>
    </cfRule>
    <cfRule type="cellIs" dxfId="4063" priority="587" stopIfTrue="1" operator="between">
      <formula>34.1</formula>
      <formula>79</formula>
    </cfRule>
    <cfRule type="cellIs" dxfId="4062" priority="588" stopIfTrue="1" operator="between">
      <formula>13.1</formula>
      <formula>34</formula>
    </cfRule>
    <cfRule type="cellIs" dxfId="4061" priority="589" stopIfTrue="1" operator="between">
      <formula>5.1</formula>
      <formula>13</formula>
    </cfRule>
    <cfRule type="cellIs" dxfId="4060" priority="590" stopIfTrue="1" operator="between">
      <formula>0</formula>
      <formula>5</formula>
    </cfRule>
    <cfRule type="containsBlanks" dxfId="4059" priority="591" stopIfTrue="1">
      <formula>LEN(TRIM(J55))=0</formula>
    </cfRule>
  </conditionalFormatting>
  <conditionalFormatting sqref="K55">
    <cfRule type="containsBlanks" dxfId="4058" priority="578" stopIfTrue="1">
      <formula>LEN(TRIM(K55))=0</formula>
    </cfRule>
    <cfRule type="cellIs" dxfId="4057" priority="579" stopIfTrue="1" operator="between">
      <formula>79.1</formula>
      <formula>100</formula>
    </cfRule>
    <cfRule type="cellIs" dxfId="4056" priority="580" stopIfTrue="1" operator="between">
      <formula>34.1</formula>
      <formula>79</formula>
    </cfRule>
    <cfRule type="cellIs" dxfId="4055" priority="581" stopIfTrue="1" operator="between">
      <formula>13.1</formula>
      <formula>34</formula>
    </cfRule>
    <cfRule type="cellIs" dxfId="4054" priority="582" stopIfTrue="1" operator="between">
      <formula>5.1</formula>
      <formula>13</formula>
    </cfRule>
    <cfRule type="cellIs" dxfId="4053" priority="583" stopIfTrue="1" operator="between">
      <formula>0</formula>
      <formula>5</formula>
    </cfRule>
    <cfRule type="containsBlanks" dxfId="4052" priority="584" stopIfTrue="1">
      <formula>LEN(TRIM(K55))=0</formula>
    </cfRule>
  </conditionalFormatting>
  <conditionalFormatting sqref="L55">
    <cfRule type="containsBlanks" dxfId="4051" priority="571" stopIfTrue="1">
      <formula>LEN(TRIM(L55))=0</formula>
    </cfRule>
    <cfRule type="cellIs" dxfId="4050" priority="572" stopIfTrue="1" operator="between">
      <formula>79.1</formula>
      <formula>100</formula>
    </cfRule>
    <cfRule type="cellIs" dxfId="4049" priority="573" stopIfTrue="1" operator="between">
      <formula>34.1</formula>
      <formula>79</formula>
    </cfRule>
    <cfRule type="cellIs" dxfId="4048" priority="574" stopIfTrue="1" operator="between">
      <formula>13.1</formula>
      <formula>34</formula>
    </cfRule>
    <cfRule type="cellIs" dxfId="4047" priority="575" stopIfTrue="1" operator="between">
      <formula>5.1</formula>
      <formula>13</formula>
    </cfRule>
    <cfRule type="cellIs" dxfId="4046" priority="576" stopIfTrue="1" operator="between">
      <formula>0</formula>
      <formula>5</formula>
    </cfRule>
    <cfRule type="containsBlanks" dxfId="4045" priority="577" stopIfTrue="1">
      <formula>LEN(TRIM(L55))=0</formula>
    </cfRule>
  </conditionalFormatting>
  <conditionalFormatting sqref="M55">
    <cfRule type="containsBlanks" dxfId="4044" priority="564" stopIfTrue="1">
      <formula>LEN(TRIM(M55))=0</formula>
    </cfRule>
    <cfRule type="cellIs" dxfId="4043" priority="565" stopIfTrue="1" operator="between">
      <formula>79.1</formula>
      <formula>100</formula>
    </cfRule>
    <cfRule type="cellIs" dxfId="4042" priority="566" stopIfTrue="1" operator="between">
      <formula>34.1</formula>
      <formula>79</formula>
    </cfRule>
    <cfRule type="cellIs" dxfId="4041" priority="567" stopIfTrue="1" operator="between">
      <formula>13.1</formula>
      <formula>34</formula>
    </cfRule>
    <cfRule type="cellIs" dxfId="4040" priority="568" stopIfTrue="1" operator="between">
      <formula>5.1</formula>
      <formula>13</formula>
    </cfRule>
    <cfRule type="cellIs" dxfId="4039" priority="569" stopIfTrue="1" operator="between">
      <formula>0</formula>
      <formula>5</formula>
    </cfRule>
    <cfRule type="containsBlanks" dxfId="4038" priority="570" stopIfTrue="1">
      <formula>LEN(TRIM(M55))=0</formula>
    </cfRule>
  </conditionalFormatting>
  <conditionalFormatting sqref="N55">
    <cfRule type="containsBlanks" dxfId="4037" priority="557" stopIfTrue="1">
      <formula>LEN(TRIM(N55))=0</formula>
    </cfRule>
    <cfRule type="cellIs" dxfId="4036" priority="558" stopIfTrue="1" operator="between">
      <formula>79.1</formula>
      <formula>100</formula>
    </cfRule>
    <cfRule type="cellIs" dxfId="4035" priority="559" stopIfTrue="1" operator="between">
      <formula>34.1</formula>
      <formula>79</formula>
    </cfRule>
    <cfRule type="cellIs" dxfId="4034" priority="560" stopIfTrue="1" operator="between">
      <formula>13.1</formula>
      <formula>34</formula>
    </cfRule>
    <cfRule type="cellIs" dxfId="4033" priority="561" stopIfTrue="1" operator="between">
      <formula>5.1</formula>
      <formula>13</formula>
    </cfRule>
    <cfRule type="cellIs" dxfId="4032" priority="562" stopIfTrue="1" operator="between">
      <formula>0</formula>
      <formula>5</formula>
    </cfRule>
    <cfRule type="containsBlanks" dxfId="4031" priority="563" stopIfTrue="1">
      <formula>LEN(TRIM(N55))=0</formula>
    </cfRule>
  </conditionalFormatting>
  <conditionalFormatting sqref="I62">
    <cfRule type="containsBlanks" dxfId="4030" priority="438" stopIfTrue="1">
      <formula>LEN(TRIM(I62))=0</formula>
    </cfRule>
    <cfRule type="cellIs" dxfId="4029" priority="439" stopIfTrue="1" operator="between">
      <formula>79.1</formula>
      <formula>100</formula>
    </cfRule>
    <cfRule type="cellIs" dxfId="4028" priority="440" stopIfTrue="1" operator="between">
      <formula>34.1</formula>
      <formula>79</formula>
    </cfRule>
    <cfRule type="cellIs" dxfId="4027" priority="441" stopIfTrue="1" operator="between">
      <formula>13.1</formula>
      <formula>34</formula>
    </cfRule>
    <cfRule type="cellIs" dxfId="4026" priority="442" stopIfTrue="1" operator="between">
      <formula>5.1</formula>
      <formula>13</formula>
    </cfRule>
    <cfRule type="cellIs" dxfId="4025" priority="443" stopIfTrue="1" operator="between">
      <formula>0</formula>
      <formula>5</formula>
    </cfRule>
    <cfRule type="containsBlanks" dxfId="4024" priority="444" stopIfTrue="1">
      <formula>LEN(TRIM(I62))=0</formula>
    </cfRule>
  </conditionalFormatting>
  <conditionalFormatting sqref="J62 J65:J66">
    <cfRule type="containsBlanks" dxfId="4023" priority="431" stopIfTrue="1">
      <formula>LEN(TRIM(J62))=0</formula>
    </cfRule>
    <cfRule type="cellIs" dxfId="4022" priority="432" stopIfTrue="1" operator="between">
      <formula>79.1</formula>
      <formula>100</formula>
    </cfRule>
    <cfRule type="cellIs" dxfId="4021" priority="433" stopIfTrue="1" operator="between">
      <formula>34.1</formula>
      <formula>79</formula>
    </cfRule>
    <cfRule type="cellIs" dxfId="4020" priority="434" stopIfTrue="1" operator="between">
      <formula>13.1</formula>
      <formula>34</formula>
    </cfRule>
    <cfRule type="cellIs" dxfId="4019" priority="435" stopIfTrue="1" operator="between">
      <formula>5.1</formula>
      <formula>13</formula>
    </cfRule>
    <cfRule type="cellIs" dxfId="4018" priority="436" stopIfTrue="1" operator="between">
      <formula>0</formula>
      <formula>5</formula>
    </cfRule>
    <cfRule type="containsBlanks" dxfId="4017" priority="437" stopIfTrue="1">
      <formula>LEN(TRIM(J62))=0</formula>
    </cfRule>
  </conditionalFormatting>
  <conditionalFormatting sqref="M57">
    <cfRule type="containsBlanks" dxfId="4016" priority="522" stopIfTrue="1">
      <formula>LEN(TRIM(M57))=0</formula>
    </cfRule>
    <cfRule type="cellIs" dxfId="4015" priority="523" stopIfTrue="1" operator="between">
      <formula>79.1</formula>
      <formula>100</formula>
    </cfRule>
    <cfRule type="cellIs" dxfId="4014" priority="524" stopIfTrue="1" operator="between">
      <formula>34.1</formula>
      <formula>79</formula>
    </cfRule>
    <cfRule type="cellIs" dxfId="4013" priority="525" stopIfTrue="1" operator="between">
      <formula>13.1</formula>
      <formula>34</formula>
    </cfRule>
    <cfRule type="cellIs" dxfId="4012" priority="526" stopIfTrue="1" operator="between">
      <formula>5.1</formula>
      <formula>13</formula>
    </cfRule>
    <cfRule type="cellIs" dxfId="4011" priority="527" stopIfTrue="1" operator="between">
      <formula>0</formula>
      <formula>5</formula>
    </cfRule>
    <cfRule type="containsBlanks" dxfId="4010" priority="528" stopIfTrue="1">
      <formula>LEN(TRIM(M57))=0</formula>
    </cfRule>
  </conditionalFormatting>
  <conditionalFormatting sqref="K43:P43">
    <cfRule type="containsBlanks" dxfId="4009" priority="501" stopIfTrue="1">
      <formula>LEN(TRIM(K43))=0</formula>
    </cfRule>
    <cfRule type="cellIs" dxfId="4008" priority="502" stopIfTrue="1" operator="between">
      <formula>79.1</formula>
      <formula>100</formula>
    </cfRule>
    <cfRule type="cellIs" dxfId="4007" priority="503" stopIfTrue="1" operator="between">
      <formula>34.1</formula>
      <formula>79</formula>
    </cfRule>
    <cfRule type="cellIs" dxfId="4006" priority="504" stopIfTrue="1" operator="between">
      <formula>13.1</formula>
      <formula>34</formula>
    </cfRule>
    <cfRule type="cellIs" dxfId="4005" priority="505" stopIfTrue="1" operator="between">
      <formula>5.1</formula>
      <formula>13</formula>
    </cfRule>
    <cfRule type="cellIs" dxfId="4004" priority="506" stopIfTrue="1" operator="between">
      <formula>0</formula>
      <formula>5</formula>
    </cfRule>
    <cfRule type="containsBlanks" dxfId="4003" priority="507" stopIfTrue="1">
      <formula>LEN(TRIM(K43))=0</formula>
    </cfRule>
  </conditionalFormatting>
  <conditionalFormatting sqref="L50:P50">
    <cfRule type="containsBlanks" dxfId="4002" priority="494" stopIfTrue="1">
      <formula>LEN(TRIM(L50))=0</formula>
    </cfRule>
    <cfRule type="cellIs" dxfId="4001" priority="495" stopIfTrue="1" operator="between">
      <formula>79.1</formula>
      <formula>100</formula>
    </cfRule>
    <cfRule type="cellIs" dxfId="4000" priority="496" stopIfTrue="1" operator="between">
      <formula>34.1</formula>
      <formula>79</formula>
    </cfRule>
    <cfRule type="cellIs" dxfId="3999" priority="497" stopIfTrue="1" operator="between">
      <formula>13.1</formula>
      <formula>34</formula>
    </cfRule>
    <cfRule type="cellIs" dxfId="3998" priority="498" stopIfTrue="1" operator="between">
      <formula>5.1</formula>
      <formula>13</formula>
    </cfRule>
    <cfRule type="cellIs" dxfId="3997" priority="499" stopIfTrue="1" operator="between">
      <formula>0</formula>
      <formula>5</formula>
    </cfRule>
    <cfRule type="containsBlanks" dxfId="3996" priority="500" stopIfTrue="1">
      <formula>LEN(TRIM(L50))=0</formula>
    </cfRule>
  </conditionalFormatting>
  <conditionalFormatting sqref="K44:P44">
    <cfRule type="containsBlanks" dxfId="3995" priority="487" stopIfTrue="1">
      <formula>LEN(TRIM(K44))=0</formula>
    </cfRule>
    <cfRule type="cellIs" dxfId="3994" priority="488" stopIfTrue="1" operator="between">
      <formula>79.1</formula>
      <formula>100</formula>
    </cfRule>
    <cfRule type="cellIs" dxfId="3993" priority="489" stopIfTrue="1" operator="between">
      <formula>34.1</formula>
      <formula>79</formula>
    </cfRule>
    <cfRule type="cellIs" dxfId="3992" priority="490" stopIfTrue="1" operator="between">
      <formula>13.1</formula>
      <formula>34</formula>
    </cfRule>
    <cfRule type="cellIs" dxfId="3991" priority="491" stopIfTrue="1" operator="between">
      <formula>5.1</formula>
      <formula>13</formula>
    </cfRule>
    <cfRule type="cellIs" dxfId="3990" priority="492" stopIfTrue="1" operator="between">
      <formula>0</formula>
      <formula>5</formula>
    </cfRule>
    <cfRule type="containsBlanks" dxfId="3989" priority="493" stopIfTrue="1">
      <formula>LEN(TRIM(K44))=0</formula>
    </cfRule>
  </conditionalFormatting>
  <conditionalFormatting sqref="G62 I65:I66">
    <cfRule type="containsBlanks" dxfId="3988" priority="480" stopIfTrue="1">
      <formula>LEN(TRIM(G62))=0</formula>
    </cfRule>
    <cfRule type="cellIs" dxfId="3987" priority="481" stopIfTrue="1" operator="between">
      <formula>79.1</formula>
      <formula>100</formula>
    </cfRule>
    <cfRule type="cellIs" dxfId="3986" priority="482" stopIfTrue="1" operator="between">
      <formula>34.1</formula>
      <formula>79</formula>
    </cfRule>
    <cfRule type="cellIs" dxfId="3985" priority="483" stopIfTrue="1" operator="between">
      <formula>13.1</formula>
      <formula>34</formula>
    </cfRule>
    <cfRule type="cellIs" dxfId="3984" priority="484" stopIfTrue="1" operator="between">
      <formula>5.1</formula>
      <formula>13</formula>
    </cfRule>
    <cfRule type="cellIs" dxfId="3983" priority="485" stopIfTrue="1" operator="between">
      <formula>0</formula>
      <formula>5</formula>
    </cfRule>
    <cfRule type="containsBlanks" dxfId="3982" priority="486" stopIfTrue="1">
      <formula>LEN(TRIM(G62))=0</formula>
    </cfRule>
  </conditionalFormatting>
  <conditionalFormatting sqref="G65:G66">
    <cfRule type="containsBlanks" dxfId="3981" priority="459" stopIfTrue="1">
      <formula>LEN(TRIM(G65))=0</formula>
    </cfRule>
    <cfRule type="cellIs" dxfId="3980" priority="460" stopIfTrue="1" operator="between">
      <formula>79.1</formula>
      <formula>100</formula>
    </cfRule>
    <cfRule type="cellIs" dxfId="3979" priority="461" stopIfTrue="1" operator="between">
      <formula>34.1</formula>
      <formula>79</formula>
    </cfRule>
    <cfRule type="cellIs" dxfId="3978" priority="462" stopIfTrue="1" operator="between">
      <formula>13.1</formula>
      <formula>34</formula>
    </cfRule>
    <cfRule type="cellIs" dxfId="3977" priority="463" stopIfTrue="1" operator="between">
      <formula>5.1</formula>
      <formula>13</formula>
    </cfRule>
    <cfRule type="cellIs" dxfId="3976" priority="464" stopIfTrue="1" operator="between">
      <formula>0</formula>
      <formula>5</formula>
    </cfRule>
    <cfRule type="containsBlanks" dxfId="3975" priority="465" stopIfTrue="1">
      <formula>LEN(TRIM(G65))=0</formula>
    </cfRule>
  </conditionalFormatting>
  <conditionalFormatting sqref="H62 H65:H66">
    <cfRule type="containsBlanks" dxfId="3974" priority="452" stopIfTrue="1">
      <formula>LEN(TRIM(H62))=0</formula>
    </cfRule>
    <cfRule type="cellIs" dxfId="3973" priority="453" stopIfTrue="1" operator="between">
      <formula>79.1</formula>
      <formula>100</formula>
    </cfRule>
    <cfRule type="cellIs" dxfId="3972" priority="454" stopIfTrue="1" operator="between">
      <formula>34.1</formula>
      <formula>79</formula>
    </cfRule>
    <cfRule type="cellIs" dxfId="3971" priority="455" stopIfTrue="1" operator="between">
      <formula>13.1</formula>
      <formula>34</formula>
    </cfRule>
    <cfRule type="cellIs" dxfId="3970" priority="456" stopIfTrue="1" operator="between">
      <formula>5.1</formula>
      <formula>13</formula>
    </cfRule>
    <cfRule type="cellIs" dxfId="3969" priority="457" stopIfTrue="1" operator="between">
      <formula>0</formula>
      <formula>5</formula>
    </cfRule>
    <cfRule type="containsBlanks" dxfId="3968" priority="458" stopIfTrue="1">
      <formula>LEN(TRIM(H62))=0</formula>
    </cfRule>
  </conditionalFormatting>
  <conditionalFormatting sqref="R12:R22 R25:R75">
    <cfRule type="cellIs" dxfId="3967" priority="367" stopIfTrue="1" operator="equal">
      <formula>"NO"</formula>
    </cfRule>
  </conditionalFormatting>
  <conditionalFormatting sqref="E39:K39">
    <cfRule type="containsBlanks" dxfId="3966" priority="347" stopIfTrue="1">
      <formula>LEN(TRIM(E39))=0</formula>
    </cfRule>
    <cfRule type="cellIs" dxfId="3965" priority="348" stopIfTrue="1" operator="between">
      <formula>80.1</formula>
      <formula>100</formula>
    </cfRule>
    <cfRule type="cellIs" dxfId="3964" priority="349" stopIfTrue="1" operator="between">
      <formula>35.1</formula>
      <formula>80</formula>
    </cfRule>
    <cfRule type="cellIs" dxfId="3963" priority="350" stopIfTrue="1" operator="between">
      <formula>14.1</formula>
      <formula>35</formula>
    </cfRule>
    <cfRule type="cellIs" dxfId="3962" priority="351" stopIfTrue="1" operator="between">
      <formula>5.1</formula>
      <formula>14</formula>
    </cfRule>
    <cfRule type="cellIs" dxfId="3961" priority="352" stopIfTrue="1" operator="between">
      <formula>0</formula>
      <formula>5</formula>
    </cfRule>
    <cfRule type="containsBlanks" dxfId="3960" priority="353" stopIfTrue="1">
      <formula>LEN(TRIM(E39))=0</formula>
    </cfRule>
  </conditionalFormatting>
  <conditionalFormatting sqref="E35:K35">
    <cfRule type="containsBlanks" dxfId="3959" priority="340" stopIfTrue="1">
      <formula>LEN(TRIM(E35))=0</formula>
    </cfRule>
    <cfRule type="cellIs" dxfId="3958" priority="341" stopIfTrue="1" operator="between">
      <formula>80.1</formula>
      <formula>100</formula>
    </cfRule>
    <cfRule type="cellIs" dxfId="3957" priority="342" stopIfTrue="1" operator="between">
      <formula>35.1</formula>
      <formula>80</formula>
    </cfRule>
    <cfRule type="cellIs" dxfId="3956" priority="343" stopIfTrue="1" operator="between">
      <formula>14.1</formula>
      <formula>35</formula>
    </cfRule>
    <cfRule type="cellIs" dxfId="3955" priority="344" stopIfTrue="1" operator="between">
      <formula>5.1</formula>
      <formula>14</formula>
    </cfRule>
    <cfRule type="cellIs" dxfId="3954" priority="345" stopIfTrue="1" operator="between">
      <formula>0</formula>
      <formula>5</formula>
    </cfRule>
    <cfRule type="containsBlanks" dxfId="3953" priority="346" stopIfTrue="1">
      <formula>LEN(TRIM(E35))=0</formula>
    </cfRule>
  </conditionalFormatting>
  <conditionalFormatting sqref="E36:K36">
    <cfRule type="containsBlanks" dxfId="3952" priority="333" stopIfTrue="1">
      <formula>LEN(TRIM(E36))=0</formula>
    </cfRule>
    <cfRule type="cellIs" dxfId="3951" priority="334" stopIfTrue="1" operator="between">
      <formula>80.1</formula>
      <formula>100</formula>
    </cfRule>
    <cfRule type="cellIs" dxfId="3950" priority="335" stopIfTrue="1" operator="between">
      <formula>35.1</formula>
      <formula>80</formula>
    </cfRule>
    <cfRule type="cellIs" dxfId="3949" priority="336" stopIfTrue="1" operator="between">
      <formula>14.1</formula>
      <formula>35</formula>
    </cfRule>
    <cfRule type="cellIs" dxfId="3948" priority="337" stopIfTrue="1" operator="between">
      <formula>5.1</formula>
      <formula>14</formula>
    </cfRule>
    <cfRule type="cellIs" dxfId="3947" priority="338" stopIfTrue="1" operator="between">
      <formula>0</formula>
      <formula>5</formula>
    </cfRule>
    <cfRule type="containsBlanks" dxfId="3946" priority="339" stopIfTrue="1">
      <formula>LEN(TRIM(E36))=0</formula>
    </cfRule>
  </conditionalFormatting>
  <conditionalFormatting sqref="E38:K38">
    <cfRule type="containsBlanks" dxfId="3945" priority="326" stopIfTrue="1">
      <formula>LEN(TRIM(E38))=0</formula>
    </cfRule>
    <cfRule type="cellIs" dxfId="3944" priority="327" stopIfTrue="1" operator="between">
      <formula>80.1</formula>
      <formula>100</formula>
    </cfRule>
    <cfRule type="cellIs" dxfId="3943" priority="328" stopIfTrue="1" operator="between">
      <formula>35.1</formula>
      <formula>80</formula>
    </cfRule>
    <cfRule type="cellIs" dxfId="3942" priority="329" stopIfTrue="1" operator="between">
      <formula>14.1</formula>
      <formula>35</formula>
    </cfRule>
    <cfRule type="cellIs" dxfId="3941" priority="330" stopIfTrue="1" operator="between">
      <formula>5.1</formula>
      <formula>14</formula>
    </cfRule>
    <cfRule type="cellIs" dxfId="3940" priority="331" stopIfTrue="1" operator="between">
      <formula>0</formula>
      <formula>5</formula>
    </cfRule>
    <cfRule type="containsBlanks" dxfId="3939" priority="332" stopIfTrue="1">
      <formula>LEN(TRIM(E38))=0</formula>
    </cfRule>
  </conditionalFormatting>
  <conditionalFormatting sqref="E37:L37">
    <cfRule type="containsBlanks" dxfId="3938" priority="319" stopIfTrue="1">
      <formula>LEN(TRIM(E37))=0</formula>
    </cfRule>
    <cfRule type="cellIs" dxfId="3937" priority="320" stopIfTrue="1" operator="between">
      <formula>80.1</formula>
      <formula>100</formula>
    </cfRule>
    <cfRule type="cellIs" dxfId="3936" priority="321" stopIfTrue="1" operator="between">
      <formula>35.1</formula>
      <formula>80</formula>
    </cfRule>
    <cfRule type="cellIs" dxfId="3935" priority="322" stopIfTrue="1" operator="between">
      <formula>14.1</formula>
      <formula>35</formula>
    </cfRule>
    <cfRule type="cellIs" dxfId="3934" priority="323" stopIfTrue="1" operator="between">
      <formula>5.1</formula>
      <formula>14</formula>
    </cfRule>
    <cfRule type="cellIs" dxfId="3933" priority="324" stopIfTrue="1" operator="between">
      <formula>0</formula>
      <formula>5</formula>
    </cfRule>
    <cfRule type="containsBlanks" dxfId="3932" priority="325" stopIfTrue="1">
      <formula>LEN(TRIM(E37))=0</formula>
    </cfRule>
  </conditionalFormatting>
  <conditionalFormatting sqref="E32:L32">
    <cfRule type="containsBlanks" dxfId="3931" priority="312" stopIfTrue="1">
      <formula>LEN(TRIM(E32))=0</formula>
    </cfRule>
    <cfRule type="cellIs" dxfId="3930" priority="313" stopIfTrue="1" operator="between">
      <formula>80.1</formula>
      <formula>100</formula>
    </cfRule>
    <cfRule type="cellIs" dxfId="3929" priority="314" stopIfTrue="1" operator="between">
      <formula>35.1</formula>
      <formula>80</formula>
    </cfRule>
    <cfRule type="cellIs" dxfId="3928" priority="315" stopIfTrue="1" operator="between">
      <formula>14.1</formula>
      <formula>35</formula>
    </cfRule>
    <cfRule type="cellIs" dxfId="3927" priority="316" stopIfTrue="1" operator="between">
      <formula>5.1</formula>
      <formula>14</formula>
    </cfRule>
    <cfRule type="cellIs" dxfId="3926" priority="317" stopIfTrue="1" operator="between">
      <formula>0</formula>
      <formula>5</formula>
    </cfRule>
    <cfRule type="containsBlanks" dxfId="3925" priority="318" stopIfTrue="1">
      <formula>LEN(TRIM(E32))=0</formula>
    </cfRule>
  </conditionalFormatting>
  <conditionalFormatting sqref="E33:L33">
    <cfRule type="containsBlanks" dxfId="3924" priority="305" stopIfTrue="1">
      <formula>LEN(TRIM(E33))=0</formula>
    </cfRule>
    <cfRule type="cellIs" dxfId="3923" priority="306" stopIfTrue="1" operator="between">
      <formula>80.1</formula>
      <formula>100</formula>
    </cfRule>
    <cfRule type="cellIs" dxfId="3922" priority="307" stopIfTrue="1" operator="between">
      <formula>35.1</formula>
      <formula>80</formula>
    </cfRule>
    <cfRule type="cellIs" dxfId="3921" priority="308" stopIfTrue="1" operator="between">
      <formula>14.1</formula>
      <formula>35</formula>
    </cfRule>
    <cfRule type="cellIs" dxfId="3920" priority="309" stopIfTrue="1" operator="between">
      <formula>5.1</formula>
      <formula>14</formula>
    </cfRule>
    <cfRule type="cellIs" dxfId="3919" priority="310" stopIfTrue="1" operator="between">
      <formula>0</formula>
      <formula>5</formula>
    </cfRule>
    <cfRule type="containsBlanks" dxfId="3918" priority="311" stopIfTrue="1">
      <formula>LEN(TRIM(E33))=0</formula>
    </cfRule>
  </conditionalFormatting>
  <conditionalFormatting sqref="E27:L27">
    <cfRule type="containsBlanks" dxfId="3917" priority="298" stopIfTrue="1">
      <formula>LEN(TRIM(E27))=0</formula>
    </cfRule>
    <cfRule type="cellIs" dxfId="3916" priority="299" stopIfTrue="1" operator="between">
      <formula>80.1</formula>
      <formula>100</formula>
    </cfRule>
    <cfRule type="cellIs" dxfId="3915" priority="300" stopIfTrue="1" operator="between">
      <formula>35.1</formula>
      <formula>80</formula>
    </cfRule>
    <cfRule type="cellIs" dxfId="3914" priority="301" stopIfTrue="1" operator="between">
      <formula>14.1</formula>
      <formula>35</formula>
    </cfRule>
    <cfRule type="cellIs" dxfId="3913" priority="302" stopIfTrue="1" operator="between">
      <formula>5.1</formula>
      <formula>14</formula>
    </cfRule>
    <cfRule type="cellIs" dxfId="3912" priority="303" stopIfTrue="1" operator="between">
      <formula>0</formula>
      <formula>5</formula>
    </cfRule>
    <cfRule type="containsBlanks" dxfId="3911" priority="304" stopIfTrue="1">
      <formula>LEN(TRIM(E27))=0</formula>
    </cfRule>
  </conditionalFormatting>
  <conditionalFormatting sqref="E34:L34">
    <cfRule type="containsBlanks" dxfId="3910" priority="291" stopIfTrue="1">
      <formula>LEN(TRIM(E34))=0</formula>
    </cfRule>
    <cfRule type="cellIs" dxfId="3909" priority="292" stopIfTrue="1" operator="between">
      <formula>80.1</formula>
      <formula>100</formula>
    </cfRule>
    <cfRule type="cellIs" dxfId="3908" priority="293" stopIfTrue="1" operator="between">
      <formula>35.1</formula>
      <formula>80</formula>
    </cfRule>
    <cfRule type="cellIs" dxfId="3907" priority="294" stopIfTrue="1" operator="between">
      <formula>14.1</formula>
      <formula>35</formula>
    </cfRule>
    <cfRule type="cellIs" dxfId="3906" priority="295" stopIfTrue="1" operator="between">
      <formula>5.1</formula>
      <formula>14</formula>
    </cfRule>
    <cfRule type="cellIs" dxfId="3905" priority="296" stopIfTrue="1" operator="between">
      <formula>0</formula>
      <formula>5</formula>
    </cfRule>
    <cfRule type="containsBlanks" dxfId="3904" priority="297" stopIfTrue="1">
      <formula>LEN(TRIM(E34))=0</formula>
    </cfRule>
  </conditionalFormatting>
  <conditionalFormatting sqref="E41:N41">
    <cfRule type="containsBlanks" dxfId="3903" priority="284" stopIfTrue="1">
      <formula>LEN(TRIM(E41))=0</formula>
    </cfRule>
    <cfRule type="cellIs" dxfId="3902" priority="285" stopIfTrue="1" operator="between">
      <formula>80.1</formula>
      <formula>100</formula>
    </cfRule>
    <cfRule type="cellIs" dxfId="3901" priority="286" stopIfTrue="1" operator="between">
      <formula>35.1</formula>
      <formula>80</formula>
    </cfRule>
    <cfRule type="cellIs" dxfId="3900" priority="287" stopIfTrue="1" operator="between">
      <formula>14.1</formula>
      <formula>35</formula>
    </cfRule>
    <cfRule type="cellIs" dxfId="3899" priority="288" stopIfTrue="1" operator="between">
      <formula>5.1</formula>
      <formula>14</formula>
    </cfRule>
    <cfRule type="cellIs" dxfId="3898" priority="289" stopIfTrue="1" operator="between">
      <formula>0</formula>
      <formula>5</formula>
    </cfRule>
    <cfRule type="containsBlanks" dxfId="3897" priority="290" stopIfTrue="1">
      <formula>LEN(TRIM(E41))=0</formula>
    </cfRule>
  </conditionalFormatting>
  <conditionalFormatting sqref="E42:M42">
    <cfRule type="containsBlanks" dxfId="3896" priority="277" stopIfTrue="1">
      <formula>LEN(TRIM(E42))=0</formula>
    </cfRule>
    <cfRule type="cellIs" dxfId="3895" priority="278" stopIfTrue="1" operator="between">
      <formula>80.1</formula>
      <formula>100</formula>
    </cfRule>
    <cfRule type="cellIs" dxfId="3894" priority="279" stopIfTrue="1" operator="between">
      <formula>35.1</formula>
      <formula>80</formula>
    </cfRule>
    <cfRule type="cellIs" dxfId="3893" priority="280" stopIfTrue="1" operator="between">
      <formula>14.1</formula>
      <formula>35</formula>
    </cfRule>
    <cfRule type="cellIs" dxfId="3892" priority="281" stopIfTrue="1" operator="between">
      <formula>5.1</formula>
      <formula>14</formula>
    </cfRule>
    <cfRule type="cellIs" dxfId="3891" priority="282" stopIfTrue="1" operator="between">
      <formula>0</formula>
      <formula>5</formula>
    </cfRule>
    <cfRule type="containsBlanks" dxfId="3890" priority="283" stopIfTrue="1">
      <formula>LEN(TRIM(E42))=0</formula>
    </cfRule>
  </conditionalFormatting>
  <conditionalFormatting sqref="E40:M40">
    <cfRule type="containsBlanks" dxfId="3889" priority="270" stopIfTrue="1">
      <formula>LEN(TRIM(E40))=0</formula>
    </cfRule>
    <cfRule type="cellIs" dxfId="3888" priority="271" stopIfTrue="1" operator="between">
      <formula>80.1</formula>
      <formula>100</formula>
    </cfRule>
    <cfRule type="cellIs" dxfId="3887" priority="272" stopIfTrue="1" operator="between">
      <formula>35.1</formula>
      <formula>80</formula>
    </cfRule>
    <cfRule type="cellIs" dxfId="3886" priority="273" stopIfTrue="1" operator="between">
      <formula>14.1</formula>
      <formula>35</formula>
    </cfRule>
    <cfRule type="cellIs" dxfId="3885" priority="274" stopIfTrue="1" operator="between">
      <formula>5.1</formula>
      <formula>14</formula>
    </cfRule>
    <cfRule type="cellIs" dxfId="3884" priority="275" stopIfTrue="1" operator="between">
      <formula>0</formula>
      <formula>5</formula>
    </cfRule>
    <cfRule type="containsBlanks" dxfId="3883" priority="276" stopIfTrue="1">
      <formula>LEN(TRIM(E40))=0</formula>
    </cfRule>
  </conditionalFormatting>
  <conditionalFormatting sqref="E29:O29">
    <cfRule type="containsBlanks" dxfId="3882" priority="263" stopIfTrue="1">
      <formula>LEN(TRIM(E29))=0</formula>
    </cfRule>
    <cfRule type="cellIs" dxfId="3881" priority="264" stopIfTrue="1" operator="between">
      <formula>80.1</formula>
      <formula>100</formula>
    </cfRule>
    <cfRule type="cellIs" dxfId="3880" priority="265" stopIfTrue="1" operator="between">
      <formula>35.1</formula>
      <formula>80</formula>
    </cfRule>
    <cfRule type="cellIs" dxfId="3879" priority="266" stopIfTrue="1" operator="between">
      <formula>14.1</formula>
      <formula>35</formula>
    </cfRule>
    <cfRule type="cellIs" dxfId="3878" priority="267" stopIfTrue="1" operator="between">
      <formula>5.1</formula>
      <formula>14</formula>
    </cfRule>
    <cfRule type="cellIs" dxfId="3877" priority="268" stopIfTrue="1" operator="between">
      <formula>0</formula>
      <formula>5</formula>
    </cfRule>
    <cfRule type="containsBlanks" dxfId="3876" priority="269" stopIfTrue="1">
      <formula>LEN(TRIM(E29))=0</formula>
    </cfRule>
  </conditionalFormatting>
  <conditionalFormatting sqref="E28:G28">
    <cfRule type="containsBlanks" dxfId="3875" priority="256" stopIfTrue="1">
      <formula>LEN(TRIM(E28))=0</formula>
    </cfRule>
    <cfRule type="cellIs" dxfId="3874" priority="257" stopIfTrue="1" operator="between">
      <formula>80.1</formula>
      <formula>100</formula>
    </cfRule>
    <cfRule type="cellIs" dxfId="3873" priority="258" stopIfTrue="1" operator="between">
      <formula>35.1</formula>
      <formula>80</formula>
    </cfRule>
    <cfRule type="cellIs" dxfId="3872" priority="259" stopIfTrue="1" operator="between">
      <formula>14.1</formula>
      <formula>35</formula>
    </cfRule>
    <cfRule type="cellIs" dxfId="3871" priority="260" stopIfTrue="1" operator="between">
      <formula>5.1</formula>
      <formula>14</formula>
    </cfRule>
    <cfRule type="cellIs" dxfId="3870" priority="261" stopIfTrue="1" operator="between">
      <formula>0</formula>
      <formula>5</formula>
    </cfRule>
    <cfRule type="containsBlanks" dxfId="3869" priority="262" stopIfTrue="1">
      <formula>LEN(TRIM(E28))=0</formula>
    </cfRule>
  </conditionalFormatting>
  <conditionalFormatting sqref="E31:G31">
    <cfRule type="containsBlanks" dxfId="3868" priority="249" stopIfTrue="1">
      <formula>LEN(TRIM(E31))=0</formula>
    </cfRule>
    <cfRule type="cellIs" dxfId="3867" priority="250" stopIfTrue="1" operator="between">
      <formula>80.1</formula>
      <formula>100</formula>
    </cfRule>
    <cfRule type="cellIs" dxfId="3866" priority="251" stopIfTrue="1" operator="between">
      <formula>35.1</formula>
      <formula>80</formula>
    </cfRule>
    <cfRule type="cellIs" dxfId="3865" priority="252" stopIfTrue="1" operator="between">
      <formula>14.1</formula>
      <formula>35</formula>
    </cfRule>
    <cfRule type="cellIs" dxfId="3864" priority="253" stopIfTrue="1" operator="between">
      <formula>5.1</formula>
      <formula>14</formula>
    </cfRule>
    <cfRule type="cellIs" dxfId="3863" priority="254" stopIfTrue="1" operator="between">
      <formula>0</formula>
      <formula>5</formula>
    </cfRule>
    <cfRule type="containsBlanks" dxfId="3862" priority="255" stopIfTrue="1">
      <formula>LEN(TRIM(E31))=0</formula>
    </cfRule>
  </conditionalFormatting>
  <conditionalFormatting sqref="E43:I43">
    <cfRule type="containsBlanks" dxfId="3861" priority="242" stopIfTrue="1">
      <formula>LEN(TRIM(E43))=0</formula>
    </cfRule>
    <cfRule type="cellIs" dxfId="3860" priority="243" stopIfTrue="1" operator="between">
      <formula>79.1</formula>
      <formula>100</formula>
    </cfRule>
    <cfRule type="cellIs" dxfId="3859" priority="244" stopIfTrue="1" operator="between">
      <formula>34.1</formula>
      <formula>79</formula>
    </cfRule>
    <cfRule type="cellIs" dxfId="3858" priority="245" stopIfTrue="1" operator="between">
      <formula>13.1</formula>
      <formula>34</formula>
    </cfRule>
    <cfRule type="cellIs" dxfId="3857" priority="246" stopIfTrue="1" operator="between">
      <formula>5.1</formula>
      <formula>13</formula>
    </cfRule>
    <cfRule type="cellIs" dxfId="3856" priority="247" stopIfTrue="1" operator="between">
      <formula>0</formula>
      <formula>5</formula>
    </cfRule>
    <cfRule type="containsBlanks" dxfId="3855" priority="248" stopIfTrue="1">
      <formula>LEN(TRIM(E43))=0</formula>
    </cfRule>
  </conditionalFormatting>
  <conditionalFormatting sqref="E45:P45">
    <cfRule type="containsBlanks" dxfId="3854" priority="235" stopIfTrue="1">
      <formula>LEN(TRIM(E45))=0</formula>
    </cfRule>
    <cfRule type="cellIs" dxfId="3853" priority="236" stopIfTrue="1" operator="between">
      <formula>79.1</formula>
      <formula>100</formula>
    </cfRule>
    <cfRule type="cellIs" dxfId="3852" priority="237" stopIfTrue="1" operator="between">
      <formula>34.1</formula>
      <formula>79</formula>
    </cfRule>
    <cfRule type="cellIs" dxfId="3851" priority="238" stopIfTrue="1" operator="between">
      <formula>13.1</formula>
      <formula>34</formula>
    </cfRule>
    <cfRule type="cellIs" dxfId="3850" priority="239" stopIfTrue="1" operator="between">
      <formula>5.1</formula>
      <formula>13</formula>
    </cfRule>
    <cfRule type="cellIs" dxfId="3849" priority="240" stopIfTrue="1" operator="between">
      <formula>0</formula>
      <formula>5</formula>
    </cfRule>
    <cfRule type="containsBlanks" dxfId="3848" priority="241" stopIfTrue="1">
      <formula>LEN(TRIM(E45))=0</formula>
    </cfRule>
  </conditionalFormatting>
  <conditionalFormatting sqref="E44:J44">
    <cfRule type="containsBlanks" dxfId="3847" priority="228" stopIfTrue="1">
      <formula>LEN(TRIM(E44))=0</formula>
    </cfRule>
    <cfRule type="cellIs" dxfId="3846" priority="229" stopIfTrue="1" operator="between">
      <formula>79.1</formula>
      <formula>100</formula>
    </cfRule>
    <cfRule type="cellIs" dxfId="3845" priority="230" stopIfTrue="1" operator="between">
      <formula>34.1</formula>
      <formula>79</formula>
    </cfRule>
    <cfRule type="cellIs" dxfId="3844" priority="231" stopIfTrue="1" operator="between">
      <formula>13.1</formula>
      <formula>34</formula>
    </cfRule>
    <cfRule type="cellIs" dxfId="3843" priority="232" stopIfTrue="1" operator="between">
      <formula>5.1</formula>
      <formula>13</formula>
    </cfRule>
    <cfRule type="cellIs" dxfId="3842" priority="233" stopIfTrue="1" operator="between">
      <formula>0</formula>
      <formula>5</formula>
    </cfRule>
    <cfRule type="containsBlanks" dxfId="3841" priority="234" stopIfTrue="1">
      <formula>LEN(TRIM(E44))=0</formula>
    </cfRule>
  </conditionalFormatting>
  <conditionalFormatting sqref="E47:I47">
    <cfRule type="containsBlanks" dxfId="3840" priority="221" stopIfTrue="1">
      <formula>LEN(TRIM(E47))=0</formula>
    </cfRule>
    <cfRule type="cellIs" dxfId="3839" priority="222" stopIfTrue="1" operator="between">
      <formula>79.1</formula>
      <formula>100</formula>
    </cfRule>
    <cfRule type="cellIs" dxfId="3838" priority="223" stopIfTrue="1" operator="between">
      <formula>34.1</formula>
      <formula>79</formula>
    </cfRule>
    <cfRule type="cellIs" dxfId="3837" priority="224" stopIfTrue="1" operator="between">
      <formula>13.1</formula>
      <formula>34</formula>
    </cfRule>
    <cfRule type="cellIs" dxfId="3836" priority="225" stopIfTrue="1" operator="between">
      <formula>5.1</formula>
      <formula>13</formula>
    </cfRule>
    <cfRule type="cellIs" dxfId="3835" priority="226" stopIfTrue="1" operator="between">
      <formula>0</formula>
      <formula>5</formula>
    </cfRule>
    <cfRule type="containsBlanks" dxfId="3834" priority="227" stopIfTrue="1">
      <formula>LEN(TRIM(E47))=0</formula>
    </cfRule>
  </conditionalFormatting>
  <conditionalFormatting sqref="E48:H48">
    <cfRule type="containsBlanks" dxfId="3833" priority="214" stopIfTrue="1">
      <formula>LEN(TRIM(E48))=0</formula>
    </cfRule>
    <cfRule type="cellIs" dxfId="3832" priority="215" stopIfTrue="1" operator="between">
      <formula>79.1</formula>
      <formula>100</formula>
    </cfRule>
    <cfRule type="cellIs" dxfId="3831" priority="216" stopIfTrue="1" operator="between">
      <formula>34.1</formula>
      <formula>79</formula>
    </cfRule>
    <cfRule type="cellIs" dxfId="3830" priority="217" stopIfTrue="1" operator="between">
      <formula>13.1</formula>
      <formula>34</formula>
    </cfRule>
    <cfRule type="cellIs" dxfId="3829" priority="218" stopIfTrue="1" operator="between">
      <formula>5.1</formula>
      <formula>13</formula>
    </cfRule>
    <cfRule type="cellIs" dxfId="3828" priority="219" stopIfTrue="1" operator="between">
      <formula>0</formula>
      <formula>5</formula>
    </cfRule>
    <cfRule type="containsBlanks" dxfId="3827" priority="220" stopIfTrue="1">
      <formula>LEN(TRIM(E48))=0</formula>
    </cfRule>
  </conditionalFormatting>
  <conditionalFormatting sqref="E49:H49">
    <cfRule type="containsBlanks" dxfId="3826" priority="207" stopIfTrue="1">
      <formula>LEN(TRIM(E49))=0</formula>
    </cfRule>
    <cfRule type="cellIs" dxfId="3825" priority="208" stopIfTrue="1" operator="between">
      <formula>79.1</formula>
      <formula>100</formula>
    </cfRule>
    <cfRule type="cellIs" dxfId="3824" priority="209" stopIfTrue="1" operator="between">
      <formula>34.1</formula>
      <formula>79</formula>
    </cfRule>
    <cfRule type="cellIs" dxfId="3823" priority="210" stopIfTrue="1" operator="between">
      <formula>13.1</formula>
      <formula>34</formula>
    </cfRule>
    <cfRule type="cellIs" dxfId="3822" priority="211" stopIfTrue="1" operator="between">
      <formula>5.1</formula>
      <formula>13</formula>
    </cfRule>
    <cfRule type="cellIs" dxfId="3821" priority="212" stopIfTrue="1" operator="between">
      <formula>0</formula>
      <formula>5</formula>
    </cfRule>
    <cfRule type="containsBlanks" dxfId="3820" priority="213" stopIfTrue="1">
      <formula>LEN(TRIM(E49))=0</formula>
    </cfRule>
  </conditionalFormatting>
  <conditionalFormatting sqref="E53:P53">
    <cfRule type="containsBlanks" dxfId="3819" priority="200" stopIfTrue="1">
      <formula>LEN(TRIM(E53))=0</formula>
    </cfRule>
    <cfRule type="cellIs" dxfId="3818" priority="201" stopIfTrue="1" operator="between">
      <formula>80.1</formula>
      <formula>100</formula>
    </cfRule>
    <cfRule type="cellIs" dxfId="3817" priority="202" stopIfTrue="1" operator="between">
      <formula>35.1</formula>
      <formula>80</formula>
    </cfRule>
    <cfRule type="cellIs" dxfId="3816" priority="203" stopIfTrue="1" operator="between">
      <formula>14.1</formula>
      <formula>35</formula>
    </cfRule>
    <cfRule type="cellIs" dxfId="3815" priority="204" stopIfTrue="1" operator="between">
      <formula>5.1</formula>
      <formula>14</formula>
    </cfRule>
    <cfRule type="cellIs" dxfId="3814" priority="205" stopIfTrue="1" operator="between">
      <formula>0</formula>
      <formula>5</formula>
    </cfRule>
    <cfRule type="containsBlanks" dxfId="3813" priority="206" stopIfTrue="1">
      <formula>LEN(TRIM(E53))=0</formula>
    </cfRule>
  </conditionalFormatting>
  <conditionalFormatting sqref="E54:P54">
    <cfRule type="containsBlanks" dxfId="3812" priority="193" stopIfTrue="1">
      <formula>LEN(TRIM(E54))=0</formula>
    </cfRule>
    <cfRule type="cellIs" dxfId="3811" priority="194" stopIfTrue="1" operator="between">
      <formula>80.1</formula>
      <formula>100</formula>
    </cfRule>
    <cfRule type="cellIs" dxfId="3810" priority="195" stopIfTrue="1" operator="between">
      <formula>35.1</formula>
      <formula>80</formula>
    </cfRule>
    <cfRule type="cellIs" dxfId="3809" priority="196" stopIfTrue="1" operator="between">
      <formula>14.1</formula>
      <formula>35</formula>
    </cfRule>
    <cfRule type="cellIs" dxfId="3808" priority="197" stopIfTrue="1" operator="between">
      <formula>5.1</formula>
      <formula>14</formula>
    </cfRule>
    <cfRule type="cellIs" dxfId="3807" priority="198" stopIfTrue="1" operator="between">
      <formula>0</formula>
      <formula>5</formula>
    </cfRule>
    <cfRule type="containsBlanks" dxfId="3806" priority="199" stopIfTrue="1">
      <formula>LEN(TRIM(E54))=0</formula>
    </cfRule>
  </conditionalFormatting>
  <conditionalFormatting sqref="E52:P52">
    <cfRule type="containsBlanks" dxfId="3805" priority="186" stopIfTrue="1">
      <formula>LEN(TRIM(E52))=0</formula>
    </cfRule>
    <cfRule type="cellIs" dxfId="3804" priority="187" stopIfTrue="1" operator="between">
      <formula>80.1</formula>
      <formula>100</formula>
    </cfRule>
    <cfRule type="cellIs" dxfId="3803" priority="188" stopIfTrue="1" operator="between">
      <formula>35.1</formula>
      <formula>80</formula>
    </cfRule>
    <cfRule type="cellIs" dxfId="3802" priority="189" stopIfTrue="1" operator="between">
      <formula>14.1</formula>
      <formula>35</formula>
    </cfRule>
    <cfRule type="cellIs" dxfId="3801" priority="190" stopIfTrue="1" operator="between">
      <formula>5.1</formula>
      <formula>14</formula>
    </cfRule>
    <cfRule type="cellIs" dxfId="3800" priority="191" stopIfTrue="1" operator="between">
      <formula>0</formula>
      <formula>5</formula>
    </cfRule>
    <cfRule type="containsBlanks" dxfId="3799" priority="192" stopIfTrue="1">
      <formula>LEN(TRIM(E52))=0</formula>
    </cfRule>
  </conditionalFormatting>
  <conditionalFormatting sqref="E58:P58">
    <cfRule type="containsBlanks" dxfId="3798" priority="179" stopIfTrue="1">
      <formula>LEN(TRIM(E58))=0</formula>
    </cfRule>
    <cfRule type="cellIs" dxfId="3797" priority="180" stopIfTrue="1" operator="between">
      <formula>80.1</formula>
      <formula>100</formula>
    </cfRule>
    <cfRule type="cellIs" dxfId="3796" priority="181" stopIfTrue="1" operator="between">
      <formula>35.1</formula>
      <formula>80</formula>
    </cfRule>
    <cfRule type="cellIs" dxfId="3795" priority="182" stopIfTrue="1" operator="between">
      <formula>14.1</formula>
      <formula>35</formula>
    </cfRule>
    <cfRule type="cellIs" dxfId="3794" priority="183" stopIfTrue="1" operator="between">
      <formula>5.1</formula>
      <formula>14</formula>
    </cfRule>
    <cfRule type="cellIs" dxfId="3793" priority="184" stopIfTrue="1" operator="between">
      <formula>0</formula>
      <formula>5</formula>
    </cfRule>
    <cfRule type="containsBlanks" dxfId="3792" priority="185" stopIfTrue="1">
      <formula>LEN(TRIM(E58))=0</formula>
    </cfRule>
  </conditionalFormatting>
  <conditionalFormatting sqref="E51:G51">
    <cfRule type="containsBlanks" dxfId="3791" priority="172" stopIfTrue="1">
      <formula>LEN(TRIM(E51))=0</formula>
    </cfRule>
    <cfRule type="cellIs" dxfId="3790" priority="173" stopIfTrue="1" operator="between">
      <formula>80.1</formula>
      <formula>100</formula>
    </cfRule>
    <cfRule type="cellIs" dxfId="3789" priority="174" stopIfTrue="1" operator="between">
      <formula>35.1</formula>
      <formula>80</formula>
    </cfRule>
    <cfRule type="cellIs" dxfId="3788" priority="175" stopIfTrue="1" operator="between">
      <formula>14.1</formula>
      <formula>35</formula>
    </cfRule>
    <cfRule type="cellIs" dxfId="3787" priority="176" stopIfTrue="1" operator="between">
      <formula>5.1</formula>
      <formula>14</formula>
    </cfRule>
    <cfRule type="cellIs" dxfId="3786" priority="177" stopIfTrue="1" operator="between">
      <formula>0</formula>
      <formula>5</formula>
    </cfRule>
    <cfRule type="containsBlanks" dxfId="3785" priority="178" stopIfTrue="1">
      <formula>LEN(TRIM(E51))=0</formula>
    </cfRule>
  </conditionalFormatting>
  <conditionalFormatting sqref="E56:K56">
    <cfRule type="containsBlanks" dxfId="3784" priority="165" stopIfTrue="1">
      <formula>LEN(TRIM(E56))=0</formula>
    </cfRule>
    <cfRule type="cellIs" dxfId="3783" priority="166" stopIfTrue="1" operator="between">
      <formula>80.1</formula>
      <formula>100</formula>
    </cfRule>
    <cfRule type="cellIs" dxfId="3782" priority="167" stopIfTrue="1" operator="between">
      <formula>35.1</formula>
      <formula>80</formula>
    </cfRule>
    <cfRule type="cellIs" dxfId="3781" priority="168" stopIfTrue="1" operator="between">
      <formula>14.1</formula>
      <formula>35</formula>
    </cfRule>
    <cfRule type="cellIs" dxfId="3780" priority="169" stopIfTrue="1" operator="between">
      <formula>5.1</formula>
      <formula>14</formula>
    </cfRule>
    <cfRule type="cellIs" dxfId="3779" priority="170" stopIfTrue="1" operator="between">
      <formula>0</formula>
      <formula>5</formula>
    </cfRule>
    <cfRule type="containsBlanks" dxfId="3778" priority="171" stopIfTrue="1">
      <formula>LEN(TRIM(E56))=0</formula>
    </cfRule>
  </conditionalFormatting>
  <conditionalFormatting sqref="E70:O70">
    <cfRule type="containsBlanks" dxfId="3777" priority="60" stopIfTrue="1">
      <formula>LEN(TRIM(E70))=0</formula>
    </cfRule>
    <cfRule type="cellIs" dxfId="3776" priority="61" stopIfTrue="1" operator="between">
      <formula>80.1</formula>
      <formula>100</formula>
    </cfRule>
    <cfRule type="cellIs" dxfId="3775" priority="62" stopIfTrue="1" operator="between">
      <formula>35.1</formula>
      <formula>80</formula>
    </cfRule>
    <cfRule type="cellIs" dxfId="3774" priority="63" stopIfTrue="1" operator="between">
      <formula>14.1</formula>
      <formula>35</formula>
    </cfRule>
    <cfRule type="cellIs" dxfId="3773" priority="64" stopIfTrue="1" operator="between">
      <formula>5.1</formula>
      <formula>14</formula>
    </cfRule>
    <cfRule type="cellIs" dxfId="3772" priority="65" stopIfTrue="1" operator="between">
      <formula>0</formula>
      <formula>5</formula>
    </cfRule>
    <cfRule type="containsBlanks" dxfId="3771" priority="66" stopIfTrue="1">
      <formula>LEN(TRIM(E70))=0</formula>
    </cfRule>
  </conditionalFormatting>
  <conditionalFormatting sqref="E57:L57">
    <cfRule type="containsBlanks" dxfId="3770" priority="158" stopIfTrue="1">
      <formula>LEN(TRIM(E57))=0</formula>
    </cfRule>
    <cfRule type="cellIs" dxfId="3769" priority="159" stopIfTrue="1" operator="between">
      <formula>80.1</formula>
      <formula>100</formula>
    </cfRule>
    <cfRule type="cellIs" dxfId="3768" priority="160" stopIfTrue="1" operator="between">
      <formula>35.1</formula>
      <formula>80</formula>
    </cfRule>
    <cfRule type="cellIs" dxfId="3767" priority="161" stopIfTrue="1" operator="between">
      <formula>14.1</formula>
      <formula>35</formula>
    </cfRule>
    <cfRule type="cellIs" dxfId="3766" priority="162" stopIfTrue="1" operator="between">
      <formula>5.1</formula>
      <formula>14</formula>
    </cfRule>
    <cfRule type="cellIs" dxfId="3765" priority="163" stopIfTrue="1" operator="between">
      <formula>0</formula>
      <formula>5</formula>
    </cfRule>
    <cfRule type="containsBlanks" dxfId="3764" priority="164" stopIfTrue="1">
      <formula>LEN(TRIM(E57))=0</formula>
    </cfRule>
  </conditionalFormatting>
  <conditionalFormatting sqref="E55:I55">
    <cfRule type="containsBlanks" dxfId="3763" priority="151" stopIfTrue="1">
      <formula>LEN(TRIM(E55))=0</formula>
    </cfRule>
    <cfRule type="cellIs" dxfId="3762" priority="152" stopIfTrue="1" operator="between">
      <formula>80.1</formula>
      <formula>100</formula>
    </cfRule>
    <cfRule type="cellIs" dxfId="3761" priority="153" stopIfTrue="1" operator="between">
      <formula>35.1</formula>
      <formula>80</formula>
    </cfRule>
    <cfRule type="cellIs" dxfId="3760" priority="154" stopIfTrue="1" operator="between">
      <formula>14.1</formula>
      <formula>35</formula>
    </cfRule>
    <cfRule type="cellIs" dxfId="3759" priority="155" stopIfTrue="1" operator="between">
      <formula>5.1</formula>
      <formula>14</formula>
    </cfRule>
    <cfRule type="cellIs" dxfId="3758" priority="156" stopIfTrue="1" operator="between">
      <formula>0</formula>
      <formula>5</formula>
    </cfRule>
    <cfRule type="containsBlanks" dxfId="3757" priority="157" stopIfTrue="1">
      <formula>LEN(TRIM(E55))=0</formula>
    </cfRule>
  </conditionalFormatting>
  <conditionalFormatting sqref="E50:K50">
    <cfRule type="containsBlanks" dxfId="3756" priority="144" stopIfTrue="1">
      <formula>LEN(TRIM(E50))=0</formula>
    </cfRule>
    <cfRule type="cellIs" dxfId="3755" priority="145" stopIfTrue="1" operator="between">
      <formula>80.1</formula>
      <formula>100</formula>
    </cfRule>
    <cfRule type="cellIs" dxfId="3754" priority="146" stopIfTrue="1" operator="between">
      <formula>35.1</formula>
      <formula>80</formula>
    </cfRule>
    <cfRule type="cellIs" dxfId="3753" priority="147" stopIfTrue="1" operator="between">
      <formula>14.1</formula>
      <formula>35</formula>
    </cfRule>
    <cfRule type="cellIs" dxfId="3752" priority="148" stopIfTrue="1" operator="between">
      <formula>5.1</formula>
      <formula>14</formula>
    </cfRule>
    <cfRule type="cellIs" dxfId="3751" priority="149" stopIfTrue="1" operator="between">
      <formula>0</formula>
      <formula>5</formula>
    </cfRule>
    <cfRule type="containsBlanks" dxfId="3750" priority="150" stopIfTrue="1">
      <formula>LEN(TRIM(E50))=0</formula>
    </cfRule>
  </conditionalFormatting>
  <conditionalFormatting sqref="E60:J60">
    <cfRule type="containsBlanks" dxfId="3749" priority="137" stopIfTrue="1">
      <formula>LEN(TRIM(E60))=0</formula>
    </cfRule>
    <cfRule type="cellIs" dxfId="3748" priority="138" stopIfTrue="1" operator="between">
      <formula>80.1</formula>
      <formula>100</formula>
    </cfRule>
    <cfRule type="cellIs" dxfId="3747" priority="139" stopIfTrue="1" operator="between">
      <formula>35.1</formula>
      <formula>80</formula>
    </cfRule>
    <cfRule type="cellIs" dxfId="3746" priority="140" stopIfTrue="1" operator="between">
      <formula>14.1</formula>
      <formula>35</formula>
    </cfRule>
    <cfRule type="cellIs" dxfId="3745" priority="141" stopIfTrue="1" operator="between">
      <formula>5.1</formula>
      <formula>14</formula>
    </cfRule>
    <cfRule type="cellIs" dxfId="3744" priority="142" stopIfTrue="1" operator="between">
      <formula>0</formula>
      <formula>5</formula>
    </cfRule>
    <cfRule type="containsBlanks" dxfId="3743" priority="143" stopIfTrue="1">
      <formula>LEN(TRIM(E60))=0</formula>
    </cfRule>
  </conditionalFormatting>
  <conditionalFormatting sqref="E61:K61">
    <cfRule type="containsBlanks" dxfId="3742" priority="130" stopIfTrue="1">
      <formula>LEN(TRIM(E61))=0</formula>
    </cfRule>
    <cfRule type="cellIs" dxfId="3741" priority="131" stopIfTrue="1" operator="between">
      <formula>80.1</formula>
      <formula>100</formula>
    </cfRule>
    <cfRule type="cellIs" dxfId="3740" priority="132" stopIfTrue="1" operator="between">
      <formula>35.1</formula>
      <formula>80</formula>
    </cfRule>
    <cfRule type="cellIs" dxfId="3739" priority="133" stopIfTrue="1" operator="between">
      <formula>14.1</formula>
      <formula>35</formula>
    </cfRule>
    <cfRule type="cellIs" dxfId="3738" priority="134" stopIfTrue="1" operator="between">
      <formula>5.1</formula>
      <formula>14</formula>
    </cfRule>
    <cfRule type="cellIs" dxfId="3737" priority="135" stopIfTrue="1" operator="between">
      <formula>0</formula>
      <formula>5</formula>
    </cfRule>
    <cfRule type="containsBlanks" dxfId="3736" priority="136" stopIfTrue="1">
      <formula>LEN(TRIM(E61))=0</formula>
    </cfRule>
  </conditionalFormatting>
  <conditionalFormatting sqref="E64:J64">
    <cfRule type="containsBlanks" dxfId="3735" priority="123" stopIfTrue="1">
      <formula>LEN(TRIM(E64))=0</formula>
    </cfRule>
    <cfRule type="cellIs" dxfId="3734" priority="124" stopIfTrue="1" operator="between">
      <formula>80.1</formula>
      <formula>100</formula>
    </cfRule>
    <cfRule type="cellIs" dxfId="3733" priority="125" stopIfTrue="1" operator="between">
      <formula>35.1</formula>
      <formula>80</formula>
    </cfRule>
    <cfRule type="cellIs" dxfId="3732" priority="126" stopIfTrue="1" operator="between">
      <formula>14.1</formula>
      <formula>35</formula>
    </cfRule>
    <cfRule type="cellIs" dxfId="3731" priority="127" stopIfTrue="1" operator="between">
      <formula>5.1</formula>
      <formula>14</formula>
    </cfRule>
    <cfRule type="cellIs" dxfId="3730" priority="128" stopIfTrue="1" operator="between">
      <formula>0</formula>
      <formula>5</formula>
    </cfRule>
    <cfRule type="containsBlanks" dxfId="3729" priority="129" stopIfTrue="1">
      <formula>LEN(TRIM(E64))=0</formula>
    </cfRule>
  </conditionalFormatting>
  <conditionalFormatting sqref="E73:O73">
    <cfRule type="containsBlanks" dxfId="3728" priority="116" stopIfTrue="1">
      <formula>LEN(TRIM(E73))=0</formula>
    </cfRule>
    <cfRule type="cellIs" dxfId="3727" priority="117" stopIfTrue="1" operator="between">
      <formula>80.1</formula>
      <formula>100</formula>
    </cfRule>
    <cfRule type="cellIs" dxfId="3726" priority="118" stopIfTrue="1" operator="between">
      <formula>35.1</formula>
      <formula>80</formula>
    </cfRule>
    <cfRule type="cellIs" dxfId="3725" priority="119" stopIfTrue="1" operator="between">
      <formula>14.1</formula>
      <formula>35</formula>
    </cfRule>
    <cfRule type="cellIs" dxfId="3724" priority="120" stopIfTrue="1" operator="between">
      <formula>5.1</formula>
      <formula>14</formula>
    </cfRule>
    <cfRule type="cellIs" dxfId="3723" priority="121" stopIfTrue="1" operator="between">
      <formula>0</formula>
      <formula>5</formula>
    </cfRule>
    <cfRule type="containsBlanks" dxfId="3722" priority="122" stopIfTrue="1">
      <formula>LEN(TRIM(E73))=0</formula>
    </cfRule>
  </conditionalFormatting>
  <conditionalFormatting sqref="E67:J67">
    <cfRule type="containsBlanks" dxfId="3721" priority="109" stopIfTrue="1">
      <formula>LEN(TRIM(E67))=0</formula>
    </cfRule>
    <cfRule type="cellIs" dxfId="3720" priority="110" stopIfTrue="1" operator="between">
      <formula>80.1</formula>
      <formula>100</formula>
    </cfRule>
    <cfRule type="cellIs" dxfId="3719" priority="111" stopIfTrue="1" operator="between">
      <formula>35.1</formula>
      <formula>80</formula>
    </cfRule>
    <cfRule type="cellIs" dxfId="3718" priority="112" stopIfTrue="1" operator="between">
      <formula>14.1</formula>
      <formula>35</formula>
    </cfRule>
    <cfRule type="cellIs" dxfId="3717" priority="113" stopIfTrue="1" operator="between">
      <formula>5.1</formula>
      <formula>14</formula>
    </cfRule>
    <cfRule type="cellIs" dxfId="3716" priority="114" stopIfTrue="1" operator="between">
      <formula>0</formula>
      <formula>5</formula>
    </cfRule>
    <cfRule type="containsBlanks" dxfId="3715" priority="115" stopIfTrue="1">
      <formula>LEN(TRIM(E67))=0</formula>
    </cfRule>
  </conditionalFormatting>
  <conditionalFormatting sqref="E68:M68">
    <cfRule type="containsBlanks" dxfId="3714" priority="102" stopIfTrue="1">
      <formula>LEN(TRIM(E68))=0</formula>
    </cfRule>
    <cfRule type="cellIs" dxfId="3713" priority="103" stopIfTrue="1" operator="between">
      <formula>80.1</formula>
      <formula>100</formula>
    </cfRule>
    <cfRule type="cellIs" dxfId="3712" priority="104" stopIfTrue="1" operator="between">
      <formula>35.1</formula>
      <formula>80</formula>
    </cfRule>
    <cfRule type="cellIs" dxfId="3711" priority="105" stopIfTrue="1" operator="between">
      <formula>14.1</formula>
      <formula>35</formula>
    </cfRule>
    <cfRule type="cellIs" dxfId="3710" priority="106" stopIfTrue="1" operator="between">
      <formula>5.1</formula>
      <formula>14</formula>
    </cfRule>
    <cfRule type="cellIs" dxfId="3709" priority="107" stopIfTrue="1" operator="between">
      <formula>0</formula>
      <formula>5</formula>
    </cfRule>
    <cfRule type="containsBlanks" dxfId="3708" priority="108" stopIfTrue="1">
      <formula>LEN(TRIM(E68))=0</formula>
    </cfRule>
  </conditionalFormatting>
  <conditionalFormatting sqref="E69:N69">
    <cfRule type="containsBlanks" dxfId="3707" priority="95" stopIfTrue="1">
      <formula>LEN(TRIM(E69))=0</formula>
    </cfRule>
    <cfRule type="cellIs" dxfId="3706" priority="96" stopIfTrue="1" operator="between">
      <formula>80.1</formula>
      <formula>100</formula>
    </cfRule>
    <cfRule type="cellIs" dxfId="3705" priority="97" stopIfTrue="1" operator="between">
      <formula>35.1</formula>
      <formula>80</formula>
    </cfRule>
    <cfRule type="cellIs" dxfId="3704" priority="98" stopIfTrue="1" operator="between">
      <formula>14.1</formula>
      <formula>35</formula>
    </cfRule>
    <cfRule type="cellIs" dxfId="3703" priority="99" stopIfTrue="1" operator="between">
      <formula>5.1</formula>
      <formula>14</formula>
    </cfRule>
    <cfRule type="cellIs" dxfId="3702" priority="100" stopIfTrue="1" operator="between">
      <formula>0</formula>
      <formula>5</formula>
    </cfRule>
    <cfRule type="containsBlanks" dxfId="3701" priority="101" stopIfTrue="1">
      <formula>LEN(TRIM(E69))=0</formula>
    </cfRule>
  </conditionalFormatting>
  <conditionalFormatting sqref="E71:J72">
    <cfRule type="containsBlanks" dxfId="3700" priority="81" stopIfTrue="1">
      <formula>LEN(TRIM(E71))=0</formula>
    </cfRule>
    <cfRule type="cellIs" dxfId="3699" priority="82" stopIfTrue="1" operator="between">
      <formula>80.1</formula>
      <formula>100</formula>
    </cfRule>
    <cfRule type="cellIs" dxfId="3698" priority="83" stopIfTrue="1" operator="between">
      <formula>35.1</formula>
      <formula>80</formula>
    </cfRule>
    <cfRule type="cellIs" dxfId="3697" priority="84" stopIfTrue="1" operator="between">
      <formula>14.1</formula>
      <formula>35</formula>
    </cfRule>
    <cfRule type="cellIs" dxfId="3696" priority="85" stopIfTrue="1" operator="between">
      <formula>5.1</formula>
      <formula>14</formula>
    </cfRule>
    <cfRule type="cellIs" dxfId="3695" priority="86" stopIfTrue="1" operator="between">
      <formula>0</formula>
      <formula>5</formula>
    </cfRule>
    <cfRule type="containsBlanks" dxfId="3694" priority="87" stopIfTrue="1">
      <formula>LEN(TRIM(E71))=0</formula>
    </cfRule>
  </conditionalFormatting>
  <conditionalFormatting sqref="E63:K63">
    <cfRule type="containsBlanks" dxfId="3693" priority="74" stopIfTrue="1">
      <formula>LEN(TRIM(E63))=0</formula>
    </cfRule>
    <cfRule type="cellIs" dxfId="3692" priority="75" stopIfTrue="1" operator="between">
      <formula>80.1</formula>
      <formula>100</formula>
    </cfRule>
    <cfRule type="cellIs" dxfId="3691" priority="76" stopIfTrue="1" operator="between">
      <formula>35.1</formula>
      <formula>80</formula>
    </cfRule>
    <cfRule type="cellIs" dxfId="3690" priority="77" stopIfTrue="1" operator="between">
      <formula>14.1</formula>
      <formula>35</formula>
    </cfRule>
    <cfRule type="cellIs" dxfId="3689" priority="78" stopIfTrue="1" operator="between">
      <formula>5.1</formula>
      <formula>14</formula>
    </cfRule>
    <cfRule type="cellIs" dxfId="3688" priority="79" stopIfTrue="1" operator="between">
      <formula>0</formula>
      <formula>5</formula>
    </cfRule>
    <cfRule type="containsBlanks" dxfId="3687" priority="80" stopIfTrue="1">
      <formula>LEN(TRIM(E63))=0</formula>
    </cfRule>
  </conditionalFormatting>
  <conditionalFormatting sqref="E74:M74">
    <cfRule type="containsBlanks" dxfId="3686" priority="67" stopIfTrue="1">
      <formula>LEN(TRIM(E74))=0</formula>
    </cfRule>
    <cfRule type="cellIs" dxfId="3685" priority="68" stopIfTrue="1" operator="between">
      <formula>80.1</formula>
      <formula>100</formula>
    </cfRule>
    <cfRule type="cellIs" dxfId="3684" priority="69" stopIfTrue="1" operator="between">
      <formula>35.1</formula>
      <formula>80</formula>
    </cfRule>
    <cfRule type="cellIs" dxfId="3683" priority="70" stopIfTrue="1" operator="between">
      <formula>14.1</formula>
      <formula>35</formula>
    </cfRule>
    <cfRule type="cellIs" dxfId="3682" priority="71" stopIfTrue="1" operator="between">
      <formula>5.1</formula>
      <formula>14</formula>
    </cfRule>
    <cfRule type="cellIs" dxfId="3681" priority="72" stopIfTrue="1" operator="between">
      <formula>0</formula>
      <formula>5</formula>
    </cfRule>
    <cfRule type="containsBlanks" dxfId="3680" priority="73" stopIfTrue="1">
      <formula>LEN(TRIM(E74))=0</formula>
    </cfRule>
  </conditionalFormatting>
  <conditionalFormatting sqref="R11">
    <cfRule type="cellIs" dxfId="3679" priority="59" stopIfTrue="1" operator="equal">
      <formula>"NO"</formula>
    </cfRule>
  </conditionalFormatting>
  <conditionalFormatting sqref="S11:S22 S25:S81">
    <cfRule type="cellIs" dxfId="3678" priority="58" stopIfTrue="1" operator="equal">
      <formula>"INVIABLE SANITARIAMENTE"</formula>
    </cfRule>
  </conditionalFormatting>
  <conditionalFormatting sqref="Q11">
    <cfRule type="containsBlanks" dxfId="3677" priority="51" stopIfTrue="1">
      <formula>LEN(TRIM(Q11))=0</formula>
    </cfRule>
    <cfRule type="cellIs" dxfId="3676" priority="52" stopIfTrue="1" operator="between">
      <formula>80.1</formula>
      <formula>100</formula>
    </cfRule>
    <cfRule type="cellIs" dxfId="3675" priority="53" stopIfTrue="1" operator="between">
      <formula>35.1</formula>
      <formula>80</formula>
    </cfRule>
    <cfRule type="cellIs" dxfId="3674" priority="54" stopIfTrue="1" operator="between">
      <formula>14.1</formula>
      <formula>35</formula>
    </cfRule>
    <cfRule type="cellIs" dxfId="3673" priority="55" stopIfTrue="1" operator="between">
      <formula>5.1</formula>
      <formula>14</formula>
    </cfRule>
    <cfRule type="cellIs" dxfId="3672" priority="56" stopIfTrue="1" operator="between">
      <formula>0</formula>
      <formula>5</formula>
    </cfRule>
    <cfRule type="containsBlanks" dxfId="3671" priority="57" stopIfTrue="1">
      <formula>LEN(TRIM(Q11))=0</formula>
    </cfRule>
  </conditionalFormatting>
  <conditionalFormatting sqref="S11:S22 S25:S81">
    <cfRule type="containsText" dxfId="3670" priority="46" stopIfTrue="1" operator="containsText" text="INVIABLE SANITARIAMENTE">
      <formula>NOT(ISERROR(SEARCH("INVIABLE SANITARIAMENTE",S11)))</formula>
    </cfRule>
    <cfRule type="containsText" dxfId="3669" priority="47" stopIfTrue="1" operator="containsText" text="ALTO">
      <formula>NOT(ISERROR(SEARCH("ALTO",S11)))</formula>
    </cfRule>
    <cfRule type="containsText" dxfId="3668" priority="48" stopIfTrue="1" operator="containsText" text="MEDIO">
      <formula>NOT(ISERROR(SEARCH("MEDIO",S11)))</formula>
    </cfRule>
    <cfRule type="containsText" dxfId="3667" priority="49" stopIfTrue="1" operator="containsText" text="BAJO">
      <formula>NOT(ISERROR(SEARCH("BAJO",S11)))</formula>
    </cfRule>
    <cfRule type="containsText" dxfId="3666" priority="50" stopIfTrue="1" operator="containsText" text="SIN RIESGO">
      <formula>NOT(ISERROR(SEARCH("SIN RIESGO",S11)))</formula>
    </cfRule>
  </conditionalFormatting>
  <conditionalFormatting sqref="S11:S22 S25:S81">
    <cfRule type="containsText" dxfId="3665" priority="45" stopIfTrue="1" operator="containsText" text="SIN RIESGO">
      <formula>NOT(ISERROR(SEARCH("SIN RIESGO",S11)))</formula>
    </cfRule>
  </conditionalFormatting>
  <conditionalFormatting sqref="E46:Q46">
    <cfRule type="containsBlanks" dxfId="3664" priority="38" stopIfTrue="1">
      <formula>LEN(TRIM(E46))=0</formula>
    </cfRule>
    <cfRule type="cellIs" dxfId="3663" priority="39" stopIfTrue="1" operator="between">
      <formula>80.1</formula>
      <formula>100</formula>
    </cfRule>
    <cfRule type="cellIs" dxfId="3662" priority="40" stopIfTrue="1" operator="between">
      <formula>35.1</formula>
      <formula>80</formula>
    </cfRule>
    <cfRule type="cellIs" dxfId="3661" priority="41" stopIfTrue="1" operator="between">
      <formula>14.1</formula>
      <formula>35</formula>
    </cfRule>
    <cfRule type="cellIs" dxfId="3660" priority="42" stopIfTrue="1" operator="between">
      <formula>5.1</formula>
      <formula>14</formula>
    </cfRule>
    <cfRule type="cellIs" dxfId="3659" priority="43" stopIfTrue="1" operator="between">
      <formula>0</formula>
      <formula>5</formula>
    </cfRule>
    <cfRule type="containsBlanks" dxfId="3658" priority="44" stopIfTrue="1">
      <formula>LEN(TRIM(E46))=0</formula>
    </cfRule>
  </conditionalFormatting>
  <conditionalFormatting sqref="E46:P46">
    <cfRule type="containsBlanks" dxfId="3657" priority="31" stopIfTrue="1">
      <formula>LEN(TRIM(E46))=0</formula>
    </cfRule>
    <cfRule type="cellIs" dxfId="3656" priority="32" stopIfTrue="1" operator="between">
      <formula>79.1</formula>
      <formula>100</formula>
    </cfRule>
    <cfRule type="cellIs" dxfId="3655" priority="33" stopIfTrue="1" operator="between">
      <formula>34.1</formula>
      <formula>79</formula>
    </cfRule>
    <cfRule type="cellIs" dxfId="3654" priority="34" stopIfTrue="1" operator="between">
      <formula>13.1</formula>
      <formula>34</formula>
    </cfRule>
    <cfRule type="cellIs" dxfId="3653" priority="35" stopIfTrue="1" operator="between">
      <formula>5.1</formula>
      <formula>13</formula>
    </cfRule>
    <cfRule type="cellIs" dxfId="3652" priority="36" stopIfTrue="1" operator="between">
      <formula>0</formula>
      <formula>5</formula>
    </cfRule>
    <cfRule type="containsBlanks" dxfId="3651" priority="37" stopIfTrue="1">
      <formula>LEN(TRIM(E46))=0</formula>
    </cfRule>
  </conditionalFormatting>
  <conditionalFormatting sqref="E23:Q23">
    <cfRule type="containsBlanks" dxfId="3650" priority="24" stopIfTrue="1">
      <formula>LEN(TRIM(E23))=0</formula>
    </cfRule>
    <cfRule type="cellIs" dxfId="3649" priority="25" stopIfTrue="1" operator="between">
      <formula>80.1</formula>
      <formula>100</formula>
    </cfRule>
    <cfRule type="cellIs" dxfId="3648" priority="26" stopIfTrue="1" operator="between">
      <formula>35.1</formula>
      <formula>80</formula>
    </cfRule>
    <cfRule type="cellIs" dxfId="3647" priority="27" stopIfTrue="1" operator="between">
      <formula>14.1</formula>
      <formula>35</formula>
    </cfRule>
    <cfRule type="cellIs" dxfId="3646" priority="28" stopIfTrue="1" operator="between">
      <formula>5.1</formula>
      <formula>14</formula>
    </cfRule>
    <cfRule type="cellIs" dxfId="3645" priority="29" stopIfTrue="1" operator="between">
      <formula>0</formula>
      <formula>5</formula>
    </cfRule>
    <cfRule type="containsBlanks" dxfId="3644" priority="30" stopIfTrue="1">
      <formula>LEN(TRIM(E23))=0</formula>
    </cfRule>
  </conditionalFormatting>
  <conditionalFormatting sqref="R23">
    <cfRule type="cellIs" dxfId="3643" priority="23" stopIfTrue="1" operator="equal">
      <formula>"NO"</formula>
    </cfRule>
  </conditionalFormatting>
  <conditionalFormatting sqref="S23">
    <cfRule type="cellIs" dxfId="3642" priority="22" stopIfTrue="1" operator="equal">
      <formula>"INVIABLE SANITARIAMENTE"</formula>
    </cfRule>
  </conditionalFormatting>
  <conditionalFormatting sqref="S23">
    <cfRule type="containsText" dxfId="3641" priority="17" stopIfTrue="1" operator="containsText" text="INVIABLE SANITARIAMENTE">
      <formula>NOT(ISERROR(SEARCH("INVIABLE SANITARIAMENTE",S23)))</formula>
    </cfRule>
    <cfRule type="containsText" dxfId="3640" priority="18" stopIfTrue="1" operator="containsText" text="ALTO">
      <formula>NOT(ISERROR(SEARCH("ALTO",S23)))</formula>
    </cfRule>
    <cfRule type="containsText" dxfId="3639" priority="19" stopIfTrue="1" operator="containsText" text="MEDIO">
      <formula>NOT(ISERROR(SEARCH("MEDIO",S23)))</formula>
    </cfRule>
    <cfRule type="containsText" dxfId="3638" priority="20" stopIfTrue="1" operator="containsText" text="BAJO">
      <formula>NOT(ISERROR(SEARCH("BAJO",S23)))</formula>
    </cfRule>
    <cfRule type="containsText" dxfId="3637" priority="21" stopIfTrue="1" operator="containsText" text="SIN RIESGO">
      <formula>NOT(ISERROR(SEARCH("SIN RIESGO",S23)))</formula>
    </cfRule>
  </conditionalFormatting>
  <conditionalFormatting sqref="S23">
    <cfRule type="containsText" dxfId="3636" priority="16" stopIfTrue="1" operator="containsText" text="SIN RIESGO">
      <formula>NOT(ISERROR(SEARCH("SIN RIESGO",S23)))</formula>
    </cfRule>
  </conditionalFormatting>
  <conditionalFormatting sqref="E24:Q24">
    <cfRule type="containsBlanks" dxfId="3635" priority="9" stopIfTrue="1">
      <formula>LEN(TRIM(E24))=0</formula>
    </cfRule>
    <cfRule type="cellIs" dxfId="3634" priority="10" stopIfTrue="1" operator="between">
      <formula>80.1</formula>
      <formula>100</formula>
    </cfRule>
    <cfRule type="cellIs" dxfId="3633" priority="11" stopIfTrue="1" operator="between">
      <formula>35.1</formula>
      <formula>80</formula>
    </cfRule>
    <cfRule type="cellIs" dxfId="3632" priority="12" stopIfTrue="1" operator="between">
      <formula>14.1</formula>
      <formula>35</formula>
    </cfRule>
    <cfRule type="cellIs" dxfId="3631" priority="13" stopIfTrue="1" operator="between">
      <formula>5.1</formula>
      <formula>14</formula>
    </cfRule>
    <cfRule type="cellIs" dxfId="3630" priority="14" stopIfTrue="1" operator="between">
      <formula>0</formula>
      <formula>5</formula>
    </cfRule>
    <cfRule type="containsBlanks" dxfId="3629" priority="15" stopIfTrue="1">
      <formula>LEN(TRIM(E24))=0</formula>
    </cfRule>
  </conditionalFormatting>
  <conditionalFormatting sqref="R24">
    <cfRule type="cellIs" dxfId="3628" priority="8" stopIfTrue="1" operator="equal">
      <formula>"NO"</formula>
    </cfRule>
  </conditionalFormatting>
  <conditionalFormatting sqref="S24">
    <cfRule type="cellIs" dxfId="3627" priority="7" stopIfTrue="1" operator="equal">
      <formula>"INVIABLE SANITARIAMENTE"</formula>
    </cfRule>
  </conditionalFormatting>
  <conditionalFormatting sqref="S24">
    <cfRule type="containsText" dxfId="3626" priority="2" stopIfTrue="1" operator="containsText" text="INVIABLE SANITARIAMENTE">
      <formula>NOT(ISERROR(SEARCH("INVIABLE SANITARIAMENTE",S24)))</formula>
    </cfRule>
    <cfRule type="containsText" dxfId="3625" priority="3" stopIfTrue="1" operator="containsText" text="ALTO">
      <formula>NOT(ISERROR(SEARCH("ALTO",S24)))</formula>
    </cfRule>
    <cfRule type="containsText" dxfId="3624" priority="4" stopIfTrue="1" operator="containsText" text="MEDIO">
      <formula>NOT(ISERROR(SEARCH("MEDIO",S24)))</formula>
    </cfRule>
    <cfRule type="containsText" dxfId="3623" priority="5" stopIfTrue="1" operator="containsText" text="BAJO">
      <formula>NOT(ISERROR(SEARCH("BAJO",S24)))</formula>
    </cfRule>
    <cfRule type="containsText" dxfId="3622" priority="6" stopIfTrue="1" operator="containsText" text="SIN RIESGO">
      <formula>NOT(ISERROR(SEARCH("SIN RIESGO",S24)))</formula>
    </cfRule>
  </conditionalFormatting>
  <conditionalFormatting sqref="S24">
    <cfRule type="containsText" dxfId="3621" priority="1" stopIfTrue="1" operator="containsText" text="SIN RIESGO">
      <formula>NOT(ISERROR(SEARCH("SIN RIESGO",S24)))</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0"/>
  </sheetPr>
  <dimension ref="A1:XFD341"/>
  <sheetViews>
    <sheetView zoomScale="60" zoomScaleNormal="80" workbookViewId="0">
      <pane xSplit="3" ySplit="11" topLeftCell="D12" activePane="bottomRight" state="frozenSplit"/>
      <selection pane="topRight" activeCell="D1" sqref="D1"/>
      <selection pane="bottomLeft" activeCell="A12" sqref="A12"/>
      <selection pane="bottomRight" activeCell="C129" sqref="C129"/>
    </sheetView>
  </sheetViews>
  <sheetFormatPr baseColWidth="10" defaultColWidth="0" defaultRowHeight="12.75" zeroHeight="1"/>
  <cols>
    <col min="1" max="1" width="36" style="35" customWidth="1"/>
    <col min="2" max="2" width="51.7109375" style="12" customWidth="1"/>
    <col min="3" max="3" width="54.42578125" style="12" customWidth="1"/>
    <col min="4" max="4" width="22.28515625" style="12" customWidth="1"/>
    <col min="5" max="18" width="10.7109375" customWidth="1"/>
    <col min="19" max="19" width="43.42578125" bestFit="1" customWidth="1"/>
    <col min="20" max="20" width="9.85546875" hidden="1" customWidth="1"/>
    <col min="21" max="16384" width="11.42578125" hidden="1"/>
  </cols>
  <sheetData>
    <row r="1" spans="1:23" s="7" customFormat="1" ht="18" customHeight="1">
      <c r="A1" s="54"/>
      <c r="B1" s="551" t="s">
        <v>258</v>
      </c>
      <c r="C1" s="551"/>
      <c r="D1" s="551"/>
      <c r="E1" s="100"/>
      <c r="F1" s="100"/>
      <c r="G1" s="100"/>
      <c r="H1" s="100"/>
      <c r="I1" s="100"/>
      <c r="J1" s="100"/>
      <c r="K1" s="100"/>
      <c r="L1" s="100"/>
      <c r="M1" s="100"/>
      <c r="N1" s="100"/>
      <c r="O1" s="100"/>
      <c r="P1" s="100"/>
      <c r="Q1" s="100"/>
      <c r="R1" s="101"/>
      <c r="S1" s="39" t="s">
        <v>546</v>
      </c>
      <c r="T1" s="3"/>
      <c r="U1" s="5"/>
      <c r="V1" s="6"/>
      <c r="W1" s="6"/>
    </row>
    <row r="2" spans="1:23" s="9" customFormat="1" ht="18" customHeight="1">
      <c r="A2" s="54"/>
      <c r="B2" s="552" t="s">
        <v>259</v>
      </c>
      <c r="C2" s="552"/>
      <c r="D2" s="552"/>
      <c r="E2" s="99"/>
      <c r="F2" s="99"/>
      <c r="G2" s="99"/>
      <c r="H2" s="99"/>
      <c r="I2" s="99"/>
      <c r="J2" s="99"/>
      <c r="K2" s="99"/>
      <c r="L2" s="99"/>
      <c r="M2" s="99"/>
      <c r="N2" s="99"/>
      <c r="O2" s="99"/>
      <c r="P2" s="99"/>
      <c r="Q2" s="99"/>
      <c r="R2" s="102"/>
      <c r="S2" s="40" t="s">
        <v>260</v>
      </c>
      <c r="T2" s="3"/>
      <c r="U2" s="8"/>
      <c r="V2" s="6"/>
      <c r="W2" s="6"/>
    </row>
    <row r="3" spans="1:23" s="7" customFormat="1" ht="18" customHeight="1">
      <c r="A3" s="54"/>
      <c r="B3" s="63" t="s">
        <v>4368</v>
      </c>
      <c r="C3" s="63"/>
      <c r="D3" s="63"/>
      <c r="E3" s="69"/>
      <c r="F3" s="69"/>
      <c r="G3" s="69"/>
      <c r="H3" s="69"/>
      <c r="I3" s="69"/>
      <c r="J3" s="69"/>
      <c r="K3" s="69"/>
      <c r="L3" s="69"/>
      <c r="M3" s="69"/>
      <c r="N3" s="69"/>
      <c r="O3" s="69"/>
      <c r="P3" s="69"/>
      <c r="Q3" s="69"/>
      <c r="R3" s="103"/>
      <c r="S3" s="40" t="s">
        <v>547</v>
      </c>
      <c r="T3" s="3"/>
      <c r="U3" s="5"/>
      <c r="V3" s="6"/>
      <c r="W3" s="6"/>
    </row>
    <row r="4" spans="1:23" s="7" customFormat="1" ht="18" customHeight="1">
      <c r="A4" s="54"/>
      <c r="B4" s="551" t="s">
        <v>4569</v>
      </c>
      <c r="C4" s="551"/>
      <c r="D4" s="551"/>
      <c r="E4" s="37"/>
      <c r="F4" s="37"/>
      <c r="G4" s="37"/>
      <c r="H4" s="37"/>
      <c r="I4" s="37"/>
      <c r="J4" s="37"/>
      <c r="K4" s="37"/>
      <c r="L4" s="37"/>
      <c r="M4" s="37"/>
      <c r="N4" s="37"/>
      <c r="O4" s="37"/>
      <c r="P4" s="37"/>
      <c r="Q4" s="37"/>
      <c r="R4" s="38"/>
      <c r="S4" s="40" t="s">
        <v>261</v>
      </c>
      <c r="T4" s="3"/>
      <c r="U4" s="5"/>
      <c r="V4" s="6"/>
      <c r="W4" s="6"/>
    </row>
    <row r="5" spans="1:23" s="32" customFormat="1" ht="15" customHeight="1">
      <c r="A5" s="42"/>
      <c r="B5" s="558"/>
      <c r="C5" s="553"/>
      <c r="D5" s="557" t="s">
        <v>266</v>
      </c>
      <c r="E5" s="544" t="s">
        <v>255</v>
      </c>
      <c r="F5" s="544"/>
      <c r="G5" s="544"/>
      <c r="H5" s="539" t="s">
        <v>263</v>
      </c>
      <c r="I5" s="539"/>
      <c r="J5" s="539"/>
      <c r="K5" s="546" t="s">
        <v>264</v>
      </c>
      <c r="L5" s="546"/>
      <c r="M5" s="546"/>
      <c r="N5" s="543" t="s">
        <v>474</v>
      </c>
      <c r="O5" s="543"/>
      <c r="P5" s="543"/>
      <c r="Q5" s="562" t="s">
        <v>265</v>
      </c>
      <c r="R5" s="562"/>
      <c r="S5" s="538" t="s">
        <v>267</v>
      </c>
    </row>
    <row r="6" spans="1:23" s="32" customFormat="1" ht="12.75" customHeight="1">
      <c r="A6" s="42"/>
      <c r="B6" s="558"/>
      <c r="C6" s="553"/>
      <c r="D6" s="557"/>
      <c r="E6" s="544"/>
      <c r="F6" s="544"/>
      <c r="G6" s="544"/>
      <c r="H6" s="539"/>
      <c r="I6" s="539"/>
      <c r="J6" s="539"/>
      <c r="K6" s="546"/>
      <c r="L6" s="546"/>
      <c r="M6" s="546"/>
      <c r="N6" s="543"/>
      <c r="O6" s="543"/>
      <c r="P6" s="543"/>
      <c r="Q6" s="562"/>
      <c r="R6" s="562"/>
      <c r="S6" s="538"/>
    </row>
    <row r="7" spans="1:23" s="32" customFormat="1" ht="8.25" customHeight="1">
      <c r="A7" s="555"/>
      <c r="B7" s="555"/>
      <c r="C7" s="43"/>
      <c r="D7" s="43"/>
      <c r="E7" s="44"/>
      <c r="F7" s="44"/>
      <c r="G7" s="44"/>
      <c r="H7" s="44"/>
      <c r="I7" s="44"/>
      <c r="J7" s="44"/>
      <c r="K7" s="44"/>
      <c r="L7" s="44"/>
      <c r="M7" s="44"/>
      <c r="N7" s="44"/>
      <c r="O7" s="44"/>
      <c r="P7" s="44"/>
      <c r="Q7" s="44"/>
      <c r="R7" s="44"/>
      <c r="S7" s="41"/>
    </row>
    <row r="8" spans="1:23" s="32" customFormat="1" ht="6" customHeight="1">
      <c r="A8" s="555"/>
      <c r="B8" s="555"/>
      <c r="C8" s="43"/>
      <c r="D8" s="43"/>
      <c r="E8" s="44"/>
      <c r="F8" s="44"/>
      <c r="G8" s="44"/>
      <c r="H8" s="44"/>
      <c r="I8" s="44"/>
      <c r="J8" s="44"/>
      <c r="K8" s="44"/>
      <c r="L8" s="44"/>
      <c r="M8" s="44"/>
      <c r="N8" s="44"/>
      <c r="O8" s="44"/>
      <c r="P8" s="44"/>
      <c r="Q8" s="44"/>
      <c r="R8" s="44"/>
      <c r="S8" s="41"/>
    </row>
    <row r="9" spans="1:23" s="32" customFormat="1" ht="27" customHeight="1">
      <c r="A9" s="52" t="s">
        <v>269</v>
      </c>
      <c r="B9" s="53"/>
      <c r="C9" s="51"/>
      <c r="D9" s="51"/>
      <c r="E9" s="51"/>
      <c r="F9" s="51"/>
      <c r="G9" s="51"/>
      <c r="H9" s="51"/>
      <c r="I9" s="51"/>
      <c r="J9" s="51"/>
      <c r="K9" s="51"/>
      <c r="L9" s="51"/>
      <c r="M9" s="51"/>
      <c r="N9" s="51"/>
      <c r="O9" s="51"/>
      <c r="P9" s="51"/>
      <c r="Q9" s="51"/>
      <c r="R9" s="51"/>
      <c r="S9" s="50"/>
    </row>
    <row r="10" spans="1:23" s="10" customFormat="1" ht="18" customHeight="1">
      <c r="A10" s="556" t="s">
        <v>37</v>
      </c>
      <c r="B10" s="554" t="s">
        <v>38</v>
      </c>
      <c r="C10" s="554" t="s">
        <v>262</v>
      </c>
      <c r="D10" s="569" t="s">
        <v>454</v>
      </c>
      <c r="E10" s="554" t="s">
        <v>33</v>
      </c>
      <c r="F10" s="554"/>
      <c r="G10" s="554"/>
      <c r="H10" s="554"/>
      <c r="I10" s="554"/>
      <c r="J10" s="554"/>
      <c r="K10" s="554"/>
      <c r="L10" s="554"/>
      <c r="M10" s="554"/>
      <c r="N10" s="554"/>
      <c r="O10" s="554"/>
      <c r="P10" s="554"/>
      <c r="Q10" s="567" t="s">
        <v>34</v>
      </c>
      <c r="R10" s="567" t="s">
        <v>36</v>
      </c>
      <c r="S10" s="554" t="s">
        <v>35</v>
      </c>
      <c r="T10" s="11"/>
    </row>
    <row r="11" spans="1:23" s="10" customFormat="1" ht="24" customHeight="1">
      <c r="A11" s="556"/>
      <c r="B11" s="554"/>
      <c r="C11" s="554"/>
      <c r="D11" s="570"/>
      <c r="E11" s="370" t="s">
        <v>21</v>
      </c>
      <c r="F11" s="370" t="s">
        <v>22</v>
      </c>
      <c r="G11" s="370" t="s">
        <v>23</v>
      </c>
      <c r="H11" s="370" t="s">
        <v>24</v>
      </c>
      <c r="I11" s="370" t="s">
        <v>25</v>
      </c>
      <c r="J11" s="370" t="s">
        <v>26</v>
      </c>
      <c r="K11" s="370" t="s">
        <v>27</v>
      </c>
      <c r="L11" s="370" t="s">
        <v>28</v>
      </c>
      <c r="M11" s="370" t="s">
        <v>29</v>
      </c>
      <c r="N11" s="370" t="s">
        <v>30</v>
      </c>
      <c r="O11" s="370" t="s">
        <v>31</v>
      </c>
      <c r="P11" s="370" t="s">
        <v>32</v>
      </c>
      <c r="Q11" s="567"/>
      <c r="R11" s="567"/>
      <c r="S11" s="554"/>
      <c r="T11" s="11"/>
    </row>
    <row r="12" spans="1:23" ht="32.1" customHeight="1">
      <c r="A12" s="419" t="s">
        <v>197</v>
      </c>
      <c r="B12" s="494" t="s">
        <v>686</v>
      </c>
      <c r="C12" s="494" t="s">
        <v>687</v>
      </c>
      <c r="D12" s="119">
        <v>36</v>
      </c>
      <c r="E12" s="79"/>
      <c r="F12" s="79"/>
      <c r="G12" s="79"/>
      <c r="H12" s="79"/>
      <c r="I12" s="79"/>
      <c r="J12" s="79"/>
      <c r="K12" s="79"/>
      <c r="L12" s="79"/>
      <c r="M12" s="79"/>
      <c r="N12" s="79"/>
      <c r="O12" s="79">
        <v>97.35</v>
      </c>
      <c r="P12" s="79"/>
      <c r="Q12" s="79">
        <f t="shared" ref="Q12:Q29" si="0">AVERAGE(E12:P12)</f>
        <v>97.35</v>
      </c>
      <c r="R12" s="144" t="str">
        <f t="shared" ref="R12:R29" si="1">IF(Q12&lt;5,"SI","NO")</f>
        <v>NO</v>
      </c>
      <c r="S12" s="454" t="str">
        <f t="shared" ref="S12:S76" si="2">IF(Q12&lt;5,"Sin Riesgo",IF(Q12 &lt;=14,"Bajo",IF(Q12&lt;=35,"Medio",IF(Q12&lt;=80,"Alto","Inviable Sanitariamente"))))</f>
        <v>Inviable Sanitariamente</v>
      </c>
      <c r="T12" s="1"/>
    </row>
    <row r="13" spans="1:23" ht="32.1" customHeight="1">
      <c r="A13" s="419" t="s">
        <v>197</v>
      </c>
      <c r="B13" s="494" t="s">
        <v>688</v>
      </c>
      <c r="C13" s="494" t="s">
        <v>689</v>
      </c>
      <c r="D13" s="119">
        <v>120</v>
      </c>
      <c r="E13" s="79"/>
      <c r="F13" s="79"/>
      <c r="G13" s="79">
        <v>75.3</v>
      </c>
      <c r="H13" s="79"/>
      <c r="I13" s="79"/>
      <c r="J13" s="79"/>
      <c r="K13" s="79"/>
      <c r="L13" s="79"/>
      <c r="M13" s="79">
        <v>97.35</v>
      </c>
      <c r="N13" s="79"/>
      <c r="O13" s="79"/>
      <c r="P13" s="79"/>
      <c r="Q13" s="79">
        <f t="shared" si="0"/>
        <v>86.324999999999989</v>
      </c>
      <c r="R13" s="144" t="str">
        <f t="shared" si="1"/>
        <v>NO</v>
      </c>
      <c r="S13" s="454" t="str">
        <f t="shared" si="2"/>
        <v>Inviable Sanitariamente</v>
      </c>
      <c r="T13" s="1"/>
    </row>
    <row r="14" spans="1:23" ht="32.1" customHeight="1">
      <c r="A14" s="419" t="s">
        <v>197</v>
      </c>
      <c r="B14" s="494" t="s">
        <v>690</v>
      </c>
      <c r="C14" s="494" t="s">
        <v>691</v>
      </c>
      <c r="D14" s="119">
        <v>45</v>
      </c>
      <c r="E14" s="79"/>
      <c r="F14" s="79"/>
      <c r="G14" s="79"/>
      <c r="H14" s="79"/>
      <c r="I14" s="79"/>
      <c r="J14" s="79"/>
      <c r="K14" s="79"/>
      <c r="L14" s="79"/>
      <c r="M14" s="79"/>
      <c r="N14" s="79"/>
      <c r="O14" s="79">
        <v>53.1</v>
      </c>
      <c r="P14" s="79"/>
      <c r="Q14" s="79">
        <f t="shared" si="0"/>
        <v>53.1</v>
      </c>
      <c r="R14" s="144" t="str">
        <f t="shared" si="1"/>
        <v>NO</v>
      </c>
      <c r="S14" s="454" t="str">
        <f t="shared" si="2"/>
        <v>Alto</v>
      </c>
      <c r="T14" s="1"/>
    </row>
    <row r="15" spans="1:23" ht="32.1" customHeight="1">
      <c r="A15" s="419" t="s">
        <v>197</v>
      </c>
      <c r="B15" s="494" t="s">
        <v>692</v>
      </c>
      <c r="C15" s="494" t="s">
        <v>693</v>
      </c>
      <c r="D15" s="119"/>
      <c r="E15" s="79"/>
      <c r="F15" s="79"/>
      <c r="G15" s="79"/>
      <c r="H15" s="79"/>
      <c r="I15" s="79"/>
      <c r="J15" s="79"/>
      <c r="K15" s="79"/>
      <c r="L15" s="79"/>
      <c r="M15" s="79"/>
      <c r="N15" s="79"/>
      <c r="O15" s="79"/>
      <c r="P15" s="79"/>
      <c r="Q15" s="79" t="e">
        <f t="shared" si="0"/>
        <v>#DIV/0!</v>
      </c>
      <c r="R15" s="144" t="e">
        <f t="shared" si="1"/>
        <v>#DIV/0!</v>
      </c>
      <c r="S15" s="454" t="e">
        <f t="shared" si="2"/>
        <v>#DIV/0!</v>
      </c>
      <c r="T15" s="1"/>
    </row>
    <row r="16" spans="1:23" ht="32.1" customHeight="1">
      <c r="A16" s="419" t="s">
        <v>197</v>
      </c>
      <c r="B16" s="494" t="s">
        <v>694</v>
      </c>
      <c r="C16" s="494" t="s">
        <v>695</v>
      </c>
      <c r="D16" s="119"/>
      <c r="E16" s="79"/>
      <c r="F16" s="79"/>
      <c r="G16" s="79"/>
      <c r="H16" s="79"/>
      <c r="I16" s="79"/>
      <c r="J16" s="79"/>
      <c r="K16" s="79"/>
      <c r="L16" s="79"/>
      <c r="M16" s="79"/>
      <c r="N16" s="79"/>
      <c r="O16" s="79"/>
      <c r="P16" s="79"/>
      <c r="Q16" s="79" t="e">
        <f t="shared" si="0"/>
        <v>#DIV/0!</v>
      </c>
      <c r="R16" s="144" t="e">
        <f t="shared" si="1"/>
        <v>#DIV/0!</v>
      </c>
      <c r="S16" s="454" t="e">
        <f t="shared" si="2"/>
        <v>#DIV/0!</v>
      </c>
      <c r="T16" s="1"/>
    </row>
    <row r="17" spans="1:20" ht="32.1" customHeight="1">
      <c r="A17" s="419" t="s">
        <v>197</v>
      </c>
      <c r="B17" s="494" t="s">
        <v>696</v>
      </c>
      <c r="C17" s="494" t="s">
        <v>697</v>
      </c>
      <c r="D17" s="119">
        <v>27</v>
      </c>
      <c r="E17" s="79"/>
      <c r="F17" s="79"/>
      <c r="G17" s="79"/>
      <c r="H17" s="79"/>
      <c r="I17" s="79"/>
      <c r="J17" s="79">
        <v>15.5</v>
      </c>
      <c r="K17" s="79"/>
      <c r="L17" s="79"/>
      <c r="M17" s="79"/>
      <c r="N17" s="79"/>
      <c r="O17" s="79"/>
      <c r="P17" s="79">
        <v>9.8000000000000007</v>
      </c>
      <c r="Q17" s="79">
        <f t="shared" si="0"/>
        <v>12.65</v>
      </c>
      <c r="R17" s="144" t="str">
        <f t="shared" si="1"/>
        <v>NO</v>
      </c>
      <c r="S17" s="454" t="str">
        <f t="shared" si="2"/>
        <v>Bajo</v>
      </c>
      <c r="T17" s="1"/>
    </row>
    <row r="18" spans="1:20" s="32" customFormat="1" ht="30" customHeight="1">
      <c r="A18" s="486" t="s">
        <v>4099</v>
      </c>
      <c r="B18" s="486" t="s">
        <v>708</v>
      </c>
      <c r="C18" s="486" t="s">
        <v>4346</v>
      </c>
      <c r="D18" s="114"/>
      <c r="E18" s="415"/>
      <c r="F18" s="415"/>
      <c r="G18" s="415"/>
      <c r="H18" s="415"/>
      <c r="I18" s="415"/>
      <c r="J18" s="415"/>
      <c r="K18" s="415"/>
      <c r="L18" s="415"/>
      <c r="M18" s="415"/>
      <c r="N18" s="415"/>
      <c r="O18" s="415"/>
      <c r="P18" s="415"/>
      <c r="Q18" s="413" t="e">
        <f t="shared" si="0"/>
        <v>#DIV/0!</v>
      </c>
      <c r="R18" s="414" t="e">
        <f t="shared" si="1"/>
        <v>#DIV/0!</v>
      </c>
      <c r="S18" s="454" t="e">
        <f t="shared" si="2"/>
        <v>#DIV/0!</v>
      </c>
    </row>
    <row r="19" spans="1:20" ht="32.1" customHeight="1">
      <c r="A19" s="419" t="s">
        <v>4099</v>
      </c>
      <c r="B19" s="495" t="s">
        <v>700</v>
      </c>
      <c r="C19" s="495" t="s">
        <v>701</v>
      </c>
      <c r="D19" s="119">
        <v>40</v>
      </c>
      <c r="E19" s="407"/>
      <c r="F19" s="407"/>
      <c r="G19" s="407"/>
      <c r="H19" s="407"/>
      <c r="I19" s="407"/>
      <c r="J19" s="407"/>
      <c r="K19" s="407"/>
      <c r="L19" s="407"/>
      <c r="M19" s="407"/>
      <c r="N19" s="407"/>
      <c r="O19" s="407">
        <v>57.3</v>
      </c>
      <c r="P19" s="407"/>
      <c r="Q19" s="79">
        <f t="shared" si="0"/>
        <v>57.3</v>
      </c>
      <c r="R19" s="144" t="str">
        <f t="shared" si="1"/>
        <v>NO</v>
      </c>
      <c r="S19" s="454" t="str">
        <f t="shared" si="2"/>
        <v>Alto</v>
      </c>
      <c r="T19" s="1"/>
    </row>
    <row r="20" spans="1:20" ht="30" customHeight="1">
      <c r="A20" s="419" t="s">
        <v>4099</v>
      </c>
      <c r="B20" s="495" t="s">
        <v>702</v>
      </c>
      <c r="C20" s="495" t="s">
        <v>703</v>
      </c>
      <c r="D20" s="114">
        <v>120</v>
      </c>
      <c r="E20" s="407"/>
      <c r="F20" s="407"/>
      <c r="G20" s="407"/>
      <c r="H20" s="407"/>
      <c r="I20" s="407"/>
      <c r="J20" s="407"/>
      <c r="K20" s="407"/>
      <c r="L20" s="407"/>
      <c r="M20" s="407"/>
      <c r="N20" s="407"/>
      <c r="O20" s="407">
        <v>56.3</v>
      </c>
      <c r="P20" s="407"/>
      <c r="Q20" s="79">
        <f t="shared" si="0"/>
        <v>56.3</v>
      </c>
      <c r="R20" s="144" t="str">
        <f t="shared" si="1"/>
        <v>NO</v>
      </c>
      <c r="S20" s="454" t="str">
        <f t="shared" si="2"/>
        <v>Alto</v>
      </c>
      <c r="T20" s="1"/>
    </row>
    <row r="21" spans="1:20" ht="32.1" customHeight="1">
      <c r="A21" s="419" t="s">
        <v>4099</v>
      </c>
      <c r="B21" s="495" t="s">
        <v>704</v>
      </c>
      <c r="C21" s="495" t="s">
        <v>705</v>
      </c>
      <c r="D21" s="114">
        <v>63</v>
      </c>
      <c r="E21" s="79"/>
      <c r="F21" s="79"/>
      <c r="G21" s="79"/>
      <c r="H21" s="79"/>
      <c r="I21" s="79"/>
      <c r="J21" s="79">
        <v>23.08</v>
      </c>
      <c r="K21" s="79"/>
      <c r="L21" s="79"/>
      <c r="M21" s="79"/>
      <c r="N21" s="79"/>
      <c r="O21" s="79"/>
      <c r="P21" s="79">
        <v>9.8000000000000007</v>
      </c>
      <c r="Q21" s="79">
        <f t="shared" si="0"/>
        <v>16.439999999999998</v>
      </c>
      <c r="R21" s="144" t="str">
        <f t="shared" si="1"/>
        <v>NO</v>
      </c>
      <c r="S21" s="454" t="str">
        <f t="shared" si="2"/>
        <v>Medio</v>
      </c>
      <c r="T21" s="1"/>
    </row>
    <row r="22" spans="1:20" ht="32.1" customHeight="1">
      <c r="A22" s="419" t="s">
        <v>199</v>
      </c>
      <c r="B22" s="495" t="s">
        <v>710</v>
      </c>
      <c r="C22" s="495" t="s">
        <v>711</v>
      </c>
      <c r="D22" s="119">
        <v>44</v>
      </c>
      <c r="E22" s="79"/>
      <c r="F22" s="79"/>
      <c r="G22" s="79"/>
      <c r="H22" s="79"/>
      <c r="I22" s="79"/>
      <c r="J22" s="79"/>
      <c r="K22" s="79"/>
      <c r="L22" s="79"/>
      <c r="M22" s="79"/>
      <c r="N22" s="79">
        <v>97.4</v>
      </c>
      <c r="O22" s="79"/>
      <c r="P22" s="79"/>
      <c r="Q22" s="79">
        <f t="shared" si="0"/>
        <v>97.4</v>
      </c>
      <c r="R22" s="144" t="str">
        <f t="shared" si="1"/>
        <v>NO</v>
      </c>
      <c r="S22" s="454" t="str">
        <f t="shared" si="2"/>
        <v>Inviable Sanitariamente</v>
      </c>
      <c r="T22" s="1"/>
    </row>
    <row r="23" spans="1:20" ht="32.1" customHeight="1">
      <c r="A23" s="419" t="s">
        <v>199</v>
      </c>
      <c r="B23" s="496" t="s">
        <v>712</v>
      </c>
      <c r="C23" s="495" t="s">
        <v>713</v>
      </c>
      <c r="D23" s="119">
        <v>25</v>
      </c>
      <c r="E23" s="79"/>
      <c r="F23" s="79"/>
      <c r="G23" s="79"/>
      <c r="H23" s="79"/>
      <c r="I23" s="79"/>
      <c r="J23" s="79"/>
      <c r="K23" s="79"/>
      <c r="L23" s="79"/>
      <c r="M23" s="79"/>
      <c r="N23" s="79"/>
      <c r="O23" s="79"/>
      <c r="P23" s="79">
        <v>97.4</v>
      </c>
      <c r="Q23" s="79">
        <f t="shared" si="0"/>
        <v>97.4</v>
      </c>
      <c r="R23" s="144" t="str">
        <f t="shared" si="1"/>
        <v>NO</v>
      </c>
      <c r="S23" s="454" t="str">
        <f t="shared" si="2"/>
        <v>Inviable Sanitariamente</v>
      </c>
      <c r="T23" s="1"/>
    </row>
    <row r="24" spans="1:20" ht="32.1" customHeight="1">
      <c r="A24" s="419" t="s">
        <v>199</v>
      </c>
      <c r="B24" s="496" t="s">
        <v>700</v>
      </c>
      <c r="C24" s="496" t="s">
        <v>714</v>
      </c>
      <c r="D24" s="119">
        <v>37</v>
      </c>
      <c r="E24" s="79"/>
      <c r="F24" s="79"/>
      <c r="G24" s="79"/>
      <c r="H24" s="79"/>
      <c r="I24" s="79"/>
      <c r="J24" s="79"/>
      <c r="K24" s="79"/>
      <c r="L24" s="79"/>
      <c r="M24" s="79"/>
      <c r="N24" s="79"/>
      <c r="O24" s="79"/>
      <c r="P24" s="79">
        <v>97.4</v>
      </c>
      <c r="Q24" s="79">
        <f t="shared" si="0"/>
        <v>97.4</v>
      </c>
      <c r="R24" s="144" t="str">
        <f t="shared" si="1"/>
        <v>NO</v>
      </c>
      <c r="S24" s="454" t="str">
        <f t="shared" si="2"/>
        <v>Inviable Sanitariamente</v>
      </c>
      <c r="T24" s="1"/>
    </row>
    <row r="25" spans="1:20" ht="32.1" customHeight="1">
      <c r="A25" s="419" t="s">
        <v>200</v>
      </c>
      <c r="B25" s="497" t="s">
        <v>816</v>
      </c>
      <c r="C25" s="497" t="s">
        <v>817</v>
      </c>
      <c r="D25" s="119">
        <v>490</v>
      </c>
      <c r="E25" s="79">
        <v>96.4</v>
      </c>
      <c r="F25" s="79"/>
      <c r="G25" s="79"/>
      <c r="H25" s="79"/>
      <c r="I25" s="79"/>
      <c r="J25" s="79"/>
      <c r="K25" s="79"/>
      <c r="L25" s="79"/>
      <c r="M25" s="79"/>
      <c r="N25" s="79"/>
      <c r="O25" s="79">
        <v>96.4</v>
      </c>
      <c r="P25" s="79"/>
      <c r="Q25" s="79">
        <f t="shared" si="0"/>
        <v>96.4</v>
      </c>
      <c r="R25" s="144" t="str">
        <f t="shared" si="1"/>
        <v>NO</v>
      </c>
      <c r="S25" s="454" t="str">
        <f t="shared" si="2"/>
        <v>Inviable Sanitariamente</v>
      </c>
      <c r="T25" s="1"/>
    </row>
    <row r="26" spans="1:20" ht="32.1" customHeight="1">
      <c r="A26" s="419" t="s">
        <v>200</v>
      </c>
      <c r="B26" s="497" t="s">
        <v>818</v>
      </c>
      <c r="C26" s="497" t="s">
        <v>819</v>
      </c>
      <c r="D26" s="119">
        <v>305</v>
      </c>
      <c r="E26" s="79"/>
      <c r="F26" s="79"/>
      <c r="G26" s="79"/>
      <c r="H26" s="79"/>
      <c r="I26" s="79"/>
      <c r="J26" s="79"/>
      <c r="K26" s="79"/>
      <c r="L26" s="79"/>
      <c r="M26" s="79"/>
      <c r="N26" s="79"/>
      <c r="O26" s="79">
        <v>96.38</v>
      </c>
      <c r="P26" s="79"/>
      <c r="Q26" s="79">
        <f t="shared" si="0"/>
        <v>96.38</v>
      </c>
      <c r="R26" s="144" t="str">
        <f t="shared" si="1"/>
        <v>NO</v>
      </c>
      <c r="S26" s="454" t="str">
        <f t="shared" si="2"/>
        <v>Inviable Sanitariamente</v>
      </c>
      <c r="T26" s="1"/>
    </row>
    <row r="27" spans="1:20" ht="32.1" customHeight="1">
      <c r="A27" s="419" t="s">
        <v>200</v>
      </c>
      <c r="B27" s="497" t="s">
        <v>820</v>
      </c>
      <c r="C27" s="497" t="s">
        <v>821</v>
      </c>
      <c r="D27" s="119"/>
      <c r="E27" s="79"/>
      <c r="F27" s="79"/>
      <c r="G27" s="79"/>
      <c r="H27" s="79"/>
      <c r="I27" s="79"/>
      <c r="J27" s="79"/>
      <c r="K27" s="79"/>
      <c r="L27" s="79"/>
      <c r="M27" s="79"/>
      <c r="N27" s="79"/>
      <c r="O27" s="79"/>
      <c r="P27" s="79"/>
      <c r="Q27" s="79" t="e">
        <f t="shared" si="0"/>
        <v>#DIV/0!</v>
      </c>
      <c r="R27" s="144" t="e">
        <f t="shared" si="1"/>
        <v>#DIV/0!</v>
      </c>
      <c r="S27" s="454" t="e">
        <f t="shared" si="2"/>
        <v>#DIV/0!</v>
      </c>
      <c r="T27" s="1"/>
    </row>
    <row r="28" spans="1:20" ht="32.1" customHeight="1">
      <c r="A28" s="419" t="s">
        <v>200</v>
      </c>
      <c r="B28" s="497" t="s">
        <v>822</v>
      </c>
      <c r="C28" s="497" t="s">
        <v>823</v>
      </c>
      <c r="D28" s="119"/>
      <c r="E28" s="79"/>
      <c r="F28" s="79"/>
      <c r="G28" s="79"/>
      <c r="H28" s="79"/>
      <c r="I28" s="79"/>
      <c r="J28" s="79"/>
      <c r="K28" s="79"/>
      <c r="L28" s="79"/>
      <c r="M28" s="79"/>
      <c r="N28" s="79"/>
      <c r="O28" s="79"/>
      <c r="P28" s="79"/>
      <c r="Q28" s="79" t="e">
        <f t="shared" si="0"/>
        <v>#DIV/0!</v>
      </c>
      <c r="R28" s="144" t="e">
        <f t="shared" si="1"/>
        <v>#DIV/0!</v>
      </c>
      <c r="S28" s="454" t="e">
        <f t="shared" si="2"/>
        <v>#DIV/0!</v>
      </c>
      <c r="T28" s="1"/>
    </row>
    <row r="29" spans="1:20" ht="32.1" customHeight="1">
      <c r="A29" s="419" t="s">
        <v>200</v>
      </c>
      <c r="B29" s="497" t="s">
        <v>824</v>
      </c>
      <c r="C29" s="497" t="s">
        <v>825</v>
      </c>
      <c r="D29" s="119">
        <v>72</v>
      </c>
      <c r="E29" s="79"/>
      <c r="F29" s="79">
        <v>96.4</v>
      </c>
      <c r="G29" s="79"/>
      <c r="H29" s="79"/>
      <c r="I29" s="79"/>
      <c r="J29" s="79"/>
      <c r="K29" s="79"/>
      <c r="L29" s="79"/>
      <c r="M29" s="79"/>
      <c r="N29" s="79"/>
      <c r="O29" s="79"/>
      <c r="P29" s="79"/>
      <c r="Q29" s="79">
        <f t="shared" si="0"/>
        <v>96.4</v>
      </c>
      <c r="R29" s="144" t="str">
        <f t="shared" si="1"/>
        <v>NO</v>
      </c>
      <c r="S29" s="454" t="str">
        <f t="shared" si="2"/>
        <v>Inviable Sanitariamente</v>
      </c>
      <c r="T29" s="1"/>
    </row>
    <row r="30" spans="1:20" ht="32.1" customHeight="1">
      <c r="A30" s="419" t="s">
        <v>200</v>
      </c>
      <c r="B30" s="497" t="s">
        <v>826</v>
      </c>
      <c r="C30" s="497" t="s">
        <v>827</v>
      </c>
      <c r="D30" s="119">
        <v>80</v>
      </c>
      <c r="E30" s="79"/>
      <c r="F30" s="79">
        <v>96.4</v>
      </c>
      <c r="G30" s="79"/>
      <c r="H30" s="79"/>
      <c r="I30" s="79"/>
      <c r="J30" s="79"/>
      <c r="K30" s="79"/>
      <c r="L30" s="79"/>
      <c r="M30" s="79"/>
      <c r="N30" s="79"/>
      <c r="O30" s="79"/>
      <c r="P30" s="79"/>
      <c r="Q30" s="79">
        <f t="shared" ref="Q30:Q61" si="3">AVERAGE(E30:P30)</f>
        <v>96.4</v>
      </c>
      <c r="R30" s="144" t="str">
        <f t="shared" ref="R30:R61" si="4">IF(Q30&lt;5,"SI","NO")</f>
        <v>NO</v>
      </c>
      <c r="S30" s="454" t="str">
        <f t="shared" si="2"/>
        <v>Inviable Sanitariamente</v>
      </c>
      <c r="T30" s="1"/>
    </row>
    <row r="31" spans="1:20" ht="32.1" customHeight="1">
      <c r="A31" s="419" t="s">
        <v>200</v>
      </c>
      <c r="B31" s="494" t="s">
        <v>828</v>
      </c>
      <c r="C31" s="110" t="s">
        <v>829</v>
      </c>
      <c r="D31" s="114"/>
      <c r="E31" s="79"/>
      <c r="F31" s="79"/>
      <c r="G31" s="79"/>
      <c r="H31" s="79"/>
      <c r="I31" s="79"/>
      <c r="J31" s="79"/>
      <c r="K31" s="79"/>
      <c r="L31" s="79"/>
      <c r="M31" s="79"/>
      <c r="N31" s="79"/>
      <c r="O31" s="79"/>
      <c r="P31" s="79"/>
      <c r="Q31" s="79" t="e">
        <f t="shared" si="3"/>
        <v>#DIV/0!</v>
      </c>
      <c r="R31" s="144" t="e">
        <f t="shared" si="4"/>
        <v>#DIV/0!</v>
      </c>
      <c r="S31" s="454" t="e">
        <f t="shared" si="2"/>
        <v>#DIV/0!</v>
      </c>
      <c r="T31" s="1"/>
    </row>
    <row r="32" spans="1:20" ht="32.1" customHeight="1">
      <c r="A32" s="419" t="s">
        <v>201</v>
      </c>
      <c r="B32" s="497" t="s">
        <v>830</v>
      </c>
      <c r="C32" s="497" t="s">
        <v>831</v>
      </c>
      <c r="D32" s="119">
        <v>172</v>
      </c>
      <c r="E32" s="79">
        <v>97.3</v>
      </c>
      <c r="F32" s="79"/>
      <c r="G32" s="79"/>
      <c r="H32" s="79"/>
      <c r="I32" s="79"/>
      <c r="J32" s="79"/>
      <c r="K32" s="79"/>
      <c r="L32" s="79"/>
      <c r="M32" s="79"/>
      <c r="N32" s="79"/>
      <c r="O32" s="79"/>
      <c r="P32" s="79"/>
      <c r="Q32" s="79">
        <f t="shared" si="3"/>
        <v>97.3</v>
      </c>
      <c r="R32" s="144" t="str">
        <f t="shared" si="4"/>
        <v>NO</v>
      </c>
      <c r="S32" s="454" t="str">
        <f t="shared" si="2"/>
        <v>Inviable Sanitariamente</v>
      </c>
      <c r="T32" s="1"/>
    </row>
    <row r="33" spans="1:20" ht="32.1" customHeight="1">
      <c r="A33" s="419" t="s">
        <v>201</v>
      </c>
      <c r="B33" s="497" t="s">
        <v>832</v>
      </c>
      <c r="C33" s="497" t="s">
        <v>833</v>
      </c>
      <c r="D33" s="119">
        <v>75</v>
      </c>
      <c r="E33" s="79"/>
      <c r="F33" s="79"/>
      <c r="G33" s="79">
        <v>97.3</v>
      </c>
      <c r="H33" s="79"/>
      <c r="I33" s="79"/>
      <c r="J33" s="79"/>
      <c r="K33" s="79"/>
      <c r="L33" s="79"/>
      <c r="M33" s="79"/>
      <c r="N33" s="79"/>
      <c r="O33" s="79"/>
      <c r="P33" s="79"/>
      <c r="Q33" s="79">
        <f t="shared" si="3"/>
        <v>97.3</v>
      </c>
      <c r="R33" s="144" t="str">
        <f t="shared" si="4"/>
        <v>NO</v>
      </c>
      <c r="S33" s="454" t="str">
        <f t="shared" si="2"/>
        <v>Inviable Sanitariamente</v>
      </c>
      <c r="T33" s="1"/>
    </row>
    <row r="34" spans="1:20" ht="32.1" customHeight="1">
      <c r="A34" s="419" t="s">
        <v>201</v>
      </c>
      <c r="B34" s="497" t="s">
        <v>834</v>
      </c>
      <c r="C34" s="497" t="s">
        <v>835</v>
      </c>
      <c r="D34" s="119">
        <v>102</v>
      </c>
      <c r="E34" s="79"/>
      <c r="F34" s="79"/>
      <c r="G34" s="79"/>
      <c r="H34" s="79"/>
      <c r="I34" s="79">
        <v>97.3</v>
      </c>
      <c r="J34" s="79"/>
      <c r="K34" s="79"/>
      <c r="L34" s="79"/>
      <c r="M34" s="79"/>
      <c r="N34" s="79"/>
      <c r="O34" s="79"/>
      <c r="P34" s="79"/>
      <c r="Q34" s="79">
        <f t="shared" si="3"/>
        <v>97.3</v>
      </c>
      <c r="R34" s="144" t="str">
        <f t="shared" si="4"/>
        <v>NO</v>
      </c>
      <c r="S34" s="454" t="str">
        <f t="shared" si="2"/>
        <v>Inviable Sanitariamente</v>
      </c>
      <c r="T34" s="1"/>
    </row>
    <row r="35" spans="1:20" ht="32.1" customHeight="1">
      <c r="A35" s="419" t="s">
        <v>201</v>
      </c>
      <c r="B35" s="497" t="s">
        <v>836</v>
      </c>
      <c r="C35" s="497" t="s">
        <v>837</v>
      </c>
      <c r="D35" s="119">
        <v>57</v>
      </c>
      <c r="E35" s="79">
        <v>97.3</v>
      </c>
      <c r="F35" s="79"/>
      <c r="G35" s="79"/>
      <c r="H35" s="79"/>
      <c r="I35" s="79"/>
      <c r="J35" s="79"/>
      <c r="K35" s="79"/>
      <c r="L35" s="79"/>
      <c r="M35" s="79"/>
      <c r="N35" s="79"/>
      <c r="O35" s="79"/>
      <c r="P35" s="79"/>
      <c r="Q35" s="79">
        <f t="shared" si="3"/>
        <v>97.3</v>
      </c>
      <c r="R35" s="144" t="str">
        <f t="shared" si="4"/>
        <v>NO</v>
      </c>
      <c r="S35" s="454" t="str">
        <f t="shared" si="2"/>
        <v>Inviable Sanitariamente</v>
      </c>
      <c r="T35" s="1"/>
    </row>
    <row r="36" spans="1:20" ht="32.1" customHeight="1">
      <c r="A36" s="419" t="s">
        <v>201</v>
      </c>
      <c r="B36" s="497" t="s">
        <v>838</v>
      </c>
      <c r="C36" s="497" t="s">
        <v>839</v>
      </c>
      <c r="D36" s="119">
        <v>60</v>
      </c>
      <c r="E36" s="79">
        <v>97.3</v>
      </c>
      <c r="F36" s="79"/>
      <c r="G36" s="79"/>
      <c r="H36" s="79"/>
      <c r="I36" s="79"/>
      <c r="J36" s="79"/>
      <c r="K36" s="79"/>
      <c r="L36" s="79"/>
      <c r="M36" s="79"/>
      <c r="N36" s="79"/>
      <c r="O36" s="79"/>
      <c r="P36" s="79"/>
      <c r="Q36" s="79">
        <f t="shared" si="3"/>
        <v>97.3</v>
      </c>
      <c r="R36" s="144" t="str">
        <f t="shared" si="4"/>
        <v>NO</v>
      </c>
      <c r="S36" s="454" t="str">
        <f t="shared" si="2"/>
        <v>Inviable Sanitariamente</v>
      </c>
      <c r="T36" s="1"/>
    </row>
    <row r="37" spans="1:20" ht="32.1" customHeight="1">
      <c r="A37" s="419" t="s">
        <v>201</v>
      </c>
      <c r="B37" s="497" t="s">
        <v>840</v>
      </c>
      <c r="C37" s="497" t="s">
        <v>841</v>
      </c>
      <c r="D37" s="119">
        <v>48</v>
      </c>
      <c r="E37" s="79"/>
      <c r="F37" s="79"/>
      <c r="G37" s="79"/>
      <c r="H37" s="79"/>
      <c r="I37" s="79"/>
      <c r="J37" s="79">
        <v>97.3</v>
      </c>
      <c r="K37" s="79"/>
      <c r="L37" s="79"/>
      <c r="M37" s="79"/>
      <c r="N37" s="79"/>
      <c r="O37" s="79"/>
      <c r="P37" s="79"/>
      <c r="Q37" s="79">
        <f t="shared" si="3"/>
        <v>97.3</v>
      </c>
      <c r="R37" s="144" t="str">
        <f t="shared" si="4"/>
        <v>NO</v>
      </c>
      <c r="S37" s="454" t="str">
        <f t="shared" si="2"/>
        <v>Inviable Sanitariamente</v>
      </c>
      <c r="T37" s="1"/>
    </row>
    <row r="38" spans="1:20" ht="32.1" customHeight="1">
      <c r="A38" s="419" t="s">
        <v>201</v>
      </c>
      <c r="B38" s="497" t="s">
        <v>842</v>
      </c>
      <c r="C38" s="497" t="s">
        <v>843</v>
      </c>
      <c r="D38" s="119">
        <v>34</v>
      </c>
      <c r="E38" s="79"/>
      <c r="F38" s="79">
        <v>97.3</v>
      </c>
      <c r="G38" s="79"/>
      <c r="H38" s="79"/>
      <c r="I38" s="79"/>
      <c r="J38" s="79"/>
      <c r="K38" s="79"/>
      <c r="L38" s="79"/>
      <c r="M38" s="79"/>
      <c r="N38" s="79"/>
      <c r="O38" s="79"/>
      <c r="P38" s="79"/>
      <c r="Q38" s="79">
        <f t="shared" si="3"/>
        <v>97.3</v>
      </c>
      <c r="R38" s="144" t="str">
        <f t="shared" si="4"/>
        <v>NO</v>
      </c>
      <c r="S38" s="454" t="str">
        <f t="shared" si="2"/>
        <v>Inviable Sanitariamente</v>
      </c>
      <c r="T38" s="1"/>
    </row>
    <row r="39" spans="1:20" ht="32.1" customHeight="1">
      <c r="A39" s="419" t="s">
        <v>201</v>
      </c>
      <c r="B39" s="497" t="s">
        <v>483</v>
      </c>
      <c r="C39" s="497" t="s">
        <v>844</v>
      </c>
      <c r="D39" s="114">
        <v>40</v>
      </c>
      <c r="E39" s="79"/>
      <c r="F39" s="79"/>
      <c r="G39" s="79"/>
      <c r="H39" s="79"/>
      <c r="I39" s="79"/>
      <c r="J39" s="79">
        <v>97.3</v>
      </c>
      <c r="K39" s="79"/>
      <c r="L39" s="79"/>
      <c r="M39" s="79"/>
      <c r="N39" s="79"/>
      <c r="O39" s="79"/>
      <c r="P39" s="79"/>
      <c r="Q39" s="79">
        <f t="shared" si="3"/>
        <v>97.3</v>
      </c>
      <c r="R39" s="144" t="str">
        <f t="shared" si="4"/>
        <v>NO</v>
      </c>
      <c r="S39" s="454" t="str">
        <f t="shared" si="2"/>
        <v>Inviable Sanitariamente</v>
      </c>
      <c r="T39" s="1"/>
    </row>
    <row r="40" spans="1:20" ht="32.1" customHeight="1">
      <c r="A40" s="419" t="s">
        <v>201</v>
      </c>
      <c r="B40" s="497" t="s">
        <v>845</v>
      </c>
      <c r="C40" s="497" t="s">
        <v>846</v>
      </c>
      <c r="D40" s="119">
        <v>23</v>
      </c>
      <c r="E40" s="79"/>
      <c r="F40" s="79">
        <v>97.3</v>
      </c>
      <c r="G40" s="79"/>
      <c r="H40" s="79"/>
      <c r="I40" s="79"/>
      <c r="J40" s="79"/>
      <c r="K40" s="79"/>
      <c r="L40" s="79"/>
      <c r="M40" s="79"/>
      <c r="N40" s="79"/>
      <c r="O40" s="79"/>
      <c r="P40" s="79"/>
      <c r="Q40" s="79">
        <f t="shared" si="3"/>
        <v>97.3</v>
      </c>
      <c r="R40" s="144" t="str">
        <f t="shared" si="4"/>
        <v>NO</v>
      </c>
      <c r="S40" s="454" t="str">
        <f t="shared" si="2"/>
        <v>Inviable Sanitariamente</v>
      </c>
      <c r="T40" s="1"/>
    </row>
    <row r="41" spans="1:20" ht="32.1" customHeight="1">
      <c r="A41" s="419" t="s">
        <v>201</v>
      </c>
      <c r="B41" s="497" t="s">
        <v>847</v>
      </c>
      <c r="C41" s="497" t="s">
        <v>848</v>
      </c>
      <c r="D41" s="119">
        <v>44</v>
      </c>
      <c r="E41" s="79"/>
      <c r="F41" s="79"/>
      <c r="G41" s="79"/>
      <c r="H41" s="79"/>
      <c r="I41" s="79"/>
      <c r="J41" s="79"/>
      <c r="K41" s="79">
        <v>97.3</v>
      </c>
      <c r="L41" s="79"/>
      <c r="M41" s="79"/>
      <c r="N41" s="79"/>
      <c r="O41" s="79"/>
      <c r="P41" s="79"/>
      <c r="Q41" s="79">
        <f t="shared" si="3"/>
        <v>97.3</v>
      </c>
      <c r="R41" s="144" t="str">
        <f t="shared" si="4"/>
        <v>NO</v>
      </c>
      <c r="S41" s="454" t="str">
        <f t="shared" si="2"/>
        <v>Inviable Sanitariamente</v>
      </c>
      <c r="T41" s="1"/>
    </row>
    <row r="42" spans="1:20" ht="32.1" customHeight="1">
      <c r="A42" s="419" t="s">
        <v>201</v>
      </c>
      <c r="B42" s="497" t="s">
        <v>849</v>
      </c>
      <c r="C42" s="497" t="s">
        <v>850</v>
      </c>
      <c r="D42" s="114">
        <v>35</v>
      </c>
      <c r="E42" s="79">
        <v>97.3</v>
      </c>
      <c r="F42" s="79"/>
      <c r="G42" s="79"/>
      <c r="H42" s="79"/>
      <c r="I42" s="79"/>
      <c r="J42" s="79"/>
      <c r="K42" s="79"/>
      <c r="L42" s="79"/>
      <c r="M42" s="79"/>
      <c r="N42" s="79"/>
      <c r="O42" s="79"/>
      <c r="P42" s="79"/>
      <c r="Q42" s="79">
        <f t="shared" si="3"/>
        <v>97.3</v>
      </c>
      <c r="R42" s="144" t="str">
        <f t="shared" si="4"/>
        <v>NO</v>
      </c>
      <c r="S42" s="454" t="str">
        <f t="shared" si="2"/>
        <v>Inviable Sanitariamente</v>
      </c>
      <c r="T42" s="1"/>
    </row>
    <row r="43" spans="1:20" ht="32.1" customHeight="1">
      <c r="A43" s="419" t="s">
        <v>201</v>
      </c>
      <c r="B43" s="497" t="s">
        <v>851</v>
      </c>
      <c r="C43" s="497" t="s">
        <v>852</v>
      </c>
      <c r="D43" s="119">
        <v>25</v>
      </c>
      <c r="E43" s="79"/>
      <c r="F43" s="79"/>
      <c r="G43" s="79"/>
      <c r="H43" s="79"/>
      <c r="I43" s="79">
        <v>97.3</v>
      </c>
      <c r="J43" s="79"/>
      <c r="K43" s="79"/>
      <c r="L43" s="79"/>
      <c r="M43" s="79"/>
      <c r="N43" s="79"/>
      <c r="O43" s="79"/>
      <c r="P43" s="79"/>
      <c r="Q43" s="79">
        <f t="shared" si="3"/>
        <v>97.3</v>
      </c>
      <c r="R43" s="144" t="str">
        <f t="shared" si="4"/>
        <v>NO</v>
      </c>
      <c r="S43" s="454" t="str">
        <f t="shared" si="2"/>
        <v>Inviable Sanitariamente</v>
      </c>
      <c r="T43" s="1"/>
    </row>
    <row r="44" spans="1:20" ht="32.1" customHeight="1">
      <c r="A44" s="419" t="s">
        <v>201</v>
      </c>
      <c r="B44" s="497" t="s">
        <v>853</v>
      </c>
      <c r="C44" s="497" t="s">
        <v>854</v>
      </c>
      <c r="D44" s="119">
        <v>44</v>
      </c>
      <c r="E44" s="79"/>
      <c r="F44" s="79">
        <v>97.3</v>
      </c>
      <c r="G44" s="79"/>
      <c r="H44" s="79"/>
      <c r="I44" s="79"/>
      <c r="J44" s="79"/>
      <c r="K44" s="79"/>
      <c r="L44" s="79"/>
      <c r="M44" s="79"/>
      <c r="N44" s="79"/>
      <c r="O44" s="79"/>
      <c r="P44" s="79"/>
      <c r="Q44" s="79">
        <f t="shared" si="3"/>
        <v>97.3</v>
      </c>
      <c r="R44" s="144" t="str">
        <f t="shared" si="4"/>
        <v>NO</v>
      </c>
      <c r="S44" s="454" t="str">
        <f t="shared" si="2"/>
        <v>Inviable Sanitariamente</v>
      </c>
      <c r="T44" s="1"/>
    </row>
    <row r="45" spans="1:20" ht="32.1" customHeight="1">
      <c r="A45" s="419" t="s">
        <v>201</v>
      </c>
      <c r="B45" s="497" t="s">
        <v>855</v>
      </c>
      <c r="C45" s="497" t="s">
        <v>856</v>
      </c>
      <c r="D45" s="114">
        <v>56</v>
      </c>
      <c r="E45" s="79"/>
      <c r="F45" s="79"/>
      <c r="G45" s="79"/>
      <c r="H45" s="79"/>
      <c r="I45" s="79">
        <v>97.3</v>
      </c>
      <c r="J45" s="79"/>
      <c r="K45" s="79"/>
      <c r="L45" s="79"/>
      <c r="M45" s="79"/>
      <c r="N45" s="79"/>
      <c r="O45" s="79"/>
      <c r="P45" s="79"/>
      <c r="Q45" s="79">
        <f t="shared" si="3"/>
        <v>97.3</v>
      </c>
      <c r="R45" s="144" t="str">
        <f t="shared" si="4"/>
        <v>NO</v>
      </c>
      <c r="S45" s="454" t="str">
        <f t="shared" si="2"/>
        <v>Inviable Sanitariamente</v>
      </c>
      <c r="T45" s="1"/>
    </row>
    <row r="46" spans="1:20" ht="32.1" customHeight="1">
      <c r="A46" s="419" t="s">
        <v>201</v>
      </c>
      <c r="B46" s="497" t="s">
        <v>857</v>
      </c>
      <c r="C46" s="497" t="s">
        <v>858</v>
      </c>
      <c r="D46" s="119">
        <v>1344</v>
      </c>
      <c r="E46" s="79">
        <v>97.3</v>
      </c>
      <c r="F46" s="79">
        <v>97.3</v>
      </c>
      <c r="G46" s="79">
        <v>97.3</v>
      </c>
      <c r="H46" s="79">
        <v>97.3</v>
      </c>
      <c r="I46" s="79">
        <v>97.3</v>
      </c>
      <c r="J46" s="79">
        <v>97.3</v>
      </c>
      <c r="K46" s="79">
        <v>97.3</v>
      </c>
      <c r="L46" s="79">
        <v>97.3</v>
      </c>
      <c r="M46" s="79">
        <v>97.3</v>
      </c>
      <c r="N46" s="79">
        <v>97.3</v>
      </c>
      <c r="O46" s="79">
        <v>97.3</v>
      </c>
      <c r="P46" s="79">
        <v>97.3</v>
      </c>
      <c r="Q46" s="79">
        <f t="shared" si="3"/>
        <v>97.299999999999969</v>
      </c>
      <c r="R46" s="144" t="str">
        <f t="shared" si="4"/>
        <v>NO</v>
      </c>
      <c r="S46" s="454" t="str">
        <f t="shared" si="2"/>
        <v>Inviable Sanitariamente</v>
      </c>
      <c r="T46" s="1"/>
    </row>
    <row r="47" spans="1:20" ht="32.1" customHeight="1">
      <c r="A47" s="419" t="s">
        <v>201</v>
      </c>
      <c r="B47" s="497" t="s">
        <v>859</v>
      </c>
      <c r="C47" s="497" t="s">
        <v>860</v>
      </c>
      <c r="D47" s="119">
        <v>26</v>
      </c>
      <c r="E47" s="79"/>
      <c r="F47" s="79"/>
      <c r="G47" s="79"/>
      <c r="H47" s="79"/>
      <c r="I47" s="79"/>
      <c r="J47" s="79"/>
      <c r="K47" s="79"/>
      <c r="L47" s="79"/>
      <c r="M47" s="79">
        <v>97.3</v>
      </c>
      <c r="N47" s="79"/>
      <c r="O47" s="79"/>
      <c r="P47" s="79"/>
      <c r="Q47" s="79">
        <f t="shared" si="3"/>
        <v>97.3</v>
      </c>
      <c r="R47" s="144" t="str">
        <f t="shared" si="4"/>
        <v>NO</v>
      </c>
      <c r="S47" s="454" t="str">
        <f t="shared" si="2"/>
        <v>Inviable Sanitariamente</v>
      </c>
      <c r="T47" s="1"/>
    </row>
    <row r="48" spans="1:20" ht="32.1" customHeight="1">
      <c r="A48" s="419" t="s">
        <v>201</v>
      </c>
      <c r="B48" s="497" t="s">
        <v>861</v>
      </c>
      <c r="C48" s="497" t="s">
        <v>862</v>
      </c>
      <c r="D48" s="119">
        <v>23</v>
      </c>
      <c r="E48" s="79"/>
      <c r="F48" s="79"/>
      <c r="G48" s="79"/>
      <c r="H48" s="79"/>
      <c r="I48" s="79">
        <v>97.3</v>
      </c>
      <c r="J48" s="79"/>
      <c r="K48" s="79"/>
      <c r="L48" s="79"/>
      <c r="M48" s="79"/>
      <c r="N48" s="79"/>
      <c r="O48" s="79"/>
      <c r="P48" s="79"/>
      <c r="Q48" s="79">
        <f t="shared" si="3"/>
        <v>97.3</v>
      </c>
      <c r="R48" s="144" t="str">
        <f t="shared" si="4"/>
        <v>NO</v>
      </c>
      <c r="S48" s="454" t="str">
        <f t="shared" si="2"/>
        <v>Inviable Sanitariamente</v>
      </c>
      <c r="T48" s="1"/>
    </row>
    <row r="49" spans="1:20" ht="32.1" customHeight="1">
      <c r="A49" s="419" t="s">
        <v>201</v>
      </c>
      <c r="B49" s="494" t="s">
        <v>863</v>
      </c>
      <c r="C49" s="110" t="s">
        <v>864</v>
      </c>
      <c r="D49" s="119">
        <v>47</v>
      </c>
      <c r="E49" s="79"/>
      <c r="F49" s="79"/>
      <c r="G49" s="79"/>
      <c r="H49" s="79"/>
      <c r="I49" s="79"/>
      <c r="J49" s="79"/>
      <c r="K49" s="79">
        <v>97.3</v>
      </c>
      <c r="L49" s="79"/>
      <c r="M49" s="79"/>
      <c r="N49" s="79"/>
      <c r="O49" s="79"/>
      <c r="P49" s="79"/>
      <c r="Q49" s="79">
        <f t="shared" si="3"/>
        <v>97.3</v>
      </c>
      <c r="R49" s="144" t="str">
        <f t="shared" si="4"/>
        <v>NO</v>
      </c>
      <c r="S49" s="454" t="str">
        <f t="shared" si="2"/>
        <v>Inviable Sanitariamente</v>
      </c>
      <c r="T49" s="1"/>
    </row>
    <row r="50" spans="1:20" ht="32.1" customHeight="1">
      <c r="A50" s="419" t="s">
        <v>201</v>
      </c>
      <c r="B50" s="497" t="s">
        <v>865</v>
      </c>
      <c r="C50" s="497" t="s">
        <v>866</v>
      </c>
      <c r="D50" s="119">
        <v>44</v>
      </c>
      <c r="E50" s="79"/>
      <c r="F50" s="79"/>
      <c r="G50" s="79">
        <v>97.3</v>
      </c>
      <c r="H50" s="79"/>
      <c r="I50" s="79"/>
      <c r="J50" s="79"/>
      <c r="K50" s="79"/>
      <c r="L50" s="79"/>
      <c r="M50" s="79"/>
      <c r="N50" s="79"/>
      <c r="O50" s="79"/>
      <c r="P50" s="79"/>
      <c r="Q50" s="79">
        <f t="shared" si="3"/>
        <v>97.3</v>
      </c>
      <c r="R50" s="144" t="str">
        <f t="shared" si="4"/>
        <v>NO</v>
      </c>
      <c r="S50" s="454" t="str">
        <f t="shared" si="2"/>
        <v>Inviable Sanitariamente</v>
      </c>
      <c r="T50" s="1"/>
    </row>
    <row r="51" spans="1:20" ht="32.1" customHeight="1">
      <c r="A51" s="419" t="s">
        <v>201</v>
      </c>
      <c r="B51" s="497" t="s">
        <v>867</v>
      </c>
      <c r="C51" s="497" t="s">
        <v>868</v>
      </c>
      <c r="D51" s="119">
        <v>45</v>
      </c>
      <c r="E51" s="79"/>
      <c r="F51" s="79"/>
      <c r="G51" s="79">
        <v>97.3</v>
      </c>
      <c r="H51" s="79"/>
      <c r="I51" s="79"/>
      <c r="J51" s="79"/>
      <c r="K51" s="79"/>
      <c r="L51" s="79"/>
      <c r="M51" s="79"/>
      <c r="N51" s="79"/>
      <c r="O51" s="79"/>
      <c r="P51" s="79"/>
      <c r="Q51" s="79">
        <f t="shared" si="3"/>
        <v>97.3</v>
      </c>
      <c r="R51" s="144" t="str">
        <f t="shared" si="4"/>
        <v>NO</v>
      </c>
      <c r="S51" s="454" t="str">
        <f t="shared" si="2"/>
        <v>Inviable Sanitariamente</v>
      </c>
      <c r="T51" s="1"/>
    </row>
    <row r="52" spans="1:20" ht="32.1" customHeight="1">
      <c r="A52" s="419" t="s">
        <v>201</v>
      </c>
      <c r="B52" s="497" t="s">
        <v>869</v>
      </c>
      <c r="C52" s="497" t="s">
        <v>870</v>
      </c>
      <c r="D52" s="119">
        <v>44</v>
      </c>
      <c r="E52" s="79">
        <v>97.3</v>
      </c>
      <c r="F52" s="79"/>
      <c r="G52" s="79"/>
      <c r="H52" s="79"/>
      <c r="I52" s="79"/>
      <c r="J52" s="79"/>
      <c r="K52" s="79"/>
      <c r="L52" s="79"/>
      <c r="M52" s="79"/>
      <c r="N52" s="79"/>
      <c r="O52" s="79"/>
      <c r="P52" s="79"/>
      <c r="Q52" s="79">
        <f t="shared" si="3"/>
        <v>97.3</v>
      </c>
      <c r="R52" s="144" t="str">
        <f t="shared" si="4"/>
        <v>NO</v>
      </c>
      <c r="S52" s="454" t="str">
        <f t="shared" si="2"/>
        <v>Inviable Sanitariamente</v>
      </c>
      <c r="T52" s="1"/>
    </row>
    <row r="53" spans="1:20" ht="32.1" customHeight="1">
      <c r="A53" s="419" t="s">
        <v>201</v>
      </c>
      <c r="B53" s="494" t="s">
        <v>871</v>
      </c>
      <c r="C53" s="497" t="s">
        <v>872</v>
      </c>
      <c r="D53" s="119">
        <v>95</v>
      </c>
      <c r="E53" s="79"/>
      <c r="F53" s="79"/>
      <c r="G53" s="79"/>
      <c r="H53" s="79"/>
      <c r="I53" s="79">
        <v>97.3</v>
      </c>
      <c r="J53" s="79"/>
      <c r="K53" s="79"/>
      <c r="L53" s="79"/>
      <c r="M53" s="79"/>
      <c r="N53" s="79"/>
      <c r="O53" s="79"/>
      <c r="P53" s="79"/>
      <c r="Q53" s="79">
        <f t="shared" si="3"/>
        <v>97.3</v>
      </c>
      <c r="R53" s="144" t="str">
        <f t="shared" si="4"/>
        <v>NO</v>
      </c>
      <c r="S53" s="454" t="str">
        <f t="shared" si="2"/>
        <v>Inviable Sanitariamente</v>
      </c>
      <c r="T53" s="1"/>
    </row>
    <row r="54" spans="1:20" ht="32.1" customHeight="1">
      <c r="A54" s="419" t="s">
        <v>201</v>
      </c>
      <c r="B54" s="497" t="s">
        <v>873</v>
      </c>
      <c r="C54" s="497" t="s">
        <v>874</v>
      </c>
      <c r="D54" s="119">
        <v>40</v>
      </c>
      <c r="E54" s="79"/>
      <c r="F54" s="79"/>
      <c r="G54" s="79"/>
      <c r="H54" s="79"/>
      <c r="I54" s="79"/>
      <c r="J54" s="79">
        <v>97.3</v>
      </c>
      <c r="K54" s="79"/>
      <c r="L54" s="79"/>
      <c r="M54" s="79"/>
      <c r="N54" s="79"/>
      <c r="O54" s="79"/>
      <c r="P54" s="79"/>
      <c r="Q54" s="79">
        <f t="shared" si="3"/>
        <v>97.3</v>
      </c>
      <c r="R54" s="144" t="str">
        <f t="shared" si="4"/>
        <v>NO</v>
      </c>
      <c r="S54" s="454" t="str">
        <f t="shared" si="2"/>
        <v>Inviable Sanitariamente</v>
      </c>
      <c r="T54" s="1"/>
    </row>
    <row r="55" spans="1:20" ht="32.1" customHeight="1">
      <c r="A55" s="419" t="s">
        <v>201</v>
      </c>
      <c r="B55" s="497" t="s">
        <v>875</v>
      </c>
      <c r="C55" s="497" t="s">
        <v>876</v>
      </c>
      <c r="D55" s="119">
        <v>64</v>
      </c>
      <c r="E55" s="79"/>
      <c r="F55" s="79"/>
      <c r="G55" s="79">
        <v>97.3</v>
      </c>
      <c r="H55" s="79"/>
      <c r="I55" s="79"/>
      <c r="J55" s="79"/>
      <c r="K55" s="79"/>
      <c r="L55" s="79"/>
      <c r="M55" s="79"/>
      <c r="N55" s="79"/>
      <c r="O55" s="79"/>
      <c r="P55" s="79"/>
      <c r="Q55" s="79">
        <f t="shared" si="3"/>
        <v>97.3</v>
      </c>
      <c r="R55" s="144" t="str">
        <f t="shared" si="4"/>
        <v>NO</v>
      </c>
      <c r="S55" s="454" t="str">
        <f t="shared" si="2"/>
        <v>Inviable Sanitariamente</v>
      </c>
      <c r="T55" s="1"/>
    </row>
    <row r="56" spans="1:20" ht="32.1" customHeight="1">
      <c r="A56" s="419" t="s">
        <v>201</v>
      </c>
      <c r="B56" s="494" t="s">
        <v>49</v>
      </c>
      <c r="C56" s="497" t="s">
        <v>877</v>
      </c>
      <c r="D56" s="119">
        <v>52</v>
      </c>
      <c r="E56" s="79"/>
      <c r="F56" s="79"/>
      <c r="G56" s="79">
        <v>97.3</v>
      </c>
      <c r="H56" s="79"/>
      <c r="I56" s="79"/>
      <c r="J56" s="79"/>
      <c r="K56" s="79"/>
      <c r="L56" s="79"/>
      <c r="M56" s="79"/>
      <c r="N56" s="79"/>
      <c r="O56" s="79"/>
      <c r="P56" s="79"/>
      <c r="Q56" s="79">
        <f t="shared" si="3"/>
        <v>97.3</v>
      </c>
      <c r="R56" s="144" t="str">
        <f t="shared" si="4"/>
        <v>NO</v>
      </c>
      <c r="S56" s="454" t="str">
        <f t="shared" si="2"/>
        <v>Inviable Sanitariamente</v>
      </c>
      <c r="T56" s="1"/>
    </row>
    <row r="57" spans="1:20" ht="32.1" customHeight="1">
      <c r="A57" s="419" t="s">
        <v>201</v>
      </c>
      <c r="B57" s="497" t="s">
        <v>878</v>
      </c>
      <c r="C57" s="497" t="s">
        <v>879</v>
      </c>
      <c r="D57" s="119">
        <v>31</v>
      </c>
      <c r="E57" s="79"/>
      <c r="F57" s="79"/>
      <c r="G57" s="79"/>
      <c r="H57" s="79"/>
      <c r="I57" s="79"/>
      <c r="J57" s="79">
        <v>97.3</v>
      </c>
      <c r="K57" s="79"/>
      <c r="L57" s="79"/>
      <c r="M57" s="79"/>
      <c r="N57" s="79"/>
      <c r="O57" s="79"/>
      <c r="P57" s="79"/>
      <c r="Q57" s="79">
        <f t="shared" si="3"/>
        <v>97.3</v>
      </c>
      <c r="R57" s="144" t="str">
        <f t="shared" si="4"/>
        <v>NO</v>
      </c>
      <c r="S57" s="454" t="str">
        <f t="shared" si="2"/>
        <v>Inviable Sanitariamente</v>
      </c>
      <c r="T57" s="1"/>
    </row>
    <row r="58" spans="1:20" ht="32.1" customHeight="1">
      <c r="A58" s="419" t="s">
        <v>201</v>
      </c>
      <c r="B58" s="497" t="s">
        <v>880</v>
      </c>
      <c r="C58" s="497" t="s">
        <v>881</v>
      </c>
      <c r="D58" s="119">
        <v>60</v>
      </c>
      <c r="E58" s="79"/>
      <c r="F58" s="79"/>
      <c r="G58" s="79"/>
      <c r="H58" s="79"/>
      <c r="I58" s="79"/>
      <c r="J58" s="79">
        <v>97.3</v>
      </c>
      <c r="K58" s="79"/>
      <c r="L58" s="79"/>
      <c r="M58" s="79"/>
      <c r="N58" s="79"/>
      <c r="O58" s="79"/>
      <c r="P58" s="79"/>
      <c r="Q58" s="79">
        <f t="shared" si="3"/>
        <v>97.3</v>
      </c>
      <c r="R58" s="144" t="str">
        <f t="shared" si="4"/>
        <v>NO</v>
      </c>
      <c r="S58" s="454" t="str">
        <f t="shared" si="2"/>
        <v>Inviable Sanitariamente</v>
      </c>
      <c r="T58" s="1"/>
    </row>
    <row r="59" spans="1:20" ht="32.1" customHeight="1">
      <c r="A59" s="419" t="s">
        <v>201</v>
      </c>
      <c r="B59" s="494" t="s">
        <v>882</v>
      </c>
      <c r="C59" s="494" t="s">
        <v>883</v>
      </c>
      <c r="D59" s="119">
        <v>647</v>
      </c>
      <c r="E59" s="79">
        <v>97.3</v>
      </c>
      <c r="F59" s="79">
        <v>97.3</v>
      </c>
      <c r="G59" s="79">
        <v>97.3</v>
      </c>
      <c r="H59" s="79">
        <v>97.3</v>
      </c>
      <c r="I59" s="79">
        <v>97.3</v>
      </c>
      <c r="J59" s="79">
        <v>97.3</v>
      </c>
      <c r="K59" s="79">
        <v>97.3</v>
      </c>
      <c r="L59" s="79">
        <v>97.3</v>
      </c>
      <c r="M59" s="79">
        <v>97.3</v>
      </c>
      <c r="N59" s="79">
        <v>97.3</v>
      </c>
      <c r="O59" s="79">
        <v>97.3</v>
      </c>
      <c r="P59" s="79">
        <v>97.3</v>
      </c>
      <c r="Q59" s="79">
        <f t="shared" si="3"/>
        <v>97.299999999999969</v>
      </c>
      <c r="R59" s="144" t="str">
        <f t="shared" si="4"/>
        <v>NO</v>
      </c>
      <c r="S59" s="454" t="str">
        <f t="shared" si="2"/>
        <v>Inviable Sanitariamente</v>
      </c>
      <c r="T59" s="1"/>
    </row>
    <row r="60" spans="1:20" ht="32.1" customHeight="1">
      <c r="A60" s="419" t="s">
        <v>201</v>
      </c>
      <c r="B60" s="494" t="s">
        <v>882</v>
      </c>
      <c r="C60" s="494" t="s">
        <v>884</v>
      </c>
      <c r="D60" s="119">
        <v>430</v>
      </c>
      <c r="E60" s="79"/>
      <c r="F60" s="79"/>
      <c r="G60" s="79"/>
      <c r="H60" s="79"/>
      <c r="I60" s="79"/>
      <c r="J60" s="79"/>
      <c r="K60" s="79"/>
      <c r="L60" s="79"/>
      <c r="M60" s="79"/>
      <c r="N60" s="79"/>
      <c r="O60" s="79"/>
      <c r="P60" s="79"/>
      <c r="Q60" s="79" t="e">
        <f t="shared" si="3"/>
        <v>#DIV/0!</v>
      </c>
      <c r="R60" s="144" t="e">
        <f t="shared" si="4"/>
        <v>#DIV/0!</v>
      </c>
      <c r="S60" s="454" t="e">
        <f t="shared" si="2"/>
        <v>#DIV/0!</v>
      </c>
      <c r="T60" s="1"/>
    </row>
    <row r="61" spans="1:20" ht="32.1" customHeight="1">
      <c r="A61" s="419" t="s">
        <v>201</v>
      </c>
      <c r="B61" s="494" t="s">
        <v>885</v>
      </c>
      <c r="C61" s="494" t="s">
        <v>886</v>
      </c>
      <c r="D61" s="119">
        <v>60</v>
      </c>
      <c r="E61" s="79"/>
      <c r="F61" s="79"/>
      <c r="G61" s="79"/>
      <c r="H61" s="79"/>
      <c r="I61" s="79">
        <v>97.3</v>
      </c>
      <c r="J61" s="79"/>
      <c r="K61" s="79"/>
      <c r="L61" s="79"/>
      <c r="M61" s="79"/>
      <c r="N61" s="79"/>
      <c r="O61" s="79"/>
      <c r="P61" s="79"/>
      <c r="Q61" s="79">
        <f t="shared" si="3"/>
        <v>97.3</v>
      </c>
      <c r="R61" s="144" t="str">
        <f t="shared" si="4"/>
        <v>NO</v>
      </c>
      <c r="S61" s="454" t="str">
        <f t="shared" si="2"/>
        <v>Inviable Sanitariamente</v>
      </c>
      <c r="T61" s="1"/>
    </row>
    <row r="62" spans="1:20" ht="32.1" customHeight="1">
      <c r="A62" s="419" t="s">
        <v>201</v>
      </c>
      <c r="B62" s="494" t="s">
        <v>887</v>
      </c>
      <c r="C62" s="494" t="s">
        <v>888</v>
      </c>
      <c r="D62" s="119">
        <v>44</v>
      </c>
      <c r="E62" s="79"/>
      <c r="F62" s="79"/>
      <c r="G62" s="79">
        <v>97.3</v>
      </c>
      <c r="H62" s="79"/>
      <c r="I62" s="79"/>
      <c r="J62" s="79"/>
      <c r="K62" s="79"/>
      <c r="L62" s="79"/>
      <c r="M62" s="79"/>
      <c r="N62" s="79"/>
      <c r="O62" s="79"/>
      <c r="P62" s="79"/>
      <c r="Q62" s="79">
        <f t="shared" ref="Q62:Q94" si="5">AVERAGE(E62:P62)</f>
        <v>97.3</v>
      </c>
      <c r="R62" s="144" t="str">
        <f t="shared" ref="R62:R94" si="6">IF(Q62&lt;5,"SI","NO")</f>
        <v>NO</v>
      </c>
      <c r="S62" s="454" t="str">
        <f t="shared" si="2"/>
        <v>Inviable Sanitariamente</v>
      </c>
      <c r="T62" s="1"/>
    </row>
    <row r="63" spans="1:20" ht="32.1" customHeight="1">
      <c r="A63" s="419" t="s">
        <v>201</v>
      </c>
      <c r="B63" s="494" t="s">
        <v>889</v>
      </c>
      <c r="C63" s="494" t="s">
        <v>890</v>
      </c>
      <c r="D63" s="119">
        <v>28</v>
      </c>
      <c r="E63" s="79"/>
      <c r="F63" s="79"/>
      <c r="G63" s="79"/>
      <c r="H63" s="79"/>
      <c r="I63" s="79"/>
      <c r="J63" s="79"/>
      <c r="K63" s="79"/>
      <c r="L63" s="79">
        <v>97.3</v>
      </c>
      <c r="M63" s="79"/>
      <c r="N63" s="79"/>
      <c r="O63" s="79"/>
      <c r="P63" s="79"/>
      <c r="Q63" s="79">
        <f t="shared" si="5"/>
        <v>97.3</v>
      </c>
      <c r="R63" s="144" t="str">
        <f t="shared" si="6"/>
        <v>NO</v>
      </c>
      <c r="S63" s="454" t="str">
        <f t="shared" si="2"/>
        <v>Inviable Sanitariamente</v>
      </c>
      <c r="T63" s="1"/>
    </row>
    <row r="64" spans="1:20" s="311" customFormat="1" ht="32.1" customHeight="1">
      <c r="A64" s="419" t="s">
        <v>201</v>
      </c>
      <c r="B64" s="419" t="s">
        <v>891</v>
      </c>
      <c r="C64" s="498" t="s">
        <v>892</v>
      </c>
      <c r="D64" s="119">
        <v>60</v>
      </c>
      <c r="E64" s="79"/>
      <c r="F64" s="79">
        <v>97.3</v>
      </c>
      <c r="G64" s="79"/>
      <c r="H64" s="79"/>
      <c r="I64" s="79"/>
      <c r="J64" s="79"/>
      <c r="K64" s="79"/>
      <c r="L64" s="79"/>
      <c r="M64" s="79"/>
      <c r="N64" s="79"/>
      <c r="O64" s="79"/>
      <c r="P64" s="79"/>
      <c r="Q64" s="79">
        <f t="shared" ref="Q64" si="7">AVERAGE(E64:P64)</f>
        <v>97.3</v>
      </c>
      <c r="R64" s="144" t="str">
        <f t="shared" ref="R64" si="8">IF(Q64&lt;5,"SI","NO")</f>
        <v>NO</v>
      </c>
      <c r="S64" s="454" t="str">
        <f t="shared" ref="S64" si="9">IF(Q64&lt;5,"Sin Riesgo",IF(Q64 &lt;=14,"Bajo",IF(Q64&lt;=35,"Medio",IF(Q64&lt;=80,"Alto","Inviable Sanitariamente"))))</f>
        <v>Inviable Sanitariamente</v>
      </c>
      <c r="T64" s="1"/>
    </row>
    <row r="65" spans="1:20" ht="32.1" customHeight="1">
      <c r="A65" s="419" t="s">
        <v>201</v>
      </c>
      <c r="B65" s="419"/>
      <c r="C65" s="498" t="s">
        <v>4497</v>
      </c>
      <c r="D65" s="119">
        <v>38</v>
      </c>
      <c r="E65" s="79"/>
      <c r="F65" s="79"/>
      <c r="G65" s="79"/>
      <c r="H65" s="79"/>
      <c r="I65" s="79"/>
      <c r="J65" s="79"/>
      <c r="K65" s="79"/>
      <c r="L65" s="79">
        <v>97.3</v>
      </c>
      <c r="M65" s="79"/>
      <c r="N65" s="79"/>
      <c r="O65" s="79"/>
      <c r="P65" s="79"/>
      <c r="Q65" s="79">
        <f t="shared" si="5"/>
        <v>97.3</v>
      </c>
      <c r="R65" s="144" t="str">
        <f t="shared" si="6"/>
        <v>NO</v>
      </c>
      <c r="S65" s="454" t="str">
        <f t="shared" si="2"/>
        <v>Inviable Sanitariamente</v>
      </c>
      <c r="T65" s="1"/>
    </row>
    <row r="66" spans="1:20" ht="32.1" customHeight="1">
      <c r="A66" s="419" t="s">
        <v>7</v>
      </c>
      <c r="B66" s="495" t="s">
        <v>8</v>
      </c>
      <c r="C66" s="495" t="s">
        <v>893</v>
      </c>
      <c r="D66" s="142">
        <v>28</v>
      </c>
      <c r="E66" s="79"/>
      <c r="F66" s="79"/>
      <c r="G66" s="79"/>
      <c r="H66" s="79"/>
      <c r="I66" s="79"/>
      <c r="J66" s="79"/>
      <c r="K66" s="79"/>
      <c r="L66" s="79">
        <v>53</v>
      </c>
      <c r="M66" s="79"/>
      <c r="N66" s="79"/>
      <c r="O66" s="79"/>
      <c r="P66" s="79"/>
      <c r="Q66" s="79">
        <f t="shared" si="5"/>
        <v>53</v>
      </c>
      <c r="R66" s="144" t="str">
        <f t="shared" si="6"/>
        <v>NO</v>
      </c>
      <c r="S66" s="454" t="str">
        <f t="shared" si="2"/>
        <v>Alto</v>
      </c>
      <c r="T66" s="1"/>
    </row>
    <row r="67" spans="1:20" ht="32.1" customHeight="1">
      <c r="A67" s="419" t="s">
        <v>7</v>
      </c>
      <c r="B67" s="495" t="s">
        <v>894</v>
      </c>
      <c r="C67" s="495" t="s">
        <v>895</v>
      </c>
      <c r="D67" s="142">
        <v>25</v>
      </c>
      <c r="E67" s="79"/>
      <c r="F67" s="79"/>
      <c r="G67" s="79">
        <v>97</v>
      </c>
      <c r="H67" s="79"/>
      <c r="I67" s="79"/>
      <c r="J67" s="79"/>
      <c r="K67" s="79"/>
      <c r="L67" s="79"/>
      <c r="M67" s="79"/>
      <c r="N67" s="79"/>
      <c r="O67" s="79"/>
      <c r="P67" s="79"/>
      <c r="Q67" s="79">
        <f t="shared" si="5"/>
        <v>97</v>
      </c>
      <c r="R67" s="144" t="str">
        <f t="shared" si="6"/>
        <v>NO</v>
      </c>
      <c r="S67" s="454" t="str">
        <f t="shared" si="2"/>
        <v>Inviable Sanitariamente</v>
      </c>
      <c r="T67" s="1"/>
    </row>
    <row r="68" spans="1:20" ht="32.1" customHeight="1">
      <c r="A68" s="419" t="s">
        <v>7</v>
      </c>
      <c r="B68" s="495" t="s">
        <v>896</v>
      </c>
      <c r="C68" s="495" t="s">
        <v>897</v>
      </c>
      <c r="D68" s="142">
        <v>17</v>
      </c>
      <c r="E68" s="79"/>
      <c r="F68" s="79"/>
      <c r="G68" s="79">
        <v>77</v>
      </c>
      <c r="H68" s="79"/>
      <c r="I68" s="79"/>
      <c r="J68" s="79"/>
      <c r="K68" s="79"/>
      <c r="L68" s="79">
        <v>77</v>
      </c>
      <c r="M68" s="79"/>
      <c r="N68" s="79"/>
      <c r="O68" s="79"/>
      <c r="P68" s="79"/>
      <c r="Q68" s="79">
        <f t="shared" si="5"/>
        <v>77</v>
      </c>
      <c r="R68" s="144" t="str">
        <f t="shared" si="6"/>
        <v>NO</v>
      </c>
      <c r="S68" s="454" t="str">
        <f t="shared" si="2"/>
        <v>Alto</v>
      </c>
      <c r="T68" s="1"/>
    </row>
    <row r="69" spans="1:20" ht="32.1" customHeight="1">
      <c r="A69" s="419" t="s">
        <v>7</v>
      </c>
      <c r="B69" s="495" t="s">
        <v>898</v>
      </c>
      <c r="C69" s="495" t="s">
        <v>899</v>
      </c>
      <c r="D69" s="142">
        <v>38</v>
      </c>
      <c r="E69" s="79"/>
      <c r="F69" s="79"/>
      <c r="G69" s="79"/>
      <c r="H69" s="79"/>
      <c r="I69" s="79"/>
      <c r="J69" s="79"/>
      <c r="K69" s="79"/>
      <c r="L69" s="79">
        <v>97</v>
      </c>
      <c r="M69" s="79"/>
      <c r="N69" s="79"/>
      <c r="O69" s="79"/>
      <c r="P69" s="79"/>
      <c r="Q69" s="79">
        <f t="shared" si="5"/>
        <v>97</v>
      </c>
      <c r="R69" s="144" t="str">
        <f t="shared" si="6"/>
        <v>NO</v>
      </c>
      <c r="S69" s="454" t="str">
        <f t="shared" si="2"/>
        <v>Inviable Sanitariamente</v>
      </c>
      <c r="T69" s="1"/>
    </row>
    <row r="70" spans="1:20" ht="32.1" customHeight="1">
      <c r="A70" s="419" t="s">
        <v>7</v>
      </c>
      <c r="B70" s="495" t="s">
        <v>900</v>
      </c>
      <c r="C70" s="495" t="s">
        <v>901</v>
      </c>
      <c r="D70" s="142">
        <v>317</v>
      </c>
      <c r="E70" s="79"/>
      <c r="F70" s="79"/>
      <c r="G70" s="79"/>
      <c r="H70" s="79">
        <v>97.9</v>
      </c>
      <c r="I70" s="79"/>
      <c r="J70" s="79"/>
      <c r="K70" s="79"/>
      <c r="L70" s="79"/>
      <c r="M70" s="79"/>
      <c r="N70" s="79"/>
      <c r="O70" s="79"/>
      <c r="P70" s="79">
        <v>97.7</v>
      </c>
      <c r="Q70" s="79">
        <f t="shared" si="5"/>
        <v>97.800000000000011</v>
      </c>
      <c r="R70" s="144" t="str">
        <f t="shared" si="6"/>
        <v>NO</v>
      </c>
      <c r="S70" s="454" t="str">
        <f t="shared" si="2"/>
        <v>Inviable Sanitariamente</v>
      </c>
      <c r="T70" s="1"/>
    </row>
    <row r="71" spans="1:20" ht="32.1" customHeight="1">
      <c r="A71" s="419" t="s">
        <v>7</v>
      </c>
      <c r="B71" s="495" t="s">
        <v>902</v>
      </c>
      <c r="C71" s="495" t="s">
        <v>903</v>
      </c>
      <c r="D71" s="142">
        <v>55</v>
      </c>
      <c r="E71" s="79"/>
      <c r="F71" s="79"/>
      <c r="G71" s="79">
        <v>97</v>
      </c>
      <c r="H71" s="79"/>
      <c r="I71" s="79"/>
      <c r="J71" s="79"/>
      <c r="K71" s="79"/>
      <c r="L71" s="79"/>
      <c r="M71" s="79"/>
      <c r="N71" s="79"/>
      <c r="O71" s="79"/>
      <c r="P71" s="79">
        <v>97.3</v>
      </c>
      <c r="Q71" s="79">
        <f t="shared" si="5"/>
        <v>97.15</v>
      </c>
      <c r="R71" s="144" t="str">
        <f t="shared" si="6"/>
        <v>NO</v>
      </c>
      <c r="S71" s="454" t="str">
        <f t="shared" si="2"/>
        <v>Inviable Sanitariamente</v>
      </c>
      <c r="T71" s="1"/>
    </row>
    <row r="72" spans="1:20" ht="32.1" customHeight="1">
      <c r="A72" s="419" t="s">
        <v>7</v>
      </c>
      <c r="B72" s="495" t="s">
        <v>904</v>
      </c>
      <c r="C72" s="495" t="s">
        <v>905</v>
      </c>
      <c r="D72" s="142">
        <v>22</v>
      </c>
      <c r="E72" s="79"/>
      <c r="F72" s="79">
        <v>41.9</v>
      </c>
      <c r="G72" s="79"/>
      <c r="H72" s="79"/>
      <c r="I72" s="79"/>
      <c r="J72" s="79"/>
      <c r="K72" s="79"/>
      <c r="L72" s="79"/>
      <c r="M72" s="79">
        <v>76.900000000000006</v>
      </c>
      <c r="N72" s="79"/>
      <c r="O72" s="79"/>
      <c r="P72" s="79"/>
      <c r="Q72" s="79">
        <f t="shared" si="5"/>
        <v>59.400000000000006</v>
      </c>
      <c r="R72" s="144" t="str">
        <f t="shared" si="6"/>
        <v>NO</v>
      </c>
      <c r="S72" s="454" t="str">
        <f t="shared" si="2"/>
        <v>Alto</v>
      </c>
      <c r="T72" s="2"/>
    </row>
    <row r="73" spans="1:20" ht="32.1" customHeight="1">
      <c r="A73" s="419" t="s">
        <v>7</v>
      </c>
      <c r="B73" s="495" t="s">
        <v>906</v>
      </c>
      <c r="C73" s="495" t="s">
        <v>907</v>
      </c>
      <c r="D73" s="143">
        <v>32</v>
      </c>
      <c r="E73" s="79"/>
      <c r="F73" s="79">
        <v>76.900000000000006</v>
      </c>
      <c r="G73" s="79"/>
      <c r="H73" s="79"/>
      <c r="I73" s="79"/>
      <c r="J73" s="79"/>
      <c r="K73" s="79"/>
      <c r="L73" s="79">
        <v>97</v>
      </c>
      <c r="M73" s="79"/>
      <c r="N73" s="79"/>
      <c r="O73" s="79"/>
      <c r="P73" s="79"/>
      <c r="Q73" s="79">
        <f t="shared" si="5"/>
        <v>86.95</v>
      </c>
      <c r="R73" s="144" t="str">
        <f t="shared" si="6"/>
        <v>NO</v>
      </c>
      <c r="S73" s="454" t="str">
        <f t="shared" si="2"/>
        <v>Inviable Sanitariamente</v>
      </c>
      <c r="T73" s="2"/>
    </row>
    <row r="74" spans="1:20" ht="32.1" customHeight="1">
      <c r="A74" s="419" t="s">
        <v>7</v>
      </c>
      <c r="B74" s="495" t="s">
        <v>908</v>
      </c>
      <c r="C74" s="495" t="s">
        <v>909</v>
      </c>
      <c r="D74" s="142">
        <v>27</v>
      </c>
      <c r="E74" s="79"/>
      <c r="F74" s="79"/>
      <c r="G74" s="79"/>
      <c r="H74" s="79"/>
      <c r="I74" s="79"/>
      <c r="J74" s="79">
        <v>76.900000000000006</v>
      </c>
      <c r="K74" s="79"/>
      <c r="L74" s="79"/>
      <c r="M74" s="79"/>
      <c r="N74" s="79">
        <v>79</v>
      </c>
      <c r="O74" s="79"/>
      <c r="P74" s="79"/>
      <c r="Q74" s="79">
        <f t="shared" si="5"/>
        <v>77.95</v>
      </c>
      <c r="R74" s="144" t="str">
        <f t="shared" si="6"/>
        <v>NO</v>
      </c>
      <c r="S74" s="454" t="str">
        <f t="shared" si="2"/>
        <v>Alto</v>
      </c>
      <c r="T74" s="2"/>
    </row>
    <row r="75" spans="1:20" ht="32.1" customHeight="1">
      <c r="A75" s="419" t="s">
        <v>7</v>
      </c>
      <c r="B75" s="495" t="s">
        <v>910</v>
      </c>
      <c r="C75" s="495" t="s">
        <v>911</v>
      </c>
      <c r="D75" s="142">
        <v>237</v>
      </c>
      <c r="E75" s="79"/>
      <c r="F75" s="79">
        <v>0</v>
      </c>
      <c r="G75" s="79">
        <v>0</v>
      </c>
      <c r="H75" s="79"/>
      <c r="I75" s="79">
        <v>0</v>
      </c>
      <c r="J75" s="79"/>
      <c r="K75" s="79"/>
      <c r="L75" s="79"/>
      <c r="M75" s="79">
        <v>0</v>
      </c>
      <c r="N75" s="79">
        <v>0</v>
      </c>
      <c r="O75" s="79"/>
      <c r="P75" s="79"/>
      <c r="Q75" s="79">
        <f t="shared" si="5"/>
        <v>0</v>
      </c>
      <c r="R75" s="144" t="str">
        <f t="shared" si="6"/>
        <v>SI</v>
      </c>
      <c r="S75" s="454" t="str">
        <f t="shared" si="2"/>
        <v>Sin Riesgo</v>
      </c>
      <c r="T75" s="2"/>
    </row>
    <row r="76" spans="1:20" ht="32.1" customHeight="1">
      <c r="A76" s="419" t="s">
        <v>7</v>
      </c>
      <c r="B76" s="495" t="s">
        <v>912</v>
      </c>
      <c r="C76" s="495" t="s">
        <v>913</v>
      </c>
      <c r="D76" s="143">
        <v>59</v>
      </c>
      <c r="E76" s="79"/>
      <c r="F76" s="79">
        <v>0</v>
      </c>
      <c r="G76" s="79"/>
      <c r="H76" s="79"/>
      <c r="I76" s="79">
        <v>21</v>
      </c>
      <c r="J76" s="79"/>
      <c r="K76" s="79"/>
      <c r="L76" s="79"/>
      <c r="M76" s="79">
        <v>21</v>
      </c>
      <c r="N76" s="79"/>
      <c r="O76" s="79"/>
      <c r="P76" s="79"/>
      <c r="Q76" s="79">
        <f t="shared" si="5"/>
        <v>14</v>
      </c>
      <c r="R76" s="144" t="str">
        <f t="shared" si="6"/>
        <v>NO</v>
      </c>
      <c r="S76" s="454" t="str">
        <f t="shared" si="2"/>
        <v>Bajo</v>
      </c>
      <c r="T76" s="2"/>
    </row>
    <row r="77" spans="1:20" ht="32.1" customHeight="1">
      <c r="A77" s="419" t="s">
        <v>7</v>
      </c>
      <c r="B77" s="495" t="s">
        <v>10</v>
      </c>
      <c r="C77" s="495" t="s">
        <v>914</v>
      </c>
      <c r="D77" s="142">
        <v>57</v>
      </c>
      <c r="E77" s="79"/>
      <c r="F77" s="79"/>
      <c r="G77" s="79"/>
      <c r="H77" s="79">
        <v>76.92</v>
      </c>
      <c r="I77" s="79"/>
      <c r="J77" s="79"/>
      <c r="K77" s="79"/>
      <c r="L77" s="79"/>
      <c r="M77" s="79"/>
      <c r="N77" s="79">
        <v>76.900000000000006</v>
      </c>
      <c r="O77" s="79"/>
      <c r="P77" s="79"/>
      <c r="Q77" s="79">
        <f t="shared" si="5"/>
        <v>76.91</v>
      </c>
      <c r="R77" s="144" t="str">
        <f t="shared" si="6"/>
        <v>NO</v>
      </c>
      <c r="S77" s="454" t="str">
        <f t="shared" ref="S77:S123" si="10">IF(Q77&lt;5,"Sin Riesgo",IF(Q77 &lt;=14,"Bajo",IF(Q77&lt;=35,"Medio",IF(Q77&lt;=80,"Alto","Inviable Sanitariamente"))))</f>
        <v>Alto</v>
      </c>
      <c r="T77" s="2"/>
    </row>
    <row r="78" spans="1:20" ht="32.1" customHeight="1">
      <c r="A78" s="419" t="s">
        <v>7</v>
      </c>
      <c r="B78" s="495" t="s">
        <v>915</v>
      </c>
      <c r="C78" s="495" t="s">
        <v>916</v>
      </c>
      <c r="D78" s="142">
        <v>34</v>
      </c>
      <c r="E78" s="79"/>
      <c r="F78" s="79"/>
      <c r="G78" s="79">
        <v>97.9</v>
      </c>
      <c r="H78" s="79"/>
      <c r="I78" s="79"/>
      <c r="J78" s="79">
        <v>98</v>
      </c>
      <c r="K78" s="79"/>
      <c r="L78" s="79"/>
      <c r="M78" s="79"/>
      <c r="N78" s="79"/>
      <c r="O78" s="79"/>
      <c r="P78" s="79"/>
      <c r="Q78" s="79">
        <f t="shared" si="5"/>
        <v>97.95</v>
      </c>
      <c r="R78" s="144" t="str">
        <f t="shared" si="6"/>
        <v>NO</v>
      </c>
      <c r="S78" s="454" t="str">
        <f t="shared" si="10"/>
        <v>Inviable Sanitariamente</v>
      </c>
      <c r="T78" s="2"/>
    </row>
    <row r="79" spans="1:20" ht="32.1" customHeight="1">
      <c r="A79" s="419" t="s">
        <v>7</v>
      </c>
      <c r="B79" s="490" t="s">
        <v>917</v>
      </c>
      <c r="C79" s="490" t="s">
        <v>918</v>
      </c>
      <c r="D79" s="142">
        <v>44</v>
      </c>
      <c r="E79" s="79"/>
      <c r="F79" s="79"/>
      <c r="G79" s="79">
        <v>97.9</v>
      </c>
      <c r="H79" s="79"/>
      <c r="I79" s="79"/>
      <c r="J79" s="79"/>
      <c r="K79" s="79"/>
      <c r="L79" s="79">
        <v>76.900000000000006</v>
      </c>
      <c r="M79" s="79"/>
      <c r="N79" s="79"/>
      <c r="O79" s="79"/>
      <c r="P79" s="79"/>
      <c r="Q79" s="79">
        <f t="shared" si="5"/>
        <v>87.4</v>
      </c>
      <c r="R79" s="144" t="str">
        <f t="shared" si="6"/>
        <v>NO</v>
      </c>
      <c r="S79" s="454" t="str">
        <f t="shared" si="10"/>
        <v>Inviable Sanitariamente</v>
      </c>
      <c r="T79" s="2"/>
    </row>
    <row r="80" spans="1:20" ht="32.1" customHeight="1">
      <c r="A80" s="419" t="s">
        <v>7</v>
      </c>
      <c r="B80" s="495" t="s">
        <v>919</v>
      </c>
      <c r="C80" s="495" t="s">
        <v>920</v>
      </c>
      <c r="D80" s="142">
        <v>6</v>
      </c>
      <c r="E80" s="79"/>
      <c r="F80" s="79">
        <v>0</v>
      </c>
      <c r="G80" s="79"/>
      <c r="H80" s="79">
        <v>41.9</v>
      </c>
      <c r="I80" s="79"/>
      <c r="J80" s="79"/>
      <c r="K80" s="79">
        <v>76.900000000000006</v>
      </c>
      <c r="L80" s="79"/>
      <c r="M80" s="79"/>
      <c r="N80" s="79"/>
      <c r="O80" s="79">
        <v>0</v>
      </c>
      <c r="P80" s="79"/>
      <c r="Q80" s="79">
        <f t="shared" si="5"/>
        <v>29.700000000000003</v>
      </c>
      <c r="R80" s="144" t="str">
        <f t="shared" si="6"/>
        <v>NO</v>
      </c>
      <c r="S80" s="454" t="str">
        <f t="shared" si="10"/>
        <v>Medio</v>
      </c>
      <c r="T80" s="2"/>
    </row>
    <row r="81" spans="1:20" ht="32.1" customHeight="1">
      <c r="A81" s="419" t="s">
        <v>7</v>
      </c>
      <c r="B81" s="495" t="s">
        <v>921</v>
      </c>
      <c r="C81" s="495" t="s">
        <v>922</v>
      </c>
      <c r="D81" s="142">
        <v>345</v>
      </c>
      <c r="E81" s="79">
        <v>0</v>
      </c>
      <c r="F81" s="79"/>
      <c r="G81" s="79">
        <v>21</v>
      </c>
      <c r="H81" s="79"/>
      <c r="I81" s="79"/>
      <c r="J81" s="79">
        <v>21</v>
      </c>
      <c r="K81" s="79"/>
      <c r="L81" s="79">
        <v>21</v>
      </c>
      <c r="M81" s="79"/>
      <c r="N81" s="79"/>
      <c r="O81" s="79"/>
      <c r="P81" s="79">
        <v>0</v>
      </c>
      <c r="Q81" s="79">
        <f t="shared" si="5"/>
        <v>12.6</v>
      </c>
      <c r="R81" s="144" t="str">
        <f t="shared" si="6"/>
        <v>NO</v>
      </c>
      <c r="S81" s="454" t="str">
        <f t="shared" si="10"/>
        <v>Bajo</v>
      </c>
      <c r="T81" s="2"/>
    </row>
    <row r="82" spans="1:20" ht="32.1" customHeight="1">
      <c r="A82" s="419" t="s">
        <v>7</v>
      </c>
      <c r="B82" s="495" t="s">
        <v>923</v>
      </c>
      <c r="C82" s="495" t="s">
        <v>924</v>
      </c>
      <c r="D82" s="119">
        <v>190</v>
      </c>
      <c r="E82" s="79">
        <v>0</v>
      </c>
      <c r="F82" s="79"/>
      <c r="G82" s="79"/>
      <c r="H82" s="79">
        <v>0</v>
      </c>
      <c r="I82" s="79"/>
      <c r="J82" s="79"/>
      <c r="K82" s="79">
        <v>0</v>
      </c>
      <c r="L82" s="79"/>
      <c r="M82" s="79"/>
      <c r="N82" s="79"/>
      <c r="O82" s="79">
        <v>0</v>
      </c>
      <c r="P82" s="79"/>
      <c r="Q82" s="79">
        <f t="shared" si="5"/>
        <v>0</v>
      </c>
      <c r="R82" s="144" t="str">
        <f t="shared" si="6"/>
        <v>SI</v>
      </c>
      <c r="S82" s="454" t="str">
        <f t="shared" si="10"/>
        <v>Sin Riesgo</v>
      </c>
      <c r="T82" s="2"/>
    </row>
    <row r="83" spans="1:20" ht="32.1" customHeight="1">
      <c r="A83" s="419" t="s">
        <v>202</v>
      </c>
      <c r="B83" s="494" t="s">
        <v>925</v>
      </c>
      <c r="C83" s="495" t="s">
        <v>926</v>
      </c>
      <c r="D83" s="119">
        <v>584</v>
      </c>
      <c r="E83" s="79"/>
      <c r="F83" s="79"/>
      <c r="G83" s="79">
        <v>70.8</v>
      </c>
      <c r="H83" s="79"/>
      <c r="I83" s="79">
        <v>97.3</v>
      </c>
      <c r="J83" s="79">
        <v>97.3</v>
      </c>
      <c r="K83" s="79">
        <v>53.1</v>
      </c>
      <c r="L83" s="79"/>
      <c r="M83" s="79">
        <v>26.5</v>
      </c>
      <c r="N83" s="79"/>
      <c r="O83" s="79"/>
      <c r="P83" s="79">
        <v>70.8</v>
      </c>
      <c r="Q83" s="79">
        <f t="shared" si="5"/>
        <v>69.3</v>
      </c>
      <c r="R83" s="144" t="str">
        <f t="shared" si="6"/>
        <v>NO</v>
      </c>
      <c r="S83" s="454" t="str">
        <f t="shared" si="10"/>
        <v>Alto</v>
      </c>
      <c r="T83" s="2"/>
    </row>
    <row r="84" spans="1:20" ht="32.1" customHeight="1">
      <c r="A84" s="419" t="s">
        <v>202</v>
      </c>
      <c r="B84" s="495" t="s">
        <v>927</v>
      </c>
      <c r="C84" s="495" t="s">
        <v>928</v>
      </c>
      <c r="D84" s="119">
        <v>67</v>
      </c>
      <c r="E84" s="79">
        <v>97.3</v>
      </c>
      <c r="F84" s="79"/>
      <c r="G84" s="79"/>
      <c r="H84" s="79"/>
      <c r="I84" s="79"/>
      <c r="J84" s="79"/>
      <c r="K84" s="79"/>
      <c r="L84" s="79"/>
      <c r="M84" s="79"/>
      <c r="N84" s="79"/>
      <c r="O84" s="79"/>
      <c r="P84" s="79"/>
      <c r="Q84" s="79">
        <f t="shared" si="5"/>
        <v>97.3</v>
      </c>
      <c r="R84" s="144" t="str">
        <f t="shared" si="6"/>
        <v>NO</v>
      </c>
      <c r="S84" s="454" t="str">
        <f t="shared" si="10"/>
        <v>Inviable Sanitariamente</v>
      </c>
      <c r="T84" s="2"/>
    </row>
    <row r="85" spans="1:20" ht="32.1" customHeight="1">
      <c r="A85" s="419" t="s">
        <v>202</v>
      </c>
      <c r="B85" s="495" t="s">
        <v>929</v>
      </c>
      <c r="C85" s="495" t="s">
        <v>930</v>
      </c>
      <c r="D85" s="148">
        <v>115</v>
      </c>
      <c r="E85" s="79"/>
      <c r="F85" s="79"/>
      <c r="G85" s="79"/>
      <c r="H85" s="79"/>
      <c r="I85" s="79"/>
      <c r="J85" s="79">
        <v>97</v>
      </c>
      <c r="K85" s="79"/>
      <c r="L85" s="79"/>
      <c r="M85" s="79"/>
      <c r="N85" s="79"/>
      <c r="O85" s="79"/>
      <c r="P85" s="79"/>
      <c r="Q85" s="79">
        <f t="shared" si="5"/>
        <v>97</v>
      </c>
      <c r="R85" s="144" t="str">
        <f t="shared" si="6"/>
        <v>NO</v>
      </c>
      <c r="S85" s="454" t="str">
        <f t="shared" si="10"/>
        <v>Inviable Sanitariamente</v>
      </c>
      <c r="T85" s="2"/>
    </row>
    <row r="86" spans="1:20" ht="32.1" customHeight="1">
      <c r="A86" s="419" t="s">
        <v>202</v>
      </c>
      <c r="B86" s="495" t="s">
        <v>931</v>
      </c>
      <c r="C86" s="495" t="s">
        <v>932</v>
      </c>
      <c r="D86" s="119">
        <v>2500</v>
      </c>
      <c r="E86" s="79">
        <v>0</v>
      </c>
      <c r="F86" s="79">
        <v>0</v>
      </c>
      <c r="G86" s="79">
        <v>0</v>
      </c>
      <c r="H86" s="79">
        <v>32.4</v>
      </c>
      <c r="I86" s="79">
        <v>0.88</v>
      </c>
      <c r="J86" s="79">
        <v>1.24</v>
      </c>
      <c r="K86" s="79"/>
      <c r="L86" s="79"/>
      <c r="M86" s="79"/>
      <c r="N86" s="79">
        <v>0</v>
      </c>
      <c r="O86" s="79">
        <v>0</v>
      </c>
      <c r="P86" s="79"/>
      <c r="Q86" s="79">
        <f t="shared" si="5"/>
        <v>4.3150000000000004</v>
      </c>
      <c r="R86" s="144" t="str">
        <f t="shared" si="6"/>
        <v>SI</v>
      </c>
      <c r="S86" s="454" t="str">
        <f t="shared" si="10"/>
        <v>Sin Riesgo</v>
      </c>
      <c r="T86" s="2"/>
    </row>
    <row r="87" spans="1:20" ht="32.1" customHeight="1">
      <c r="A87" s="419" t="s">
        <v>202</v>
      </c>
      <c r="B87" s="495" t="s">
        <v>933</v>
      </c>
      <c r="C87" s="495" t="s">
        <v>934</v>
      </c>
      <c r="D87" s="119">
        <v>35</v>
      </c>
      <c r="E87" s="79"/>
      <c r="F87" s="79"/>
      <c r="G87" s="79"/>
      <c r="H87" s="79"/>
      <c r="I87" s="79"/>
      <c r="J87" s="79">
        <v>97</v>
      </c>
      <c r="K87" s="79"/>
      <c r="L87" s="79"/>
      <c r="M87" s="79"/>
      <c r="N87" s="79"/>
      <c r="O87" s="79"/>
      <c r="P87" s="79"/>
      <c r="Q87" s="79">
        <f t="shared" si="5"/>
        <v>97</v>
      </c>
      <c r="R87" s="144" t="str">
        <f t="shared" si="6"/>
        <v>NO</v>
      </c>
      <c r="S87" s="454" t="str">
        <f t="shared" si="10"/>
        <v>Inviable Sanitariamente</v>
      </c>
      <c r="T87" s="2"/>
    </row>
    <row r="88" spans="1:20" ht="32.1" customHeight="1">
      <c r="A88" s="419" t="s">
        <v>202</v>
      </c>
      <c r="B88" s="495" t="s">
        <v>935</v>
      </c>
      <c r="C88" s="495" t="s">
        <v>936</v>
      </c>
      <c r="D88" s="119">
        <v>40</v>
      </c>
      <c r="E88" s="79">
        <v>100</v>
      </c>
      <c r="F88" s="79"/>
      <c r="G88" s="79"/>
      <c r="H88" s="79"/>
      <c r="I88" s="79"/>
      <c r="J88" s="79"/>
      <c r="K88" s="79"/>
      <c r="L88" s="79"/>
      <c r="M88" s="79"/>
      <c r="N88" s="79">
        <v>97</v>
      </c>
      <c r="O88" s="79"/>
      <c r="P88" s="79"/>
      <c r="Q88" s="79">
        <f t="shared" si="5"/>
        <v>98.5</v>
      </c>
      <c r="R88" s="144" t="str">
        <f t="shared" si="6"/>
        <v>NO</v>
      </c>
      <c r="S88" s="454" t="str">
        <f t="shared" si="10"/>
        <v>Inviable Sanitariamente</v>
      </c>
      <c r="T88" s="2"/>
    </row>
    <row r="89" spans="1:20" ht="32.1" customHeight="1">
      <c r="A89" s="419" t="s">
        <v>202</v>
      </c>
      <c r="B89" s="495" t="s">
        <v>937</v>
      </c>
      <c r="C89" s="495" t="s">
        <v>938</v>
      </c>
      <c r="D89" s="119">
        <v>103</v>
      </c>
      <c r="E89" s="79">
        <v>100</v>
      </c>
      <c r="F89" s="79"/>
      <c r="G89" s="79"/>
      <c r="H89" s="79"/>
      <c r="I89" s="79"/>
      <c r="J89" s="79"/>
      <c r="K89" s="79"/>
      <c r="L89" s="79"/>
      <c r="M89" s="79">
        <v>97</v>
      </c>
      <c r="N89" s="79"/>
      <c r="O89" s="79"/>
      <c r="P89" s="79"/>
      <c r="Q89" s="79">
        <f t="shared" si="5"/>
        <v>98.5</v>
      </c>
      <c r="R89" s="144" t="str">
        <f t="shared" si="6"/>
        <v>NO</v>
      </c>
      <c r="S89" s="454" t="str">
        <f t="shared" si="10"/>
        <v>Inviable Sanitariamente</v>
      </c>
      <c r="T89" s="2"/>
    </row>
    <row r="90" spans="1:20" ht="32.1" customHeight="1">
      <c r="A90" s="419" t="s">
        <v>202</v>
      </c>
      <c r="B90" s="495" t="s">
        <v>939</v>
      </c>
      <c r="C90" s="495" t="s">
        <v>940</v>
      </c>
      <c r="D90" s="114"/>
      <c r="E90" s="79"/>
      <c r="F90" s="79"/>
      <c r="G90" s="79"/>
      <c r="H90" s="79"/>
      <c r="I90" s="79"/>
      <c r="J90" s="79"/>
      <c r="K90" s="79"/>
      <c r="L90" s="79"/>
      <c r="M90" s="79"/>
      <c r="N90" s="79"/>
      <c r="O90" s="79"/>
      <c r="P90" s="79"/>
      <c r="Q90" s="79" t="e">
        <f t="shared" si="5"/>
        <v>#DIV/0!</v>
      </c>
      <c r="R90" s="144" t="e">
        <f t="shared" si="6"/>
        <v>#DIV/0!</v>
      </c>
      <c r="S90" s="454" t="e">
        <f t="shared" si="10"/>
        <v>#DIV/0!</v>
      </c>
      <c r="T90" s="2"/>
    </row>
    <row r="91" spans="1:20" ht="32.1" customHeight="1">
      <c r="A91" s="419" t="s">
        <v>202</v>
      </c>
      <c r="B91" s="495" t="s">
        <v>631</v>
      </c>
      <c r="C91" s="490" t="s">
        <v>941</v>
      </c>
      <c r="D91" s="119">
        <v>320</v>
      </c>
      <c r="E91" s="79"/>
      <c r="F91" s="79">
        <v>0</v>
      </c>
      <c r="G91" s="79"/>
      <c r="H91" s="79">
        <v>0</v>
      </c>
      <c r="I91" s="79">
        <v>0</v>
      </c>
      <c r="J91" s="79"/>
      <c r="K91" s="79"/>
      <c r="L91" s="79"/>
      <c r="M91" s="79"/>
      <c r="N91" s="79"/>
      <c r="O91" s="79"/>
      <c r="P91" s="79"/>
      <c r="Q91" s="79">
        <f t="shared" si="5"/>
        <v>0</v>
      </c>
      <c r="R91" s="144" t="str">
        <f t="shared" si="6"/>
        <v>SI</v>
      </c>
      <c r="S91" s="454" t="str">
        <f t="shared" si="10"/>
        <v>Sin Riesgo</v>
      </c>
      <c r="T91" s="2"/>
    </row>
    <row r="92" spans="1:20" ht="32.1" customHeight="1">
      <c r="A92" s="419" t="s">
        <v>202</v>
      </c>
      <c r="B92" s="495" t="s">
        <v>942</v>
      </c>
      <c r="C92" s="490" t="s">
        <v>943</v>
      </c>
      <c r="D92" s="119">
        <v>65</v>
      </c>
      <c r="E92" s="79"/>
      <c r="F92" s="79"/>
      <c r="G92" s="79"/>
      <c r="H92" s="79"/>
      <c r="I92" s="79"/>
      <c r="J92" s="79">
        <v>97.3</v>
      </c>
      <c r="K92" s="79"/>
      <c r="L92" s="79"/>
      <c r="M92" s="79"/>
      <c r="N92" s="79"/>
      <c r="O92" s="79"/>
      <c r="P92" s="79"/>
      <c r="Q92" s="79">
        <f t="shared" si="5"/>
        <v>97.3</v>
      </c>
      <c r="R92" s="144" t="str">
        <f t="shared" si="6"/>
        <v>NO</v>
      </c>
      <c r="S92" s="454" t="str">
        <f t="shared" si="10"/>
        <v>Inviable Sanitariamente</v>
      </c>
      <c r="T92" s="2"/>
    </row>
    <row r="93" spans="1:20" ht="32.1" customHeight="1">
      <c r="A93" s="419" t="s">
        <v>202</v>
      </c>
      <c r="B93" s="495" t="s">
        <v>944</v>
      </c>
      <c r="C93" s="490" t="s">
        <v>945</v>
      </c>
      <c r="D93" s="114">
        <v>40</v>
      </c>
      <c r="E93" s="79"/>
      <c r="F93" s="79"/>
      <c r="G93" s="79"/>
      <c r="H93" s="79"/>
      <c r="I93" s="79"/>
      <c r="J93" s="79">
        <v>97.3</v>
      </c>
      <c r="K93" s="79"/>
      <c r="L93" s="79"/>
      <c r="M93" s="79"/>
      <c r="N93" s="79"/>
      <c r="O93" s="79"/>
      <c r="P93" s="79"/>
      <c r="Q93" s="79">
        <f t="shared" si="5"/>
        <v>97.3</v>
      </c>
      <c r="R93" s="144" t="str">
        <f t="shared" si="6"/>
        <v>NO</v>
      </c>
      <c r="S93" s="454" t="str">
        <f t="shared" si="10"/>
        <v>Inviable Sanitariamente</v>
      </c>
      <c r="T93" s="2"/>
    </row>
    <row r="94" spans="1:20" ht="32.1" customHeight="1">
      <c r="A94" s="419" t="s">
        <v>202</v>
      </c>
      <c r="B94" s="419" t="s">
        <v>4498</v>
      </c>
      <c r="C94" s="499" t="s">
        <v>4499</v>
      </c>
      <c r="D94" s="119">
        <v>90</v>
      </c>
      <c r="E94" s="79"/>
      <c r="F94" s="79"/>
      <c r="G94" s="79"/>
      <c r="H94" s="79"/>
      <c r="I94" s="79">
        <v>97.3</v>
      </c>
      <c r="J94" s="79"/>
      <c r="K94" s="79"/>
      <c r="L94" s="79"/>
      <c r="M94" s="79"/>
      <c r="N94" s="79"/>
      <c r="O94" s="79"/>
      <c r="P94" s="79"/>
      <c r="Q94" s="79">
        <f t="shared" si="5"/>
        <v>97.3</v>
      </c>
      <c r="R94" s="144" t="str">
        <f t="shared" si="6"/>
        <v>NO</v>
      </c>
      <c r="S94" s="454" t="str">
        <f t="shared" si="10"/>
        <v>Inviable Sanitariamente</v>
      </c>
      <c r="T94" s="2"/>
    </row>
    <row r="95" spans="1:20" s="12" customFormat="1" ht="32.1" customHeight="1">
      <c r="A95" s="419" t="s">
        <v>4100</v>
      </c>
      <c r="B95" s="495" t="s">
        <v>946</v>
      </c>
      <c r="C95" s="495" t="s">
        <v>947</v>
      </c>
      <c r="D95" s="119">
        <v>79</v>
      </c>
      <c r="E95" s="79"/>
      <c r="F95" s="79"/>
      <c r="G95" s="79"/>
      <c r="H95" s="79"/>
      <c r="I95" s="79"/>
      <c r="J95" s="79">
        <v>53</v>
      </c>
      <c r="K95" s="79"/>
      <c r="L95" s="79"/>
      <c r="M95" s="79"/>
      <c r="N95" s="79"/>
      <c r="O95" s="79"/>
      <c r="P95" s="79"/>
      <c r="Q95" s="79">
        <f t="shared" ref="Q95:Q123" si="11">AVERAGE(E95:P95)</f>
        <v>53</v>
      </c>
      <c r="R95" s="144" t="str">
        <f t="shared" ref="R95:R123" si="12">IF(Q95&lt;5,"SI","NO")</f>
        <v>NO</v>
      </c>
      <c r="S95" s="454" t="str">
        <f t="shared" si="10"/>
        <v>Alto</v>
      </c>
      <c r="T95" s="1"/>
    </row>
    <row r="96" spans="1:20" s="12" customFormat="1" ht="32.1" customHeight="1">
      <c r="A96" s="419" t="s">
        <v>4100</v>
      </c>
      <c r="B96" s="495" t="s">
        <v>948</v>
      </c>
      <c r="C96" s="495" t="s">
        <v>949</v>
      </c>
      <c r="D96" s="119">
        <v>79</v>
      </c>
      <c r="E96" s="79"/>
      <c r="F96" s="79"/>
      <c r="G96" s="79"/>
      <c r="H96" s="79"/>
      <c r="I96" s="79"/>
      <c r="J96" s="79">
        <v>53</v>
      </c>
      <c r="K96" s="79"/>
      <c r="L96" s="79"/>
      <c r="M96" s="79"/>
      <c r="N96" s="79"/>
      <c r="O96" s="79"/>
      <c r="P96" s="79"/>
      <c r="Q96" s="79">
        <f t="shared" si="11"/>
        <v>53</v>
      </c>
      <c r="R96" s="144" t="str">
        <f t="shared" si="12"/>
        <v>NO</v>
      </c>
      <c r="S96" s="454" t="str">
        <f t="shared" si="10"/>
        <v>Alto</v>
      </c>
      <c r="T96" s="1"/>
    </row>
    <row r="97" spans="1:20" s="12" customFormat="1" ht="32.1" customHeight="1">
      <c r="A97" s="419" t="s">
        <v>4100</v>
      </c>
      <c r="B97" s="495" t="s">
        <v>950</v>
      </c>
      <c r="C97" s="495" t="s">
        <v>951</v>
      </c>
      <c r="D97" s="119">
        <v>80</v>
      </c>
      <c r="E97" s="79"/>
      <c r="F97" s="79"/>
      <c r="G97" s="79"/>
      <c r="H97" s="79"/>
      <c r="I97" s="79"/>
      <c r="J97" s="79">
        <v>53</v>
      </c>
      <c r="K97" s="79"/>
      <c r="L97" s="79"/>
      <c r="M97" s="79"/>
      <c r="N97" s="79"/>
      <c r="O97" s="79"/>
      <c r="P97" s="79"/>
      <c r="Q97" s="79">
        <f t="shared" si="11"/>
        <v>53</v>
      </c>
      <c r="R97" s="144" t="str">
        <f t="shared" si="12"/>
        <v>NO</v>
      </c>
      <c r="S97" s="454" t="str">
        <f t="shared" si="10"/>
        <v>Alto</v>
      </c>
      <c r="T97" s="1"/>
    </row>
    <row r="98" spans="1:20" s="12" customFormat="1" ht="32.1" customHeight="1">
      <c r="A98" s="419" t="s">
        <v>4100</v>
      </c>
      <c r="B98" s="495" t="s">
        <v>952</v>
      </c>
      <c r="C98" s="495" t="s">
        <v>953</v>
      </c>
      <c r="D98" s="119">
        <v>286</v>
      </c>
      <c r="E98" s="79"/>
      <c r="F98" s="79"/>
      <c r="G98" s="79">
        <v>0</v>
      </c>
      <c r="H98" s="79"/>
      <c r="I98" s="79"/>
      <c r="J98" s="79"/>
      <c r="K98" s="79"/>
      <c r="L98" s="79"/>
      <c r="M98" s="79"/>
      <c r="N98" s="79"/>
      <c r="O98" s="79">
        <v>0</v>
      </c>
      <c r="P98" s="79"/>
      <c r="Q98" s="79">
        <f t="shared" si="11"/>
        <v>0</v>
      </c>
      <c r="R98" s="144" t="str">
        <f t="shared" si="12"/>
        <v>SI</v>
      </c>
      <c r="S98" s="454" t="str">
        <f t="shared" si="10"/>
        <v>Sin Riesgo</v>
      </c>
      <c r="T98" s="1"/>
    </row>
    <row r="99" spans="1:20" s="121" customFormat="1" ht="32.1" customHeight="1">
      <c r="A99" s="419" t="s">
        <v>4101</v>
      </c>
      <c r="B99" s="494" t="s">
        <v>954</v>
      </c>
      <c r="C99" s="110" t="s">
        <v>955</v>
      </c>
      <c r="D99" s="149">
        <v>60</v>
      </c>
      <c r="E99" s="79"/>
      <c r="F99" s="79"/>
      <c r="G99" s="79"/>
      <c r="H99" s="79"/>
      <c r="I99" s="79"/>
      <c r="J99" s="79"/>
      <c r="K99" s="79"/>
      <c r="L99" s="79"/>
      <c r="M99" s="79">
        <v>90</v>
      </c>
      <c r="N99" s="79"/>
      <c r="O99" s="79"/>
      <c r="P99" s="79"/>
      <c r="Q99" s="79">
        <f t="shared" si="11"/>
        <v>90</v>
      </c>
      <c r="R99" s="144" t="str">
        <f t="shared" si="12"/>
        <v>NO</v>
      </c>
      <c r="S99" s="454" t="str">
        <f t="shared" si="10"/>
        <v>Inviable Sanitariamente</v>
      </c>
      <c r="T99" s="150"/>
    </row>
    <row r="100" spans="1:20" s="121" customFormat="1" ht="32.1" customHeight="1">
      <c r="A100" s="419" t="s">
        <v>4101</v>
      </c>
      <c r="B100" s="494" t="s">
        <v>956</v>
      </c>
      <c r="C100" s="494" t="s">
        <v>957</v>
      </c>
      <c r="D100" s="149">
        <v>30</v>
      </c>
      <c r="E100" s="79"/>
      <c r="F100" s="79"/>
      <c r="G100" s="79"/>
      <c r="H100" s="79"/>
      <c r="I100" s="79"/>
      <c r="J100" s="79"/>
      <c r="K100" s="79"/>
      <c r="L100" s="79">
        <v>88.8</v>
      </c>
      <c r="M100" s="79"/>
      <c r="N100" s="79"/>
      <c r="O100" s="79"/>
      <c r="P100" s="79"/>
      <c r="Q100" s="79">
        <f t="shared" si="11"/>
        <v>88.8</v>
      </c>
      <c r="R100" s="144" t="str">
        <f t="shared" si="12"/>
        <v>NO</v>
      </c>
      <c r="S100" s="454" t="str">
        <f t="shared" si="10"/>
        <v>Inviable Sanitariamente</v>
      </c>
      <c r="T100" s="150"/>
    </row>
    <row r="101" spans="1:20" s="121" customFormat="1" ht="32.1" customHeight="1">
      <c r="A101" s="419" t="s">
        <v>4101</v>
      </c>
      <c r="B101" s="494" t="s">
        <v>958</v>
      </c>
      <c r="C101" s="494" t="s">
        <v>959</v>
      </c>
      <c r="D101" s="149">
        <v>20</v>
      </c>
      <c r="E101" s="79"/>
      <c r="F101" s="79"/>
      <c r="G101" s="79"/>
      <c r="H101" s="79"/>
      <c r="I101" s="79"/>
      <c r="J101" s="79"/>
      <c r="K101" s="79"/>
      <c r="L101" s="79"/>
      <c r="M101" s="79"/>
      <c r="N101" s="79"/>
      <c r="O101" s="79"/>
      <c r="P101" s="79">
        <v>90.9</v>
      </c>
      <c r="Q101" s="79">
        <f t="shared" si="11"/>
        <v>90.9</v>
      </c>
      <c r="R101" s="144" t="str">
        <f t="shared" si="12"/>
        <v>NO</v>
      </c>
      <c r="S101" s="454" t="str">
        <f t="shared" si="10"/>
        <v>Inviable Sanitariamente</v>
      </c>
      <c r="T101" s="150"/>
    </row>
    <row r="102" spans="1:20" s="121" customFormat="1" ht="32.1" customHeight="1">
      <c r="A102" s="419" t="s">
        <v>4101</v>
      </c>
      <c r="B102" s="494" t="s">
        <v>960</v>
      </c>
      <c r="C102" s="494" t="s">
        <v>961</v>
      </c>
      <c r="D102" s="149">
        <v>20</v>
      </c>
      <c r="E102" s="79"/>
      <c r="F102" s="79"/>
      <c r="G102" s="79"/>
      <c r="H102" s="79"/>
      <c r="I102" s="79"/>
      <c r="J102" s="79"/>
      <c r="K102" s="79"/>
      <c r="L102" s="79"/>
      <c r="M102" s="79"/>
      <c r="N102" s="79"/>
      <c r="O102" s="79">
        <v>92.1</v>
      </c>
      <c r="P102" s="79"/>
      <c r="Q102" s="79">
        <f t="shared" si="11"/>
        <v>92.1</v>
      </c>
      <c r="R102" s="144" t="str">
        <f t="shared" si="12"/>
        <v>NO</v>
      </c>
      <c r="S102" s="454" t="str">
        <f t="shared" si="10"/>
        <v>Inviable Sanitariamente</v>
      </c>
      <c r="T102" s="150"/>
    </row>
    <row r="103" spans="1:20" s="121" customFormat="1" ht="32.1" customHeight="1">
      <c r="A103" s="419" t="s">
        <v>4101</v>
      </c>
      <c r="B103" s="494" t="s">
        <v>962</v>
      </c>
      <c r="C103" s="494" t="s">
        <v>963</v>
      </c>
      <c r="D103" s="149">
        <v>20</v>
      </c>
      <c r="E103" s="79"/>
      <c r="F103" s="79"/>
      <c r="G103" s="79"/>
      <c r="H103" s="79"/>
      <c r="I103" s="79"/>
      <c r="J103" s="79"/>
      <c r="K103" s="79"/>
      <c r="L103" s="79"/>
      <c r="M103" s="79"/>
      <c r="N103" s="79"/>
      <c r="O103" s="79"/>
      <c r="P103" s="79">
        <v>97</v>
      </c>
      <c r="Q103" s="79">
        <f t="shared" si="11"/>
        <v>97</v>
      </c>
      <c r="R103" s="144" t="str">
        <f t="shared" si="12"/>
        <v>NO</v>
      </c>
      <c r="S103" s="454" t="str">
        <f t="shared" si="10"/>
        <v>Inviable Sanitariamente</v>
      </c>
      <c r="T103" s="150"/>
    </row>
    <row r="104" spans="1:20" s="121" customFormat="1" ht="32.1" customHeight="1">
      <c r="A104" s="419" t="s">
        <v>4101</v>
      </c>
      <c r="B104" s="494" t="s">
        <v>964</v>
      </c>
      <c r="C104" s="494" t="s">
        <v>965</v>
      </c>
      <c r="D104" s="149">
        <v>30</v>
      </c>
      <c r="E104" s="79"/>
      <c r="F104" s="79"/>
      <c r="G104" s="79"/>
      <c r="H104" s="79"/>
      <c r="I104" s="79"/>
      <c r="J104" s="79"/>
      <c r="K104" s="79"/>
      <c r="L104" s="79"/>
      <c r="M104" s="79"/>
      <c r="N104" s="79">
        <v>93.3</v>
      </c>
      <c r="O104" s="79"/>
      <c r="P104" s="79"/>
      <c r="Q104" s="79">
        <f t="shared" si="11"/>
        <v>93.3</v>
      </c>
      <c r="R104" s="144" t="str">
        <f t="shared" si="12"/>
        <v>NO</v>
      </c>
      <c r="S104" s="454" t="str">
        <f t="shared" si="10"/>
        <v>Inviable Sanitariamente</v>
      </c>
      <c r="T104" s="150"/>
    </row>
    <row r="105" spans="1:20" s="121" customFormat="1" ht="32.1" customHeight="1">
      <c r="A105" s="419" t="s">
        <v>4101</v>
      </c>
      <c r="B105" s="494" t="s">
        <v>847</v>
      </c>
      <c r="C105" s="494" t="s">
        <v>966</v>
      </c>
      <c r="D105" s="149">
        <v>55</v>
      </c>
      <c r="E105" s="79"/>
      <c r="F105" s="79"/>
      <c r="G105" s="79">
        <v>90</v>
      </c>
      <c r="H105" s="79"/>
      <c r="I105" s="79"/>
      <c r="J105" s="79"/>
      <c r="K105" s="79"/>
      <c r="L105" s="79"/>
      <c r="M105" s="79"/>
      <c r="N105" s="79"/>
      <c r="O105" s="79"/>
      <c r="P105" s="79"/>
      <c r="Q105" s="79">
        <f t="shared" si="11"/>
        <v>90</v>
      </c>
      <c r="R105" s="144" t="str">
        <f t="shared" si="12"/>
        <v>NO</v>
      </c>
      <c r="S105" s="454" t="str">
        <f t="shared" si="10"/>
        <v>Inviable Sanitariamente</v>
      </c>
      <c r="T105" s="150"/>
    </row>
    <row r="106" spans="1:20" s="121" customFormat="1" ht="32.1" customHeight="1">
      <c r="A106" s="419" t="s">
        <v>4101</v>
      </c>
      <c r="B106" s="494" t="s">
        <v>967</v>
      </c>
      <c r="C106" s="494" t="s">
        <v>968</v>
      </c>
      <c r="D106" s="151">
        <v>60</v>
      </c>
      <c r="E106" s="79"/>
      <c r="F106" s="79"/>
      <c r="G106" s="79"/>
      <c r="H106" s="79"/>
      <c r="I106" s="79"/>
      <c r="J106" s="79"/>
      <c r="K106" s="79"/>
      <c r="L106" s="79"/>
      <c r="M106" s="79"/>
      <c r="N106" s="79"/>
      <c r="O106" s="79"/>
      <c r="P106" s="79"/>
      <c r="Q106" s="79" t="e">
        <f t="shared" si="11"/>
        <v>#DIV/0!</v>
      </c>
      <c r="R106" s="144" t="e">
        <f t="shared" si="12"/>
        <v>#DIV/0!</v>
      </c>
      <c r="S106" s="454" t="e">
        <f t="shared" si="10"/>
        <v>#DIV/0!</v>
      </c>
      <c r="T106" s="150"/>
    </row>
    <row r="107" spans="1:20" s="117" customFormat="1" ht="30" customHeight="1">
      <c r="A107" s="419" t="s">
        <v>4101</v>
      </c>
      <c r="B107" s="494" t="s">
        <v>969</v>
      </c>
      <c r="C107" s="494" t="s">
        <v>970</v>
      </c>
      <c r="D107" s="149">
        <v>30</v>
      </c>
      <c r="E107" s="79"/>
      <c r="F107" s="79"/>
      <c r="G107" s="79"/>
      <c r="H107" s="79"/>
      <c r="I107" s="79"/>
      <c r="J107" s="79"/>
      <c r="K107" s="79"/>
      <c r="L107" s="79"/>
      <c r="M107" s="79"/>
      <c r="N107" s="79"/>
      <c r="O107" s="79">
        <v>92.7</v>
      </c>
      <c r="P107" s="79"/>
      <c r="Q107" s="79">
        <f t="shared" si="11"/>
        <v>92.7</v>
      </c>
      <c r="R107" s="144" t="str">
        <f t="shared" si="12"/>
        <v>NO</v>
      </c>
      <c r="S107" s="454" t="str">
        <f t="shared" si="10"/>
        <v>Inviable Sanitariamente</v>
      </c>
    </row>
    <row r="108" spans="1:20" s="117" customFormat="1" ht="30" customHeight="1">
      <c r="A108" s="419" t="s">
        <v>4101</v>
      </c>
      <c r="B108" s="494" t="s">
        <v>971</v>
      </c>
      <c r="C108" s="494" t="s">
        <v>972</v>
      </c>
      <c r="D108" s="149">
        <v>53</v>
      </c>
      <c r="E108" s="79"/>
      <c r="F108" s="79"/>
      <c r="G108" s="79"/>
      <c r="H108" s="79"/>
      <c r="I108" s="79"/>
      <c r="J108" s="79"/>
      <c r="K108" s="79"/>
      <c r="L108" s="79"/>
      <c r="M108" s="79"/>
      <c r="N108" s="79"/>
      <c r="O108" s="79"/>
      <c r="P108" s="79"/>
      <c r="Q108" s="79" t="e">
        <f t="shared" si="11"/>
        <v>#DIV/0!</v>
      </c>
      <c r="R108" s="144" t="e">
        <f t="shared" si="12"/>
        <v>#DIV/0!</v>
      </c>
      <c r="S108" s="454" t="e">
        <f t="shared" si="10"/>
        <v>#DIV/0!</v>
      </c>
    </row>
    <row r="109" spans="1:20" s="117" customFormat="1" ht="30" customHeight="1">
      <c r="A109" s="419" t="s">
        <v>4102</v>
      </c>
      <c r="B109" s="490" t="s">
        <v>1006</v>
      </c>
      <c r="C109" s="490" t="s">
        <v>1007</v>
      </c>
      <c r="D109" s="119">
        <v>264</v>
      </c>
      <c r="E109" s="79"/>
      <c r="F109" s="79">
        <v>0</v>
      </c>
      <c r="G109" s="79"/>
      <c r="H109" s="79"/>
      <c r="I109" s="79"/>
      <c r="J109" s="79">
        <v>0</v>
      </c>
      <c r="K109" s="79"/>
      <c r="L109" s="79"/>
      <c r="M109" s="79"/>
      <c r="N109" s="79"/>
      <c r="O109" s="79">
        <v>21</v>
      </c>
      <c r="P109" s="79"/>
      <c r="Q109" s="79">
        <f t="shared" si="11"/>
        <v>7</v>
      </c>
      <c r="R109" s="144" t="str">
        <f t="shared" si="12"/>
        <v>NO</v>
      </c>
      <c r="S109" s="454" t="str">
        <f t="shared" si="10"/>
        <v>Bajo</v>
      </c>
    </row>
    <row r="110" spans="1:20" s="117" customFormat="1" ht="32.1" customHeight="1">
      <c r="A110" s="419" t="s">
        <v>4102</v>
      </c>
      <c r="B110" s="495" t="s">
        <v>1008</v>
      </c>
      <c r="C110" s="495" t="s">
        <v>1009</v>
      </c>
      <c r="D110" s="119">
        <v>181</v>
      </c>
      <c r="E110" s="79"/>
      <c r="F110" s="79">
        <v>97.9</v>
      </c>
      <c r="G110" s="79"/>
      <c r="H110" s="79"/>
      <c r="I110" s="79"/>
      <c r="J110" s="79">
        <v>76.900000000000006</v>
      </c>
      <c r="K110" s="79"/>
      <c r="L110" s="79"/>
      <c r="M110" s="79"/>
      <c r="N110" s="79"/>
      <c r="O110" s="79">
        <v>97.9</v>
      </c>
      <c r="P110" s="79"/>
      <c r="Q110" s="79">
        <f t="shared" si="11"/>
        <v>90.90000000000002</v>
      </c>
      <c r="R110" s="144" t="str">
        <f t="shared" si="12"/>
        <v>NO</v>
      </c>
      <c r="S110" s="454" t="str">
        <f t="shared" si="10"/>
        <v>Inviable Sanitariamente</v>
      </c>
    </row>
    <row r="111" spans="1:20" s="117" customFormat="1" ht="32.1" customHeight="1">
      <c r="A111" s="419" t="s">
        <v>4102</v>
      </c>
      <c r="B111" s="495" t="s">
        <v>1010</v>
      </c>
      <c r="C111" s="495" t="s">
        <v>1011</v>
      </c>
      <c r="D111" s="119">
        <v>139</v>
      </c>
      <c r="E111" s="79"/>
      <c r="F111" s="79">
        <v>97.9</v>
      </c>
      <c r="G111" s="79"/>
      <c r="H111" s="79"/>
      <c r="I111" s="79"/>
      <c r="J111" s="79">
        <v>76.900000000000006</v>
      </c>
      <c r="K111" s="79"/>
      <c r="L111" s="79"/>
      <c r="M111" s="79"/>
      <c r="N111" s="79"/>
      <c r="O111" s="79">
        <v>97.9</v>
      </c>
      <c r="P111" s="79"/>
      <c r="Q111" s="79">
        <f t="shared" si="11"/>
        <v>90.90000000000002</v>
      </c>
      <c r="R111" s="144" t="str">
        <f t="shared" si="12"/>
        <v>NO</v>
      </c>
      <c r="S111" s="454" t="str">
        <f t="shared" si="10"/>
        <v>Inviable Sanitariamente</v>
      </c>
    </row>
    <row r="112" spans="1:20" s="13" customFormat="1" ht="32.1" customHeight="1">
      <c r="A112" s="419" t="s">
        <v>4102</v>
      </c>
      <c r="B112" s="495" t="s">
        <v>1012</v>
      </c>
      <c r="C112" s="495" t="s">
        <v>1013</v>
      </c>
      <c r="D112" s="119">
        <v>318</v>
      </c>
      <c r="E112" s="79"/>
      <c r="F112" s="79">
        <v>97.9</v>
      </c>
      <c r="G112" s="79"/>
      <c r="H112" s="79">
        <v>42</v>
      </c>
      <c r="I112" s="79"/>
      <c r="J112" s="79">
        <v>0</v>
      </c>
      <c r="K112" s="79"/>
      <c r="L112" s="79"/>
      <c r="M112" s="79"/>
      <c r="N112" s="79"/>
      <c r="O112" s="79"/>
      <c r="P112" s="79"/>
      <c r="Q112" s="79">
        <f t="shared" si="11"/>
        <v>46.633333333333333</v>
      </c>
      <c r="R112" s="144" t="str">
        <f t="shared" si="12"/>
        <v>NO</v>
      </c>
      <c r="S112" s="454" t="str">
        <f t="shared" si="10"/>
        <v>Alto</v>
      </c>
    </row>
    <row r="113" spans="1:16384" s="117" customFormat="1" ht="32.1" customHeight="1">
      <c r="A113" s="419" t="s">
        <v>4102</v>
      </c>
      <c r="B113" s="495" t="s">
        <v>1014</v>
      </c>
      <c r="C113" s="495" t="s">
        <v>1015</v>
      </c>
      <c r="D113" s="119">
        <v>109</v>
      </c>
      <c r="E113" s="79"/>
      <c r="F113" s="79"/>
      <c r="G113" s="79"/>
      <c r="H113" s="79"/>
      <c r="I113" s="79"/>
      <c r="J113" s="79">
        <v>97.9</v>
      </c>
      <c r="K113" s="79"/>
      <c r="L113" s="79"/>
      <c r="M113" s="79"/>
      <c r="N113" s="79"/>
      <c r="O113" s="79"/>
      <c r="P113" s="79"/>
      <c r="Q113" s="79">
        <f t="shared" si="11"/>
        <v>97.9</v>
      </c>
      <c r="R113" s="144" t="str">
        <f t="shared" si="12"/>
        <v>NO</v>
      </c>
      <c r="S113" s="454" t="str">
        <f t="shared" si="10"/>
        <v>Inviable Sanitariamente</v>
      </c>
    </row>
    <row r="114" spans="1:16384" s="117" customFormat="1" ht="32.1" customHeight="1">
      <c r="A114" s="419" t="s">
        <v>4102</v>
      </c>
      <c r="B114" s="495" t="s">
        <v>244</v>
      </c>
      <c r="C114" s="495" t="s">
        <v>1016</v>
      </c>
      <c r="D114" s="119">
        <v>30</v>
      </c>
      <c r="E114" s="79"/>
      <c r="F114" s="79">
        <v>97.4</v>
      </c>
      <c r="G114" s="79"/>
      <c r="H114" s="79"/>
      <c r="I114" s="79"/>
      <c r="J114" s="79"/>
      <c r="K114" s="79"/>
      <c r="L114" s="79"/>
      <c r="M114" s="79"/>
      <c r="N114" s="79"/>
      <c r="O114" s="79">
        <v>97.9</v>
      </c>
      <c r="P114" s="79"/>
      <c r="Q114" s="79">
        <f t="shared" si="11"/>
        <v>97.65</v>
      </c>
      <c r="R114" s="144" t="str">
        <f t="shared" si="12"/>
        <v>NO</v>
      </c>
      <c r="S114" s="454" t="str">
        <f t="shared" si="10"/>
        <v>Inviable Sanitariamente</v>
      </c>
    </row>
    <row r="115" spans="1:16384" s="117" customFormat="1" ht="32.1" customHeight="1">
      <c r="A115" s="419" t="s">
        <v>4102</v>
      </c>
      <c r="B115" s="495" t="s">
        <v>1017</v>
      </c>
      <c r="C115" s="495" t="s">
        <v>1018</v>
      </c>
      <c r="D115" s="119">
        <v>30</v>
      </c>
      <c r="E115" s="79"/>
      <c r="F115" s="79"/>
      <c r="G115" s="79"/>
      <c r="H115" s="79"/>
      <c r="I115" s="79"/>
      <c r="J115" s="79">
        <v>76.92</v>
      </c>
      <c r="K115" s="79"/>
      <c r="L115" s="79"/>
      <c r="M115" s="79">
        <v>97.9</v>
      </c>
      <c r="N115" s="79"/>
      <c r="O115" s="79"/>
      <c r="P115" s="79"/>
      <c r="Q115" s="79">
        <f t="shared" si="11"/>
        <v>87.41</v>
      </c>
      <c r="R115" s="144" t="str">
        <f t="shared" si="12"/>
        <v>NO</v>
      </c>
      <c r="S115" s="454" t="str">
        <f t="shared" si="10"/>
        <v>Inviable Sanitariamente</v>
      </c>
    </row>
    <row r="116" spans="1:16384" s="117" customFormat="1" ht="32.1" customHeight="1">
      <c r="A116" s="419" t="s">
        <v>4102</v>
      </c>
      <c r="B116" s="495" t="s">
        <v>1019</v>
      </c>
      <c r="C116" s="495" t="s">
        <v>1020</v>
      </c>
      <c r="D116" s="119">
        <v>29</v>
      </c>
      <c r="E116" s="79"/>
      <c r="F116" s="79"/>
      <c r="G116" s="79"/>
      <c r="H116" s="79">
        <v>76.92</v>
      </c>
      <c r="I116" s="79"/>
      <c r="J116" s="79">
        <v>76.92</v>
      </c>
      <c r="K116" s="79"/>
      <c r="L116" s="79">
        <v>76.92</v>
      </c>
      <c r="M116" s="79"/>
      <c r="N116" s="79"/>
      <c r="O116" s="79"/>
      <c r="P116" s="79">
        <v>76.92</v>
      </c>
      <c r="Q116" s="79">
        <f t="shared" si="11"/>
        <v>76.92</v>
      </c>
      <c r="R116" s="144" t="str">
        <f t="shared" si="12"/>
        <v>NO</v>
      </c>
      <c r="S116" s="454" t="str">
        <f t="shared" si="10"/>
        <v>Alto</v>
      </c>
    </row>
    <row r="117" spans="1:16384" s="117" customFormat="1" ht="32.1" customHeight="1">
      <c r="A117" s="419" t="s">
        <v>4102</v>
      </c>
      <c r="B117" s="495" t="s">
        <v>1021</v>
      </c>
      <c r="C117" s="495" t="s">
        <v>1022</v>
      </c>
      <c r="D117" s="138">
        <v>65</v>
      </c>
      <c r="E117" s="79"/>
      <c r="F117" s="79"/>
      <c r="G117" s="79"/>
      <c r="H117" s="79"/>
      <c r="I117" s="79">
        <v>97.3</v>
      </c>
      <c r="J117" s="79"/>
      <c r="K117" s="79"/>
      <c r="L117" s="79"/>
      <c r="M117" s="79"/>
      <c r="N117" s="79">
        <v>97.9</v>
      </c>
      <c r="O117" s="79"/>
      <c r="P117" s="79"/>
      <c r="Q117" s="79">
        <f t="shared" si="11"/>
        <v>97.6</v>
      </c>
      <c r="R117" s="144" t="str">
        <f t="shared" si="12"/>
        <v>NO</v>
      </c>
      <c r="S117" s="454" t="str">
        <f t="shared" si="10"/>
        <v>Inviable Sanitariamente</v>
      </c>
    </row>
    <row r="118" spans="1:16384" s="117" customFormat="1" ht="32.1" customHeight="1">
      <c r="A118" s="419" t="s">
        <v>4102</v>
      </c>
      <c r="B118" s="495" t="s">
        <v>1023</v>
      </c>
      <c r="C118" s="495" t="s">
        <v>1024</v>
      </c>
      <c r="D118" s="119">
        <v>201</v>
      </c>
      <c r="E118" s="79">
        <v>20.9</v>
      </c>
      <c r="F118" s="79"/>
      <c r="G118" s="79">
        <v>0</v>
      </c>
      <c r="H118" s="79"/>
      <c r="I118" s="79"/>
      <c r="J118" s="79">
        <v>0</v>
      </c>
      <c r="K118" s="79"/>
      <c r="L118" s="79">
        <v>0</v>
      </c>
      <c r="M118" s="79"/>
      <c r="N118" s="79"/>
      <c r="O118" s="79">
        <v>0</v>
      </c>
      <c r="P118" s="79"/>
      <c r="Q118" s="79">
        <f t="shared" si="11"/>
        <v>4.18</v>
      </c>
      <c r="R118" s="144" t="str">
        <f t="shared" si="12"/>
        <v>SI</v>
      </c>
      <c r="S118" s="454" t="str">
        <f t="shared" si="10"/>
        <v>Sin Riesgo</v>
      </c>
    </row>
    <row r="119" spans="1:16384" s="117" customFormat="1" ht="32.1" customHeight="1">
      <c r="A119" s="419" t="s">
        <v>4102</v>
      </c>
      <c r="B119" s="495" t="s">
        <v>690</v>
      </c>
      <c r="C119" s="495" t="s">
        <v>1025</v>
      </c>
      <c r="D119" s="119">
        <v>36</v>
      </c>
      <c r="E119" s="79"/>
      <c r="F119" s="79"/>
      <c r="G119" s="79"/>
      <c r="H119" s="79"/>
      <c r="I119" s="79"/>
      <c r="J119" s="79"/>
      <c r="K119" s="79"/>
      <c r="L119" s="79"/>
      <c r="M119" s="79"/>
      <c r="N119" s="79"/>
      <c r="O119" s="79"/>
      <c r="P119" s="79">
        <v>97.9</v>
      </c>
      <c r="Q119" s="79">
        <f t="shared" si="11"/>
        <v>97.9</v>
      </c>
      <c r="R119" s="144" t="str">
        <f t="shared" si="12"/>
        <v>NO</v>
      </c>
      <c r="S119" s="454" t="str">
        <f t="shared" si="10"/>
        <v>Inviable Sanitariamente</v>
      </c>
    </row>
    <row r="120" spans="1:16384" s="117" customFormat="1" ht="32.1" customHeight="1">
      <c r="A120" s="419" t="s">
        <v>4102</v>
      </c>
      <c r="B120" s="495" t="s">
        <v>1026</v>
      </c>
      <c r="C120" s="495" t="s">
        <v>1027</v>
      </c>
      <c r="D120" s="138">
        <v>25</v>
      </c>
      <c r="E120" s="79"/>
      <c r="F120" s="79"/>
      <c r="G120" s="79"/>
      <c r="H120" s="79"/>
      <c r="I120" s="79"/>
      <c r="J120" s="79">
        <v>76.92</v>
      </c>
      <c r="K120" s="79"/>
      <c r="L120" s="79"/>
      <c r="M120" s="79"/>
      <c r="N120" s="79"/>
      <c r="O120" s="79"/>
      <c r="P120" s="79"/>
      <c r="Q120" s="79">
        <f t="shared" si="11"/>
        <v>76.92</v>
      </c>
      <c r="R120" s="144" t="str">
        <f t="shared" si="12"/>
        <v>NO</v>
      </c>
      <c r="S120" s="454" t="str">
        <f t="shared" si="10"/>
        <v>Alto</v>
      </c>
    </row>
    <row r="121" spans="1:16384" s="117" customFormat="1" ht="32.1" customHeight="1">
      <c r="A121" s="419" t="s">
        <v>4102</v>
      </c>
      <c r="B121" s="495" t="s">
        <v>706</v>
      </c>
      <c r="C121" s="495" t="s">
        <v>1028</v>
      </c>
      <c r="D121" s="119">
        <v>15</v>
      </c>
      <c r="E121" s="79"/>
      <c r="F121" s="79"/>
      <c r="G121" s="79"/>
      <c r="H121" s="79"/>
      <c r="I121" s="79"/>
      <c r="J121" s="79"/>
      <c r="K121" s="79"/>
      <c r="L121" s="79"/>
      <c r="M121" s="79"/>
      <c r="N121" s="79"/>
      <c r="O121" s="79"/>
      <c r="P121" s="79">
        <v>97.9</v>
      </c>
      <c r="Q121" s="79">
        <f t="shared" si="11"/>
        <v>97.9</v>
      </c>
      <c r="R121" s="144" t="str">
        <f t="shared" si="12"/>
        <v>NO</v>
      </c>
      <c r="S121" s="454" t="str">
        <f t="shared" si="10"/>
        <v>Inviable Sanitariamente</v>
      </c>
    </row>
    <row r="122" spans="1:16384" s="117" customFormat="1" ht="32.1" customHeight="1">
      <c r="A122" s="419" t="s">
        <v>4102</v>
      </c>
      <c r="B122" s="495" t="s">
        <v>1029</v>
      </c>
      <c r="C122" s="495" t="s">
        <v>1030</v>
      </c>
      <c r="D122" s="119">
        <v>35</v>
      </c>
      <c r="E122" s="79"/>
      <c r="F122" s="79">
        <v>0</v>
      </c>
      <c r="G122" s="79"/>
      <c r="H122" s="79">
        <v>0</v>
      </c>
      <c r="I122" s="79"/>
      <c r="J122" s="79"/>
      <c r="K122" s="79">
        <v>0</v>
      </c>
      <c r="L122" s="79"/>
      <c r="M122" s="79">
        <v>0</v>
      </c>
      <c r="N122" s="79"/>
      <c r="O122" s="79"/>
      <c r="P122" s="79">
        <v>0</v>
      </c>
      <c r="Q122" s="79">
        <f t="shared" ref="Q122" si="13">AVERAGE(E122:P122)</f>
        <v>0</v>
      </c>
      <c r="R122" s="144" t="str">
        <f t="shared" ref="R122" si="14">IF(Q122&lt;5,"SI","NO")</f>
        <v>SI</v>
      </c>
      <c r="S122" s="454" t="str">
        <f t="shared" ref="S122" si="15">IF(Q122&lt;5,"Sin Riesgo",IF(Q122 &lt;=14,"Bajo",IF(Q122&lt;=35,"Medio",IF(Q122&lt;=80,"Alto","Inviable Sanitariamente"))))</f>
        <v>Sin Riesgo</v>
      </c>
    </row>
    <row r="123" spans="1:16384" s="117" customFormat="1" ht="32.1" customHeight="1">
      <c r="A123" s="419" t="s">
        <v>4102</v>
      </c>
      <c r="B123" s="495" t="s">
        <v>4500</v>
      </c>
      <c r="C123" s="495" t="s">
        <v>4501</v>
      </c>
      <c r="D123" s="119">
        <v>35</v>
      </c>
      <c r="E123" s="79"/>
      <c r="F123" s="79"/>
      <c r="G123" s="79"/>
      <c r="H123" s="79"/>
      <c r="I123" s="79"/>
      <c r="J123" s="79">
        <v>20.9</v>
      </c>
      <c r="K123" s="79"/>
      <c r="L123" s="79"/>
      <c r="M123" s="79">
        <v>21</v>
      </c>
      <c r="N123" s="79"/>
      <c r="O123" s="79"/>
      <c r="P123" s="79"/>
      <c r="Q123" s="79">
        <f t="shared" si="11"/>
        <v>20.95</v>
      </c>
      <c r="R123" s="144" t="str">
        <f t="shared" si="12"/>
        <v>NO</v>
      </c>
      <c r="S123" s="454" t="str">
        <f t="shared" si="10"/>
        <v>Medio</v>
      </c>
    </row>
    <row r="124" spans="1:16384" s="117" customFormat="1" ht="32.1" customHeight="1">
      <c r="A124" s="129"/>
      <c r="B124" s="385"/>
      <c r="C124" s="385"/>
      <c r="D124" s="380"/>
      <c r="E124" s="381"/>
      <c r="F124" s="381"/>
      <c r="G124" s="381"/>
      <c r="H124" s="381"/>
      <c r="I124" s="381"/>
      <c r="J124" s="381"/>
      <c r="K124" s="381"/>
      <c r="L124" s="381"/>
      <c r="M124" s="381"/>
      <c r="N124" s="381"/>
      <c r="O124" s="381"/>
      <c r="P124" s="381"/>
      <c r="Q124" s="381"/>
      <c r="R124" s="194"/>
      <c r="S124" s="195"/>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1"/>
      <c r="AT124" s="381"/>
      <c r="AU124" s="381"/>
      <c r="AV124" s="381"/>
      <c r="AW124" s="381"/>
      <c r="AX124" s="381"/>
      <c r="AY124" s="381"/>
      <c r="AZ124" s="381"/>
      <c r="BA124" s="381"/>
      <c r="BB124" s="381"/>
      <c r="BC124" s="381"/>
      <c r="BD124" s="381"/>
      <c r="BE124" s="381"/>
      <c r="BF124" s="381"/>
      <c r="BG124" s="381"/>
      <c r="BH124" s="381"/>
      <c r="BI124" s="381"/>
      <c r="BJ124" s="381"/>
      <c r="BK124" s="381"/>
      <c r="BL124" s="381"/>
      <c r="BM124" s="381"/>
      <c r="BN124" s="381"/>
      <c r="BO124" s="381"/>
      <c r="BP124" s="381"/>
      <c r="BQ124" s="381"/>
      <c r="BR124" s="381"/>
      <c r="BS124" s="381"/>
      <c r="BT124" s="381"/>
      <c r="BU124" s="381"/>
      <c r="BV124" s="381"/>
      <c r="BW124" s="381"/>
      <c r="BX124" s="381"/>
      <c r="BY124" s="381"/>
      <c r="BZ124" s="381"/>
      <c r="CA124" s="381"/>
      <c r="CB124" s="381"/>
      <c r="CC124" s="381"/>
      <c r="CD124" s="381"/>
      <c r="CE124" s="381"/>
      <c r="CF124" s="381"/>
      <c r="CG124" s="381"/>
      <c r="CH124" s="381"/>
      <c r="CI124" s="381"/>
      <c r="CJ124" s="381"/>
      <c r="CK124" s="381"/>
      <c r="CL124" s="381"/>
      <c r="CM124" s="381"/>
      <c r="CN124" s="381"/>
      <c r="CO124" s="381"/>
      <c r="CP124" s="381"/>
      <c r="CQ124" s="381"/>
      <c r="CR124" s="381"/>
      <c r="CS124" s="381"/>
      <c r="CT124" s="381"/>
      <c r="CU124" s="381"/>
      <c r="CV124" s="381"/>
      <c r="CW124" s="381"/>
      <c r="CX124" s="381"/>
      <c r="CY124" s="381"/>
      <c r="CZ124" s="381"/>
      <c r="DA124" s="381"/>
      <c r="DB124" s="381"/>
      <c r="DC124" s="381"/>
      <c r="DD124" s="381"/>
      <c r="DE124" s="381"/>
      <c r="DF124" s="381"/>
      <c r="DG124" s="381"/>
      <c r="DH124" s="381"/>
      <c r="DI124" s="381"/>
      <c r="DJ124" s="381"/>
      <c r="DK124" s="381"/>
      <c r="DL124" s="381"/>
      <c r="DM124" s="381"/>
      <c r="DN124" s="381"/>
      <c r="DO124" s="381"/>
      <c r="DP124" s="381"/>
      <c r="DQ124" s="381"/>
      <c r="DR124" s="381"/>
      <c r="DS124" s="381"/>
      <c r="DT124" s="381"/>
      <c r="DU124" s="381"/>
      <c r="DV124" s="381"/>
      <c r="DW124" s="381"/>
      <c r="DX124" s="381"/>
      <c r="DY124" s="381"/>
      <c r="DZ124" s="381"/>
      <c r="EA124" s="381"/>
      <c r="EB124" s="381"/>
      <c r="EC124" s="381"/>
      <c r="ED124" s="381"/>
      <c r="EE124" s="381"/>
      <c r="EF124" s="381"/>
      <c r="EG124" s="381"/>
      <c r="EH124" s="381"/>
      <c r="EI124" s="381"/>
      <c r="EJ124" s="381"/>
      <c r="EK124" s="381"/>
      <c r="EL124" s="381"/>
      <c r="EM124" s="381"/>
      <c r="EN124" s="381"/>
      <c r="EO124" s="381"/>
      <c r="EP124" s="381"/>
      <c r="EQ124" s="381"/>
      <c r="ER124" s="381"/>
      <c r="ES124" s="381"/>
      <c r="ET124" s="381"/>
      <c r="EU124" s="381"/>
      <c r="EV124" s="381"/>
      <c r="EW124" s="381"/>
      <c r="EX124" s="381"/>
      <c r="EY124" s="381"/>
      <c r="EZ124" s="381"/>
      <c r="FA124" s="381"/>
      <c r="FB124" s="381"/>
      <c r="FC124" s="381"/>
      <c r="FD124" s="381"/>
      <c r="FE124" s="381"/>
      <c r="FF124" s="381"/>
      <c r="FG124" s="381"/>
      <c r="FH124" s="381"/>
      <c r="FI124" s="381"/>
      <c r="FJ124" s="381"/>
      <c r="FK124" s="381"/>
      <c r="FL124" s="381"/>
      <c r="FM124" s="381"/>
      <c r="FN124" s="381"/>
      <c r="FO124" s="381"/>
      <c r="FP124" s="381"/>
      <c r="FQ124" s="381"/>
      <c r="FR124" s="381"/>
      <c r="FS124" s="381"/>
      <c r="FT124" s="381"/>
      <c r="FU124" s="381"/>
      <c r="FV124" s="381"/>
      <c r="FW124" s="381"/>
      <c r="FX124" s="381"/>
      <c r="FY124" s="381"/>
      <c r="FZ124" s="381"/>
      <c r="GA124" s="381"/>
      <c r="GB124" s="381"/>
      <c r="GC124" s="381"/>
      <c r="GD124" s="381"/>
      <c r="GE124" s="381"/>
      <c r="GF124" s="381"/>
      <c r="GG124" s="381"/>
      <c r="GH124" s="381"/>
      <c r="GI124" s="381"/>
      <c r="GJ124" s="381"/>
      <c r="GK124" s="381"/>
      <c r="GL124" s="381"/>
      <c r="GM124" s="381"/>
      <c r="GN124" s="381"/>
      <c r="GO124" s="381"/>
      <c r="GP124" s="381"/>
      <c r="GQ124" s="381"/>
      <c r="GR124" s="381"/>
      <c r="GS124" s="381"/>
      <c r="GT124" s="381"/>
      <c r="GU124" s="381"/>
      <c r="GV124" s="381"/>
      <c r="GW124" s="381"/>
      <c r="GX124" s="381"/>
      <c r="GY124" s="381"/>
      <c r="GZ124" s="381"/>
      <c r="HA124" s="381"/>
      <c r="HB124" s="381"/>
      <c r="HC124" s="381"/>
      <c r="HD124" s="381"/>
      <c r="HE124" s="381"/>
      <c r="HF124" s="381"/>
      <c r="HG124" s="381"/>
      <c r="HH124" s="381"/>
      <c r="HI124" s="381"/>
      <c r="HJ124" s="381"/>
      <c r="HK124" s="381"/>
      <c r="HL124" s="381"/>
      <c r="HM124" s="381"/>
      <c r="HN124" s="381"/>
      <c r="HO124" s="381"/>
      <c r="HP124" s="381"/>
      <c r="HQ124" s="381"/>
      <c r="HR124" s="381"/>
      <c r="HS124" s="381"/>
      <c r="HT124" s="381"/>
      <c r="HU124" s="381"/>
      <c r="HV124" s="381"/>
      <c r="HW124" s="381"/>
      <c r="HX124" s="381"/>
      <c r="HY124" s="381"/>
      <c r="HZ124" s="381"/>
      <c r="IA124" s="381"/>
      <c r="IB124" s="381"/>
      <c r="IC124" s="381"/>
      <c r="ID124" s="381"/>
      <c r="IE124" s="381"/>
      <c r="IF124" s="381"/>
      <c r="IG124" s="381"/>
      <c r="IH124" s="381"/>
      <c r="II124" s="381"/>
      <c r="IJ124" s="381"/>
      <c r="IK124" s="381"/>
      <c r="IL124" s="381"/>
      <c r="IM124" s="381"/>
      <c r="IN124" s="381"/>
      <c r="IO124" s="381"/>
      <c r="IP124" s="381"/>
      <c r="IQ124" s="381"/>
      <c r="IR124" s="381"/>
      <c r="IS124" s="381"/>
      <c r="IT124" s="381"/>
      <c r="IU124" s="381"/>
      <c r="IV124" s="381"/>
      <c r="IW124" s="381"/>
      <c r="IX124" s="381"/>
      <c r="IY124" s="381"/>
      <c r="IZ124" s="381"/>
      <c r="JA124" s="381"/>
      <c r="JB124" s="381"/>
      <c r="JC124" s="381"/>
      <c r="JD124" s="381"/>
      <c r="JE124" s="381"/>
      <c r="JF124" s="381"/>
      <c r="JG124" s="381"/>
      <c r="JH124" s="381"/>
      <c r="JI124" s="381"/>
      <c r="JJ124" s="381"/>
      <c r="JK124" s="381"/>
      <c r="JL124" s="381"/>
      <c r="JM124" s="381"/>
      <c r="JN124" s="381"/>
      <c r="JO124" s="381"/>
      <c r="JP124" s="381"/>
      <c r="JQ124" s="381"/>
      <c r="JR124" s="381"/>
      <c r="JS124" s="381"/>
      <c r="JT124" s="381"/>
      <c r="JU124" s="381"/>
      <c r="JV124" s="381"/>
      <c r="JW124" s="381"/>
      <c r="JX124" s="381"/>
      <c r="JY124" s="381"/>
      <c r="JZ124" s="381"/>
      <c r="KA124" s="381"/>
      <c r="KB124" s="381"/>
      <c r="KC124" s="381"/>
      <c r="KD124" s="381"/>
      <c r="KE124" s="381"/>
      <c r="KF124" s="381"/>
      <c r="KG124" s="381"/>
      <c r="KH124" s="381"/>
      <c r="KI124" s="381"/>
      <c r="KJ124" s="381"/>
      <c r="KK124" s="381"/>
      <c r="KL124" s="381"/>
      <c r="KM124" s="381"/>
      <c r="KN124" s="381"/>
      <c r="KO124" s="381"/>
      <c r="KP124" s="381"/>
      <c r="KQ124" s="381"/>
      <c r="KR124" s="381"/>
      <c r="KS124" s="381"/>
      <c r="KT124" s="381"/>
      <c r="KU124" s="381"/>
      <c r="KV124" s="381"/>
      <c r="KW124" s="381"/>
      <c r="KX124" s="381"/>
      <c r="KY124" s="381"/>
      <c r="KZ124" s="381"/>
      <c r="LA124" s="381"/>
      <c r="LB124" s="381"/>
      <c r="LC124" s="381"/>
      <c r="LD124" s="381"/>
      <c r="LE124" s="381"/>
      <c r="LF124" s="381"/>
      <c r="LG124" s="381"/>
      <c r="LH124" s="381"/>
      <c r="LI124" s="381"/>
      <c r="LJ124" s="381"/>
      <c r="LK124" s="381"/>
      <c r="LL124" s="381"/>
      <c r="LM124" s="381"/>
      <c r="LN124" s="381"/>
      <c r="LO124" s="381"/>
      <c r="LP124" s="381"/>
      <c r="LQ124" s="381"/>
      <c r="LR124" s="381"/>
      <c r="LS124" s="381"/>
      <c r="LT124" s="381"/>
      <c r="LU124" s="381"/>
      <c r="LV124" s="381"/>
      <c r="LW124" s="381"/>
      <c r="LX124" s="381"/>
      <c r="LY124" s="381"/>
      <c r="LZ124" s="381"/>
      <c r="MA124" s="381"/>
      <c r="MB124" s="381"/>
      <c r="MC124" s="381"/>
      <c r="MD124" s="381"/>
      <c r="ME124" s="381"/>
      <c r="MF124" s="381"/>
      <c r="MG124" s="381"/>
      <c r="MH124" s="381"/>
      <c r="MI124" s="381"/>
      <c r="MJ124" s="381"/>
      <c r="MK124" s="381"/>
      <c r="ML124" s="381"/>
      <c r="MM124" s="381"/>
      <c r="MN124" s="381"/>
      <c r="MO124" s="381"/>
      <c r="MP124" s="381"/>
      <c r="MQ124" s="381"/>
      <c r="MR124" s="381"/>
      <c r="MS124" s="381"/>
      <c r="MT124" s="381"/>
      <c r="MU124" s="381"/>
      <c r="MV124" s="381"/>
      <c r="MW124" s="381"/>
      <c r="MX124" s="381"/>
      <c r="MY124" s="381"/>
      <c r="MZ124" s="381"/>
      <c r="NA124" s="381"/>
      <c r="NB124" s="381"/>
      <c r="NC124" s="381"/>
      <c r="ND124" s="381"/>
      <c r="NE124" s="381"/>
      <c r="NF124" s="381"/>
      <c r="NG124" s="381"/>
      <c r="NH124" s="381"/>
      <c r="NI124" s="381"/>
      <c r="NJ124" s="381"/>
      <c r="NK124" s="381"/>
      <c r="NL124" s="381"/>
      <c r="NM124" s="381"/>
      <c r="NN124" s="381"/>
      <c r="NO124" s="381"/>
      <c r="NP124" s="381"/>
      <c r="NQ124" s="381"/>
      <c r="NR124" s="381"/>
      <c r="NS124" s="381"/>
      <c r="NT124" s="381"/>
      <c r="NU124" s="381"/>
      <c r="NV124" s="381"/>
      <c r="NW124" s="381"/>
      <c r="NX124" s="381"/>
      <c r="NY124" s="381"/>
      <c r="NZ124" s="381"/>
      <c r="OA124" s="381"/>
      <c r="OB124" s="381"/>
      <c r="OC124" s="381"/>
      <c r="OD124" s="381"/>
      <c r="OE124" s="381"/>
      <c r="OF124" s="381"/>
      <c r="OG124" s="381"/>
      <c r="OH124" s="381"/>
      <c r="OI124" s="381"/>
      <c r="OJ124" s="381"/>
      <c r="OK124" s="381"/>
      <c r="OL124" s="381"/>
      <c r="OM124" s="381"/>
      <c r="ON124" s="381"/>
      <c r="OO124" s="381"/>
      <c r="OP124" s="381"/>
      <c r="OQ124" s="381"/>
      <c r="OR124" s="381"/>
      <c r="OS124" s="381"/>
      <c r="OT124" s="381"/>
      <c r="OU124" s="381"/>
      <c r="OV124" s="381"/>
      <c r="OW124" s="381"/>
      <c r="OX124" s="381"/>
      <c r="OY124" s="381"/>
      <c r="OZ124" s="381"/>
      <c r="PA124" s="381"/>
      <c r="PB124" s="381"/>
      <c r="PC124" s="381"/>
      <c r="PD124" s="381"/>
      <c r="PE124" s="381"/>
      <c r="PF124" s="381"/>
      <c r="PG124" s="381"/>
      <c r="PH124" s="381"/>
      <c r="PI124" s="381"/>
      <c r="PJ124" s="381"/>
      <c r="PK124" s="381"/>
      <c r="PL124" s="381"/>
      <c r="PM124" s="381"/>
      <c r="PN124" s="381"/>
      <c r="PO124" s="381"/>
      <c r="PP124" s="381"/>
      <c r="PQ124" s="381"/>
      <c r="PR124" s="381"/>
      <c r="PS124" s="381"/>
      <c r="PT124" s="381"/>
      <c r="PU124" s="381"/>
      <c r="PV124" s="381"/>
      <c r="PW124" s="381"/>
      <c r="PX124" s="381"/>
      <c r="PY124" s="381"/>
      <c r="PZ124" s="381"/>
      <c r="QA124" s="381"/>
      <c r="QB124" s="381"/>
      <c r="QC124" s="381"/>
      <c r="QD124" s="381"/>
      <c r="QE124" s="381"/>
      <c r="QF124" s="381"/>
      <c r="QG124" s="381"/>
      <c r="QH124" s="381"/>
      <c r="QI124" s="381"/>
      <c r="QJ124" s="381"/>
      <c r="QK124" s="381"/>
      <c r="QL124" s="381"/>
      <c r="QM124" s="381"/>
      <c r="QN124" s="381"/>
      <c r="QO124" s="381"/>
      <c r="QP124" s="381"/>
      <c r="QQ124" s="381"/>
      <c r="QR124" s="381"/>
      <c r="QS124" s="381"/>
      <c r="QT124" s="381"/>
      <c r="QU124" s="381"/>
      <c r="QV124" s="381"/>
      <c r="QW124" s="381"/>
      <c r="QX124" s="381"/>
      <c r="QY124" s="381"/>
      <c r="QZ124" s="381"/>
      <c r="RA124" s="381"/>
      <c r="RB124" s="381"/>
      <c r="RC124" s="381"/>
      <c r="RD124" s="381"/>
      <c r="RE124" s="381"/>
      <c r="RF124" s="381"/>
      <c r="RG124" s="381"/>
      <c r="RH124" s="381"/>
      <c r="RI124" s="381"/>
      <c r="RJ124" s="381"/>
      <c r="RK124" s="381"/>
      <c r="RL124" s="381"/>
      <c r="RM124" s="381"/>
      <c r="RN124" s="381"/>
      <c r="RO124" s="381"/>
      <c r="RP124" s="381"/>
      <c r="RQ124" s="381"/>
      <c r="RR124" s="381"/>
      <c r="RS124" s="381"/>
      <c r="RT124" s="381"/>
      <c r="RU124" s="381"/>
      <c r="RV124" s="381"/>
      <c r="RW124" s="381"/>
      <c r="RX124" s="381"/>
      <c r="RY124" s="381"/>
      <c r="RZ124" s="381"/>
      <c r="SA124" s="381"/>
      <c r="SB124" s="381"/>
      <c r="SC124" s="381"/>
      <c r="SD124" s="381"/>
      <c r="SE124" s="381"/>
      <c r="SF124" s="381"/>
      <c r="SG124" s="381"/>
      <c r="SH124" s="381"/>
      <c r="SI124" s="381"/>
      <c r="SJ124" s="381"/>
      <c r="SK124" s="381"/>
      <c r="SL124" s="381"/>
      <c r="SM124" s="381"/>
      <c r="SN124" s="381"/>
      <c r="SO124" s="381"/>
      <c r="SP124" s="381"/>
      <c r="SQ124" s="381"/>
      <c r="SR124" s="381"/>
      <c r="SS124" s="381"/>
      <c r="ST124" s="381"/>
      <c r="SU124" s="381"/>
      <c r="SV124" s="381"/>
      <c r="SW124" s="381"/>
      <c r="SX124" s="381"/>
      <c r="SY124" s="381"/>
      <c r="SZ124" s="381"/>
      <c r="TA124" s="381"/>
      <c r="TB124" s="381"/>
      <c r="TC124" s="381"/>
      <c r="TD124" s="381"/>
      <c r="TE124" s="381"/>
      <c r="TF124" s="381"/>
      <c r="TG124" s="381"/>
      <c r="TH124" s="381"/>
      <c r="TI124" s="381"/>
      <c r="TJ124" s="381"/>
      <c r="TK124" s="381"/>
      <c r="TL124" s="381"/>
      <c r="TM124" s="381"/>
      <c r="TN124" s="381"/>
      <c r="TO124" s="381"/>
      <c r="TP124" s="381"/>
      <c r="TQ124" s="381"/>
      <c r="TR124" s="381"/>
      <c r="TS124" s="381"/>
      <c r="TT124" s="381"/>
      <c r="TU124" s="381"/>
      <c r="TV124" s="381"/>
      <c r="TW124" s="381"/>
      <c r="TX124" s="381"/>
      <c r="TY124" s="381"/>
      <c r="TZ124" s="381"/>
      <c r="UA124" s="381"/>
      <c r="UB124" s="381"/>
      <c r="UC124" s="381"/>
      <c r="UD124" s="381"/>
      <c r="UE124" s="381"/>
      <c r="UF124" s="381"/>
      <c r="UG124" s="381"/>
      <c r="UH124" s="381"/>
      <c r="UI124" s="381"/>
      <c r="UJ124" s="381"/>
      <c r="UK124" s="381"/>
      <c r="UL124" s="381"/>
      <c r="UM124" s="381"/>
      <c r="UN124" s="381"/>
      <c r="UO124" s="381"/>
      <c r="UP124" s="381"/>
      <c r="UQ124" s="381"/>
      <c r="UR124" s="381"/>
      <c r="US124" s="381"/>
      <c r="UT124" s="381"/>
      <c r="UU124" s="381"/>
      <c r="UV124" s="381"/>
      <c r="UW124" s="381"/>
      <c r="UX124" s="381"/>
      <c r="UY124" s="381"/>
      <c r="UZ124" s="381"/>
      <c r="VA124" s="381"/>
      <c r="VB124" s="381"/>
      <c r="VC124" s="381"/>
      <c r="VD124" s="381"/>
      <c r="VE124" s="381"/>
      <c r="VF124" s="381"/>
      <c r="VG124" s="381"/>
      <c r="VH124" s="381"/>
      <c r="VI124" s="381"/>
      <c r="VJ124" s="381"/>
      <c r="VK124" s="381"/>
      <c r="VL124" s="381"/>
      <c r="VM124" s="381"/>
      <c r="VN124" s="381"/>
      <c r="VO124" s="381"/>
      <c r="VP124" s="381"/>
      <c r="VQ124" s="381"/>
      <c r="VR124" s="381"/>
      <c r="VS124" s="381"/>
      <c r="VT124" s="381"/>
      <c r="VU124" s="381"/>
      <c r="VV124" s="381"/>
      <c r="VW124" s="381"/>
      <c r="VX124" s="381"/>
      <c r="VY124" s="381"/>
      <c r="VZ124" s="381"/>
      <c r="WA124" s="381"/>
      <c r="WB124" s="381"/>
      <c r="WC124" s="381"/>
      <c r="WD124" s="381"/>
      <c r="WE124" s="381"/>
      <c r="WF124" s="381"/>
      <c r="WG124" s="381"/>
      <c r="WH124" s="381"/>
      <c r="WI124" s="381"/>
      <c r="WJ124" s="381"/>
      <c r="WK124" s="381"/>
      <c r="WL124" s="381"/>
      <c r="WM124" s="381"/>
      <c r="WN124" s="381"/>
      <c r="WO124" s="381"/>
      <c r="WP124" s="381"/>
      <c r="WQ124" s="381"/>
      <c r="WR124" s="381"/>
      <c r="WS124" s="381"/>
      <c r="WT124" s="381"/>
      <c r="WU124" s="381"/>
      <c r="WV124" s="381"/>
      <c r="WW124" s="381"/>
      <c r="WX124" s="381"/>
      <c r="WY124" s="381"/>
      <c r="WZ124" s="381"/>
      <c r="XA124" s="381"/>
      <c r="XB124" s="381"/>
      <c r="XC124" s="381"/>
      <c r="XD124" s="381"/>
      <c r="XE124" s="381"/>
      <c r="XF124" s="381"/>
      <c r="XG124" s="381"/>
      <c r="XH124" s="381"/>
      <c r="XI124" s="381"/>
      <c r="XJ124" s="381"/>
      <c r="XK124" s="381"/>
      <c r="XL124" s="381"/>
      <c r="XM124" s="381"/>
      <c r="XN124" s="381"/>
      <c r="XO124" s="381"/>
      <c r="XP124" s="381"/>
      <c r="XQ124" s="381"/>
      <c r="XR124" s="381"/>
      <c r="XS124" s="381"/>
      <c r="XT124" s="381"/>
      <c r="XU124" s="381"/>
      <c r="XV124" s="381"/>
      <c r="XW124" s="381"/>
      <c r="XX124" s="381"/>
      <c r="XY124" s="381"/>
      <c r="XZ124" s="381"/>
      <c r="YA124" s="381"/>
      <c r="YB124" s="381"/>
      <c r="YC124" s="381"/>
      <c r="YD124" s="381"/>
      <c r="YE124" s="381"/>
      <c r="YF124" s="381"/>
      <c r="YG124" s="381"/>
      <c r="YH124" s="381"/>
      <c r="YI124" s="381"/>
      <c r="YJ124" s="381"/>
      <c r="YK124" s="381"/>
      <c r="YL124" s="381"/>
      <c r="YM124" s="381"/>
      <c r="YN124" s="381"/>
      <c r="YO124" s="381"/>
      <c r="YP124" s="381"/>
      <c r="YQ124" s="381"/>
      <c r="YR124" s="381"/>
      <c r="YS124" s="381"/>
      <c r="YT124" s="381"/>
      <c r="YU124" s="381"/>
      <c r="YV124" s="381"/>
      <c r="YW124" s="381"/>
      <c r="YX124" s="381"/>
      <c r="YY124" s="381"/>
      <c r="YZ124" s="381"/>
      <c r="ZA124" s="381"/>
      <c r="ZB124" s="381"/>
      <c r="ZC124" s="381"/>
      <c r="ZD124" s="381"/>
      <c r="ZE124" s="381"/>
      <c r="ZF124" s="381"/>
      <c r="ZG124" s="381"/>
      <c r="ZH124" s="381"/>
      <c r="ZI124" s="381"/>
      <c r="ZJ124" s="381"/>
      <c r="ZK124" s="381"/>
      <c r="ZL124" s="381"/>
      <c r="ZM124" s="381"/>
      <c r="ZN124" s="381"/>
      <c r="ZO124" s="381"/>
      <c r="ZP124" s="381"/>
      <c r="ZQ124" s="381"/>
      <c r="ZR124" s="381"/>
      <c r="ZS124" s="381"/>
      <c r="ZT124" s="381"/>
      <c r="ZU124" s="381"/>
      <c r="ZV124" s="381"/>
      <c r="ZW124" s="381"/>
      <c r="ZX124" s="381"/>
      <c r="ZY124" s="381"/>
      <c r="ZZ124" s="381"/>
      <c r="AAA124" s="381"/>
      <c r="AAB124" s="381"/>
      <c r="AAC124" s="381"/>
      <c r="AAD124" s="381"/>
      <c r="AAE124" s="381"/>
      <c r="AAF124" s="381"/>
      <c r="AAG124" s="381"/>
      <c r="AAH124" s="381"/>
      <c r="AAI124" s="381"/>
      <c r="AAJ124" s="381"/>
      <c r="AAK124" s="381"/>
      <c r="AAL124" s="381"/>
      <c r="AAM124" s="381"/>
      <c r="AAN124" s="381"/>
      <c r="AAO124" s="381"/>
      <c r="AAP124" s="381"/>
      <c r="AAQ124" s="381"/>
      <c r="AAR124" s="381"/>
      <c r="AAS124" s="381"/>
      <c r="AAT124" s="381"/>
      <c r="AAU124" s="381"/>
      <c r="AAV124" s="381"/>
      <c r="AAW124" s="381"/>
      <c r="AAX124" s="381"/>
      <c r="AAY124" s="381"/>
      <c r="AAZ124" s="381"/>
      <c r="ABA124" s="381"/>
      <c r="ABB124" s="381"/>
      <c r="ABC124" s="381"/>
      <c r="ABD124" s="381"/>
      <c r="ABE124" s="381"/>
      <c r="ABF124" s="381"/>
      <c r="ABG124" s="381"/>
      <c r="ABH124" s="381"/>
      <c r="ABI124" s="381"/>
      <c r="ABJ124" s="381"/>
      <c r="ABK124" s="381"/>
      <c r="ABL124" s="381"/>
      <c r="ABM124" s="381"/>
      <c r="ABN124" s="381"/>
      <c r="ABO124" s="381"/>
      <c r="ABP124" s="381"/>
      <c r="ABQ124" s="381"/>
      <c r="ABR124" s="381"/>
      <c r="ABS124" s="381"/>
      <c r="ABT124" s="381"/>
      <c r="ABU124" s="381"/>
      <c r="ABV124" s="381"/>
      <c r="ABW124" s="381"/>
      <c r="ABX124" s="381"/>
      <c r="ABY124" s="381"/>
      <c r="ABZ124" s="381"/>
      <c r="ACA124" s="381"/>
      <c r="ACB124" s="381"/>
      <c r="ACC124" s="381"/>
      <c r="ACD124" s="381"/>
      <c r="ACE124" s="381"/>
      <c r="ACF124" s="381"/>
      <c r="ACG124" s="381"/>
      <c r="ACH124" s="381"/>
      <c r="ACI124" s="381"/>
      <c r="ACJ124" s="381"/>
      <c r="ACK124" s="381"/>
      <c r="ACL124" s="381"/>
      <c r="ACM124" s="381"/>
      <c r="ACN124" s="381"/>
      <c r="ACO124" s="381"/>
      <c r="ACP124" s="381"/>
      <c r="ACQ124" s="381"/>
      <c r="ACR124" s="381"/>
      <c r="ACS124" s="381"/>
      <c r="ACT124" s="381"/>
      <c r="ACU124" s="381"/>
      <c r="ACV124" s="381"/>
      <c r="ACW124" s="381"/>
      <c r="ACX124" s="381"/>
      <c r="ACY124" s="381"/>
      <c r="ACZ124" s="381"/>
      <c r="ADA124" s="381"/>
      <c r="ADB124" s="381"/>
      <c r="ADC124" s="381"/>
      <c r="ADD124" s="381"/>
      <c r="ADE124" s="381"/>
      <c r="ADF124" s="381"/>
      <c r="ADG124" s="381"/>
      <c r="ADH124" s="381"/>
      <c r="ADI124" s="381"/>
      <c r="ADJ124" s="381"/>
      <c r="ADK124" s="381"/>
      <c r="ADL124" s="381"/>
      <c r="ADM124" s="381"/>
      <c r="ADN124" s="381"/>
      <c r="ADO124" s="381"/>
      <c r="ADP124" s="381"/>
      <c r="ADQ124" s="381"/>
      <c r="ADR124" s="381"/>
      <c r="ADS124" s="381"/>
      <c r="ADT124" s="381"/>
      <c r="ADU124" s="381"/>
      <c r="ADV124" s="381"/>
      <c r="ADW124" s="381"/>
      <c r="ADX124" s="381"/>
      <c r="ADY124" s="381"/>
      <c r="ADZ124" s="381"/>
      <c r="AEA124" s="381"/>
      <c r="AEB124" s="381"/>
      <c r="AEC124" s="381"/>
      <c r="AED124" s="381"/>
      <c r="AEE124" s="381"/>
      <c r="AEF124" s="381"/>
      <c r="AEG124" s="381"/>
      <c r="AEH124" s="381"/>
      <c r="AEI124" s="381"/>
      <c r="AEJ124" s="381"/>
      <c r="AEK124" s="381"/>
      <c r="AEL124" s="381"/>
      <c r="AEM124" s="381"/>
      <c r="AEN124" s="381"/>
      <c r="AEO124" s="381"/>
      <c r="AEP124" s="381"/>
      <c r="AEQ124" s="381"/>
      <c r="AER124" s="381"/>
      <c r="AES124" s="381"/>
      <c r="AET124" s="381"/>
      <c r="AEU124" s="381"/>
      <c r="AEV124" s="381"/>
      <c r="AEW124" s="381"/>
      <c r="AEX124" s="381"/>
      <c r="AEY124" s="381"/>
      <c r="AEZ124" s="381"/>
      <c r="AFA124" s="381"/>
      <c r="AFB124" s="381"/>
      <c r="AFC124" s="381"/>
      <c r="AFD124" s="381"/>
      <c r="AFE124" s="381"/>
      <c r="AFF124" s="381"/>
      <c r="AFG124" s="381"/>
      <c r="AFH124" s="381"/>
      <c r="AFI124" s="381"/>
      <c r="AFJ124" s="381"/>
      <c r="AFK124" s="381"/>
      <c r="AFL124" s="381"/>
      <c r="AFM124" s="381"/>
      <c r="AFN124" s="381"/>
      <c r="AFO124" s="381"/>
      <c r="AFP124" s="381"/>
      <c r="AFQ124" s="381"/>
      <c r="AFR124" s="381"/>
      <c r="AFS124" s="381"/>
      <c r="AFT124" s="381"/>
      <c r="AFU124" s="381"/>
      <c r="AFV124" s="381"/>
      <c r="AFW124" s="381"/>
      <c r="AFX124" s="381"/>
      <c r="AFY124" s="381"/>
      <c r="AFZ124" s="381"/>
      <c r="AGA124" s="381"/>
      <c r="AGB124" s="381"/>
      <c r="AGC124" s="381"/>
      <c r="AGD124" s="381"/>
      <c r="AGE124" s="381"/>
      <c r="AGF124" s="381"/>
      <c r="AGG124" s="381"/>
      <c r="AGH124" s="381"/>
      <c r="AGI124" s="381"/>
      <c r="AGJ124" s="381"/>
      <c r="AGK124" s="381"/>
      <c r="AGL124" s="381"/>
      <c r="AGM124" s="381"/>
      <c r="AGN124" s="381"/>
      <c r="AGO124" s="381"/>
      <c r="AGP124" s="381"/>
      <c r="AGQ124" s="381"/>
      <c r="AGR124" s="381"/>
      <c r="AGS124" s="381"/>
      <c r="AGT124" s="381"/>
      <c r="AGU124" s="381"/>
      <c r="AGV124" s="381"/>
      <c r="AGW124" s="381"/>
      <c r="AGX124" s="381"/>
      <c r="AGY124" s="381"/>
      <c r="AGZ124" s="381"/>
      <c r="AHA124" s="381"/>
      <c r="AHB124" s="381"/>
      <c r="AHC124" s="381"/>
      <c r="AHD124" s="381"/>
      <c r="AHE124" s="381"/>
      <c r="AHF124" s="381"/>
      <c r="AHG124" s="381"/>
      <c r="AHH124" s="381"/>
      <c r="AHI124" s="381"/>
      <c r="AHJ124" s="381"/>
      <c r="AHK124" s="381"/>
      <c r="AHL124" s="381"/>
      <c r="AHM124" s="381"/>
      <c r="AHN124" s="381"/>
      <c r="AHO124" s="381"/>
      <c r="AHP124" s="381"/>
      <c r="AHQ124" s="381"/>
      <c r="AHR124" s="381"/>
      <c r="AHS124" s="381"/>
      <c r="AHT124" s="381"/>
      <c r="AHU124" s="381"/>
      <c r="AHV124" s="381"/>
      <c r="AHW124" s="381"/>
      <c r="AHX124" s="381"/>
      <c r="AHY124" s="381"/>
      <c r="AHZ124" s="381"/>
      <c r="AIA124" s="381"/>
      <c r="AIB124" s="381"/>
      <c r="AIC124" s="381"/>
      <c r="AID124" s="381"/>
      <c r="AIE124" s="381"/>
      <c r="AIF124" s="381"/>
      <c r="AIG124" s="381"/>
      <c r="AIH124" s="381"/>
      <c r="AII124" s="381"/>
      <c r="AIJ124" s="381"/>
      <c r="AIK124" s="381"/>
      <c r="AIL124" s="381"/>
      <c r="AIM124" s="381"/>
      <c r="AIN124" s="381"/>
      <c r="AIO124" s="381"/>
      <c r="AIP124" s="381"/>
      <c r="AIQ124" s="381"/>
      <c r="AIR124" s="381"/>
      <c r="AIS124" s="381"/>
      <c r="AIT124" s="381"/>
      <c r="AIU124" s="381"/>
      <c r="AIV124" s="381"/>
      <c r="AIW124" s="381"/>
      <c r="AIX124" s="381"/>
      <c r="AIY124" s="381"/>
      <c r="AIZ124" s="381"/>
      <c r="AJA124" s="381"/>
      <c r="AJB124" s="381"/>
      <c r="AJC124" s="381"/>
      <c r="AJD124" s="381"/>
      <c r="AJE124" s="381"/>
      <c r="AJF124" s="381"/>
      <c r="AJG124" s="381"/>
      <c r="AJH124" s="381"/>
      <c r="AJI124" s="381"/>
      <c r="AJJ124" s="381"/>
      <c r="AJK124" s="381"/>
      <c r="AJL124" s="381"/>
      <c r="AJM124" s="381"/>
      <c r="AJN124" s="381"/>
      <c r="AJO124" s="381"/>
      <c r="AJP124" s="381"/>
      <c r="AJQ124" s="381"/>
      <c r="AJR124" s="381"/>
      <c r="AJS124" s="381"/>
      <c r="AJT124" s="381"/>
      <c r="AJU124" s="381"/>
      <c r="AJV124" s="381"/>
      <c r="AJW124" s="381"/>
      <c r="AJX124" s="381"/>
      <c r="AJY124" s="381"/>
      <c r="AJZ124" s="381"/>
      <c r="AKA124" s="381"/>
      <c r="AKB124" s="381"/>
      <c r="AKC124" s="381"/>
      <c r="AKD124" s="381"/>
      <c r="AKE124" s="381"/>
      <c r="AKF124" s="381"/>
      <c r="AKG124" s="381"/>
      <c r="AKH124" s="381"/>
      <c r="AKI124" s="381"/>
      <c r="AKJ124" s="381"/>
      <c r="AKK124" s="381"/>
      <c r="AKL124" s="381"/>
      <c r="AKM124" s="381"/>
      <c r="AKN124" s="381"/>
      <c r="AKO124" s="381"/>
      <c r="AKP124" s="381"/>
      <c r="AKQ124" s="381"/>
      <c r="AKR124" s="381"/>
      <c r="AKS124" s="381"/>
      <c r="AKT124" s="381"/>
      <c r="AKU124" s="381"/>
      <c r="AKV124" s="381"/>
      <c r="AKW124" s="381"/>
      <c r="AKX124" s="381"/>
      <c r="AKY124" s="381"/>
      <c r="AKZ124" s="381"/>
      <c r="ALA124" s="381"/>
      <c r="ALB124" s="381"/>
      <c r="ALC124" s="381"/>
      <c r="ALD124" s="381"/>
      <c r="ALE124" s="381"/>
      <c r="ALF124" s="381"/>
      <c r="ALG124" s="381"/>
      <c r="ALH124" s="381"/>
      <c r="ALI124" s="381"/>
      <c r="ALJ124" s="381"/>
      <c r="ALK124" s="381"/>
      <c r="ALL124" s="381"/>
      <c r="ALM124" s="381"/>
      <c r="ALN124" s="381"/>
      <c r="ALO124" s="381"/>
      <c r="ALP124" s="381"/>
      <c r="ALQ124" s="381"/>
      <c r="ALR124" s="381"/>
      <c r="ALS124" s="381"/>
      <c r="ALT124" s="381"/>
      <c r="ALU124" s="381"/>
      <c r="ALV124" s="381"/>
      <c r="ALW124" s="381"/>
      <c r="ALX124" s="381"/>
      <c r="ALY124" s="381"/>
      <c r="ALZ124" s="381"/>
      <c r="AMA124" s="381"/>
      <c r="AMB124" s="381"/>
      <c r="AMC124" s="381"/>
      <c r="AMD124" s="381"/>
      <c r="AME124" s="381"/>
      <c r="AMF124" s="381"/>
      <c r="AMG124" s="381"/>
      <c r="AMH124" s="381"/>
      <c r="AMI124" s="381"/>
      <c r="AMJ124" s="381"/>
      <c r="AMK124" s="381"/>
      <c r="AML124" s="381"/>
      <c r="AMM124" s="381"/>
      <c r="AMN124" s="381"/>
      <c r="AMO124" s="381"/>
      <c r="AMP124" s="381"/>
      <c r="AMQ124" s="381"/>
      <c r="AMR124" s="381"/>
      <c r="AMS124" s="381"/>
      <c r="AMT124" s="381"/>
      <c r="AMU124" s="381"/>
      <c r="AMV124" s="381"/>
      <c r="AMW124" s="381"/>
      <c r="AMX124" s="381"/>
      <c r="AMY124" s="381"/>
      <c r="AMZ124" s="381"/>
      <c r="ANA124" s="381"/>
      <c r="ANB124" s="381"/>
      <c r="ANC124" s="381"/>
      <c r="AND124" s="381"/>
      <c r="ANE124" s="381"/>
      <c r="ANF124" s="381"/>
      <c r="ANG124" s="381"/>
      <c r="ANH124" s="381"/>
      <c r="ANI124" s="381"/>
      <c r="ANJ124" s="381"/>
      <c r="ANK124" s="381"/>
      <c r="ANL124" s="381"/>
      <c r="ANM124" s="381"/>
      <c r="ANN124" s="381"/>
      <c r="ANO124" s="381"/>
      <c r="ANP124" s="381"/>
      <c r="ANQ124" s="381"/>
      <c r="ANR124" s="381"/>
      <c r="ANS124" s="381"/>
      <c r="ANT124" s="381"/>
      <c r="ANU124" s="381"/>
      <c r="ANV124" s="381"/>
      <c r="ANW124" s="381"/>
      <c r="ANX124" s="381"/>
      <c r="ANY124" s="381"/>
      <c r="ANZ124" s="381"/>
      <c r="AOA124" s="381"/>
      <c r="AOB124" s="381"/>
      <c r="AOC124" s="381"/>
      <c r="AOD124" s="381"/>
      <c r="AOE124" s="381"/>
      <c r="AOF124" s="381"/>
      <c r="AOG124" s="381"/>
      <c r="AOH124" s="381"/>
      <c r="AOI124" s="381"/>
      <c r="AOJ124" s="381"/>
      <c r="AOK124" s="381"/>
      <c r="AOL124" s="381"/>
      <c r="AOM124" s="381"/>
      <c r="AON124" s="381"/>
      <c r="AOO124" s="381"/>
      <c r="AOP124" s="381"/>
      <c r="AOQ124" s="381"/>
      <c r="AOR124" s="381"/>
      <c r="AOS124" s="381"/>
      <c r="AOT124" s="381"/>
      <c r="AOU124" s="381"/>
      <c r="AOV124" s="381"/>
      <c r="AOW124" s="381"/>
      <c r="AOX124" s="381"/>
      <c r="AOY124" s="381"/>
      <c r="AOZ124" s="381"/>
      <c r="APA124" s="381"/>
      <c r="APB124" s="381"/>
      <c r="APC124" s="381"/>
      <c r="APD124" s="381"/>
      <c r="APE124" s="381"/>
      <c r="APF124" s="381"/>
      <c r="APG124" s="381"/>
      <c r="APH124" s="381"/>
      <c r="API124" s="381"/>
      <c r="APJ124" s="381"/>
      <c r="APK124" s="381"/>
      <c r="APL124" s="381"/>
      <c r="APM124" s="381"/>
      <c r="APN124" s="381"/>
      <c r="APO124" s="381"/>
      <c r="APP124" s="381"/>
      <c r="APQ124" s="381"/>
      <c r="APR124" s="381"/>
      <c r="APS124" s="381"/>
      <c r="APT124" s="381"/>
      <c r="APU124" s="381"/>
      <c r="APV124" s="381"/>
      <c r="APW124" s="381"/>
      <c r="APX124" s="381"/>
      <c r="APY124" s="381"/>
      <c r="APZ124" s="381"/>
      <c r="AQA124" s="381"/>
      <c r="AQB124" s="381"/>
      <c r="AQC124" s="381"/>
      <c r="AQD124" s="381"/>
      <c r="AQE124" s="381"/>
      <c r="AQF124" s="381"/>
      <c r="AQG124" s="381"/>
      <c r="AQH124" s="381"/>
      <c r="AQI124" s="381"/>
      <c r="AQJ124" s="381"/>
      <c r="AQK124" s="381"/>
      <c r="AQL124" s="381"/>
      <c r="AQM124" s="381"/>
      <c r="AQN124" s="381"/>
      <c r="AQO124" s="381"/>
      <c r="AQP124" s="381"/>
      <c r="AQQ124" s="381"/>
      <c r="AQR124" s="381"/>
      <c r="AQS124" s="381"/>
      <c r="AQT124" s="381"/>
      <c r="AQU124" s="381"/>
      <c r="AQV124" s="381"/>
      <c r="AQW124" s="381"/>
      <c r="AQX124" s="381"/>
      <c r="AQY124" s="381"/>
      <c r="AQZ124" s="381"/>
      <c r="ARA124" s="381"/>
      <c r="ARB124" s="381"/>
      <c r="ARC124" s="381"/>
      <c r="ARD124" s="381"/>
      <c r="ARE124" s="381"/>
      <c r="ARF124" s="381"/>
      <c r="ARG124" s="381"/>
      <c r="ARH124" s="381"/>
      <c r="ARI124" s="381"/>
      <c r="ARJ124" s="381"/>
      <c r="ARK124" s="381"/>
      <c r="ARL124" s="381"/>
      <c r="ARM124" s="381"/>
      <c r="ARN124" s="381"/>
      <c r="ARO124" s="381"/>
      <c r="ARP124" s="381"/>
      <c r="ARQ124" s="381"/>
      <c r="ARR124" s="381"/>
      <c r="ARS124" s="381"/>
      <c r="ART124" s="381"/>
      <c r="ARU124" s="381"/>
      <c r="ARV124" s="381"/>
      <c r="ARW124" s="381"/>
      <c r="ARX124" s="381"/>
      <c r="ARY124" s="381"/>
      <c r="ARZ124" s="381"/>
      <c r="ASA124" s="381"/>
      <c r="ASB124" s="381"/>
      <c r="ASC124" s="381"/>
      <c r="ASD124" s="381"/>
      <c r="ASE124" s="381"/>
      <c r="ASF124" s="381"/>
      <c r="ASG124" s="381"/>
      <c r="ASH124" s="381"/>
      <c r="ASI124" s="381"/>
      <c r="ASJ124" s="381"/>
      <c r="ASK124" s="381"/>
      <c r="ASL124" s="381"/>
      <c r="ASM124" s="381"/>
      <c r="ASN124" s="381"/>
      <c r="ASO124" s="381"/>
      <c r="ASP124" s="381"/>
      <c r="ASQ124" s="381"/>
      <c r="ASR124" s="381"/>
      <c r="ASS124" s="381"/>
      <c r="AST124" s="381"/>
      <c r="ASU124" s="381"/>
      <c r="ASV124" s="381"/>
      <c r="ASW124" s="381"/>
      <c r="ASX124" s="381"/>
      <c r="ASY124" s="381"/>
      <c r="ASZ124" s="381"/>
      <c r="ATA124" s="381"/>
      <c r="ATB124" s="381"/>
      <c r="ATC124" s="381"/>
      <c r="ATD124" s="381"/>
      <c r="ATE124" s="381"/>
      <c r="ATF124" s="381"/>
      <c r="ATG124" s="381"/>
      <c r="ATH124" s="381"/>
      <c r="ATI124" s="381"/>
      <c r="ATJ124" s="381"/>
      <c r="ATK124" s="381"/>
      <c r="ATL124" s="381"/>
      <c r="ATM124" s="381"/>
      <c r="ATN124" s="381"/>
      <c r="ATO124" s="381"/>
      <c r="ATP124" s="381"/>
      <c r="ATQ124" s="381"/>
      <c r="ATR124" s="381"/>
      <c r="ATS124" s="381"/>
      <c r="ATT124" s="381"/>
      <c r="ATU124" s="381"/>
      <c r="ATV124" s="381"/>
      <c r="ATW124" s="381"/>
      <c r="ATX124" s="381"/>
      <c r="ATY124" s="381"/>
      <c r="ATZ124" s="381"/>
      <c r="AUA124" s="381"/>
      <c r="AUB124" s="381"/>
      <c r="AUC124" s="381"/>
      <c r="AUD124" s="381"/>
      <c r="AUE124" s="381"/>
      <c r="AUF124" s="381"/>
      <c r="AUG124" s="381"/>
      <c r="AUH124" s="381"/>
      <c r="AUI124" s="381"/>
      <c r="AUJ124" s="381"/>
      <c r="AUK124" s="381"/>
      <c r="AUL124" s="381"/>
      <c r="AUM124" s="381"/>
      <c r="AUN124" s="381"/>
      <c r="AUO124" s="381"/>
      <c r="AUP124" s="381"/>
      <c r="AUQ124" s="381"/>
      <c r="AUR124" s="381"/>
      <c r="AUS124" s="381"/>
      <c r="AUT124" s="381"/>
      <c r="AUU124" s="381"/>
      <c r="AUV124" s="381"/>
      <c r="AUW124" s="381"/>
      <c r="AUX124" s="381"/>
      <c r="AUY124" s="381"/>
      <c r="AUZ124" s="381"/>
      <c r="AVA124" s="381"/>
      <c r="AVB124" s="381"/>
      <c r="AVC124" s="381"/>
      <c r="AVD124" s="381"/>
      <c r="AVE124" s="381"/>
      <c r="AVF124" s="381"/>
      <c r="AVG124" s="381"/>
      <c r="AVH124" s="381"/>
      <c r="AVI124" s="381"/>
      <c r="AVJ124" s="381"/>
      <c r="AVK124" s="381"/>
      <c r="AVL124" s="381"/>
      <c r="AVM124" s="381"/>
      <c r="AVN124" s="381"/>
      <c r="AVO124" s="381"/>
      <c r="AVP124" s="381"/>
      <c r="AVQ124" s="381"/>
      <c r="AVR124" s="381"/>
      <c r="AVS124" s="381"/>
      <c r="AVT124" s="381"/>
      <c r="AVU124" s="381"/>
      <c r="AVV124" s="381"/>
      <c r="AVW124" s="381"/>
      <c r="AVX124" s="381"/>
      <c r="AVY124" s="381"/>
      <c r="AVZ124" s="381"/>
      <c r="AWA124" s="381"/>
      <c r="AWB124" s="381"/>
      <c r="AWC124" s="381"/>
      <c r="AWD124" s="381"/>
      <c r="AWE124" s="381"/>
      <c r="AWF124" s="381"/>
      <c r="AWG124" s="381"/>
      <c r="AWH124" s="381"/>
      <c r="AWI124" s="381"/>
      <c r="AWJ124" s="381"/>
      <c r="AWK124" s="381"/>
      <c r="AWL124" s="381"/>
      <c r="AWM124" s="381"/>
      <c r="AWN124" s="381"/>
      <c r="AWO124" s="381"/>
      <c r="AWP124" s="381"/>
      <c r="AWQ124" s="381"/>
      <c r="AWR124" s="381"/>
      <c r="AWS124" s="381"/>
      <c r="AWT124" s="381"/>
      <c r="AWU124" s="381"/>
      <c r="AWV124" s="381"/>
      <c r="AWW124" s="381"/>
      <c r="AWX124" s="381"/>
      <c r="AWY124" s="381"/>
      <c r="AWZ124" s="381"/>
      <c r="AXA124" s="381"/>
      <c r="AXB124" s="381"/>
      <c r="AXC124" s="381"/>
      <c r="AXD124" s="381"/>
      <c r="AXE124" s="381"/>
      <c r="AXF124" s="381"/>
      <c r="AXG124" s="381"/>
      <c r="AXH124" s="381"/>
      <c r="AXI124" s="381"/>
      <c r="AXJ124" s="381"/>
      <c r="AXK124" s="381"/>
      <c r="AXL124" s="381"/>
      <c r="AXM124" s="381"/>
      <c r="AXN124" s="381"/>
      <c r="AXO124" s="381"/>
      <c r="AXP124" s="381"/>
      <c r="AXQ124" s="381"/>
      <c r="AXR124" s="381"/>
      <c r="AXS124" s="381"/>
      <c r="AXT124" s="381"/>
      <c r="AXU124" s="381"/>
      <c r="AXV124" s="381"/>
      <c r="AXW124" s="381"/>
      <c r="AXX124" s="381"/>
      <c r="AXY124" s="381"/>
      <c r="AXZ124" s="381"/>
      <c r="AYA124" s="381"/>
      <c r="AYB124" s="381"/>
      <c r="AYC124" s="381"/>
      <c r="AYD124" s="381"/>
      <c r="AYE124" s="381"/>
      <c r="AYF124" s="381"/>
      <c r="AYG124" s="381"/>
      <c r="AYH124" s="381"/>
      <c r="AYI124" s="381"/>
      <c r="AYJ124" s="381"/>
      <c r="AYK124" s="381"/>
      <c r="AYL124" s="381"/>
      <c r="AYM124" s="381"/>
      <c r="AYN124" s="381"/>
      <c r="AYO124" s="381"/>
      <c r="AYP124" s="381"/>
      <c r="AYQ124" s="381"/>
      <c r="AYR124" s="381"/>
      <c r="AYS124" s="381"/>
      <c r="AYT124" s="381"/>
      <c r="AYU124" s="381"/>
      <c r="AYV124" s="381"/>
      <c r="AYW124" s="381"/>
      <c r="AYX124" s="381"/>
      <c r="AYY124" s="381"/>
      <c r="AYZ124" s="381"/>
      <c r="AZA124" s="381"/>
      <c r="AZB124" s="381"/>
      <c r="AZC124" s="381"/>
      <c r="AZD124" s="381"/>
      <c r="AZE124" s="381"/>
      <c r="AZF124" s="381"/>
      <c r="AZG124" s="381"/>
      <c r="AZH124" s="381"/>
      <c r="AZI124" s="381"/>
      <c r="AZJ124" s="381"/>
      <c r="AZK124" s="381"/>
      <c r="AZL124" s="381"/>
      <c r="AZM124" s="381"/>
      <c r="AZN124" s="381"/>
      <c r="AZO124" s="381"/>
      <c r="AZP124" s="381"/>
      <c r="AZQ124" s="381"/>
      <c r="AZR124" s="381"/>
      <c r="AZS124" s="381"/>
      <c r="AZT124" s="381"/>
      <c r="AZU124" s="381"/>
      <c r="AZV124" s="381"/>
      <c r="AZW124" s="381"/>
      <c r="AZX124" s="381"/>
      <c r="AZY124" s="381"/>
      <c r="AZZ124" s="381"/>
      <c r="BAA124" s="381"/>
      <c r="BAB124" s="381"/>
      <c r="BAC124" s="381"/>
      <c r="BAD124" s="381"/>
      <c r="BAE124" s="381"/>
      <c r="BAF124" s="381"/>
      <c r="BAG124" s="381"/>
      <c r="BAH124" s="381"/>
      <c r="BAI124" s="381"/>
      <c r="BAJ124" s="381"/>
      <c r="BAK124" s="381"/>
      <c r="BAL124" s="381"/>
      <c r="BAM124" s="381"/>
      <c r="BAN124" s="381"/>
      <c r="BAO124" s="381"/>
      <c r="BAP124" s="381"/>
      <c r="BAQ124" s="381"/>
      <c r="BAR124" s="381"/>
      <c r="BAS124" s="381"/>
      <c r="BAT124" s="381"/>
      <c r="BAU124" s="381"/>
      <c r="BAV124" s="381"/>
      <c r="BAW124" s="381"/>
      <c r="BAX124" s="381"/>
      <c r="BAY124" s="381"/>
      <c r="BAZ124" s="381"/>
      <c r="BBA124" s="381"/>
      <c r="BBB124" s="381"/>
      <c r="BBC124" s="381"/>
      <c r="BBD124" s="381"/>
      <c r="BBE124" s="381"/>
      <c r="BBF124" s="381"/>
      <c r="BBG124" s="381"/>
      <c r="BBH124" s="381"/>
      <c r="BBI124" s="381"/>
      <c r="BBJ124" s="381"/>
      <c r="BBK124" s="381"/>
      <c r="BBL124" s="381"/>
      <c r="BBM124" s="381"/>
      <c r="BBN124" s="381"/>
      <c r="BBO124" s="381"/>
      <c r="BBP124" s="381"/>
      <c r="BBQ124" s="381"/>
      <c r="BBR124" s="381"/>
      <c r="BBS124" s="381"/>
      <c r="BBT124" s="381"/>
      <c r="BBU124" s="381"/>
      <c r="BBV124" s="381"/>
      <c r="BBW124" s="381"/>
      <c r="BBX124" s="381"/>
      <c r="BBY124" s="381"/>
      <c r="BBZ124" s="381"/>
      <c r="BCA124" s="381"/>
      <c r="BCB124" s="381"/>
      <c r="BCC124" s="381"/>
      <c r="BCD124" s="381"/>
      <c r="BCE124" s="381"/>
      <c r="BCF124" s="381"/>
      <c r="BCG124" s="381"/>
      <c r="BCH124" s="381"/>
      <c r="BCI124" s="381"/>
      <c r="BCJ124" s="381"/>
      <c r="BCK124" s="381"/>
      <c r="BCL124" s="381"/>
      <c r="BCM124" s="381"/>
      <c r="BCN124" s="381"/>
      <c r="BCO124" s="381"/>
      <c r="BCP124" s="381"/>
      <c r="BCQ124" s="381"/>
      <c r="BCR124" s="381"/>
      <c r="BCS124" s="381"/>
      <c r="BCT124" s="381"/>
      <c r="BCU124" s="381"/>
      <c r="BCV124" s="381"/>
      <c r="BCW124" s="381"/>
      <c r="BCX124" s="381"/>
      <c r="BCY124" s="381"/>
      <c r="BCZ124" s="381"/>
      <c r="BDA124" s="381"/>
      <c r="BDB124" s="381"/>
      <c r="BDC124" s="381"/>
      <c r="BDD124" s="381"/>
      <c r="BDE124" s="381"/>
      <c r="BDF124" s="381"/>
      <c r="BDG124" s="381"/>
      <c r="BDH124" s="381"/>
      <c r="BDI124" s="381"/>
      <c r="BDJ124" s="381"/>
      <c r="BDK124" s="381"/>
      <c r="BDL124" s="381"/>
      <c r="BDM124" s="381"/>
      <c r="BDN124" s="381"/>
      <c r="BDO124" s="381"/>
      <c r="BDP124" s="381"/>
      <c r="BDQ124" s="381"/>
      <c r="BDR124" s="381"/>
      <c r="BDS124" s="381"/>
      <c r="BDT124" s="381"/>
      <c r="BDU124" s="381"/>
      <c r="BDV124" s="381"/>
      <c r="BDW124" s="381"/>
      <c r="BDX124" s="381"/>
      <c r="BDY124" s="381"/>
      <c r="BDZ124" s="381"/>
      <c r="BEA124" s="381"/>
      <c r="BEB124" s="381"/>
      <c r="BEC124" s="381"/>
      <c r="BED124" s="381"/>
      <c r="BEE124" s="381"/>
      <c r="BEF124" s="381"/>
      <c r="BEG124" s="381"/>
      <c r="BEH124" s="381"/>
      <c r="BEI124" s="381"/>
      <c r="BEJ124" s="381"/>
      <c r="BEK124" s="381"/>
      <c r="BEL124" s="381"/>
      <c r="BEM124" s="381"/>
      <c r="BEN124" s="381"/>
      <c r="BEO124" s="381"/>
      <c r="BEP124" s="381"/>
      <c r="BEQ124" s="381"/>
      <c r="BER124" s="381"/>
      <c r="BES124" s="381"/>
      <c r="BET124" s="381"/>
      <c r="BEU124" s="381"/>
      <c r="BEV124" s="381"/>
      <c r="BEW124" s="381"/>
      <c r="BEX124" s="381"/>
      <c r="BEY124" s="381"/>
      <c r="BEZ124" s="381"/>
      <c r="BFA124" s="381"/>
      <c r="BFB124" s="381"/>
      <c r="BFC124" s="381"/>
      <c r="BFD124" s="381"/>
      <c r="BFE124" s="381"/>
      <c r="BFF124" s="381"/>
      <c r="BFG124" s="381"/>
      <c r="BFH124" s="381"/>
      <c r="BFI124" s="381"/>
      <c r="BFJ124" s="381"/>
      <c r="BFK124" s="381"/>
      <c r="BFL124" s="381"/>
      <c r="BFM124" s="381"/>
      <c r="BFN124" s="381"/>
      <c r="BFO124" s="381"/>
      <c r="BFP124" s="381"/>
      <c r="BFQ124" s="381"/>
      <c r="BFR124" s="381"/>
      <c r="BFS124" s="381"/>
      <c r="BFT124" s="381"/>
      <c r="BFU124" s="381"/>
      <c r="BFV124" s="381"/>
      <c r="BFW124" s="381"/>
      <c r="BFX124" s="381"/>
      <c r="BFY124" s="381"/>
      <c r="BFZ124" s="381"/>
      <c r="BGA124" s="381"/>
      <c r="BGB124" s="381"/>
      <c r="BGC124" s="381"/>
      <c r="BGD124" s="381"/>
      <c r="BGE124" s="381"/>
      <c r="BGF124" s="381"/>
      <c r="BGG124" s="381"/>
      <c r="BGH124" s="381"/>
      <c r="BGI124" s="381"/>
      <c r="BGJ124" s="381"/>
      <c r="BGK124" s="381"/>
      <c r="BGL124" s="381"/>
      <c r="BGM124" s="381"/>
      <c r="BGN124" s="381"/>
      <c r="BGO124" s="381"/>
      <c r="BGP124" s="381"/>
      <c r="BGQ124" s="381"/>
      <c r="BGR124" s="381"/>
      <c r="BGS124" s="381"/>
      <c r="BGT124" s="381"/>
      <c r="BGU124" s="381"/>
      <c r="BGV124" s="381"/>
      <c r="BGW124" s="381"/>
      <c r="BGX124" s="381"/>
      <c r="BGY124" s="381"/>
      <c r="BGZ124" s="381"/>
      <c r="BHA124" s="381"/>
      <c r="BHB124" s="381"/>
      <c r="BHC124" s="381"/>
      <c r="BHD124" s="381"/>
      <c r="BHE124" s="381"/>
      <c r="BHF124" s="381"/>
      <c r="BHG124" s="381"/>
      <c r="BHH124" s="381"/>
      <c r="BHI124" s="381"/>
      <c r="BHJ124" s="381"/>
      <c r="BHK124" s="381"/>
      <c r="BHL124" s="381"/>
      <c r="BHM124" s="381"/>
      <c r="BHN124" s="381"/>
      <c r="BHO124" s="381"/>
      <c r="BHP124" s="381"/>
      <c r="BHQ124" s="381"/>
      <c r="BHR124" s="381"/>
      <c r="BHS124" s="381"/>
      <c r="BHT124" s="381"/>
      <c r="BHU124" s="381"/>
      <c r="BHV124" s="381"/>
      <c r="BHW124" s="381"/>
      <c r="BHX124" s="381"/>
      <c r="BHY124" s="381"/>
      <c r="BHZ124" s="381"/>
      <c r="BIA124" s="381"/>
      <c r="BIB124" s="381"/>
      <c r="BIC124" s="381"/>
      <c r="BID124" s="381"/>
      <c r="BIE124" s="381"/>
      <c r="BIF124" s="381"/>
      <c r="BIG124" s="381"/>
      <c r="BIH124" s="381"/>
      <c r="BII124" s="381"/>
      <c r="BIJ124" s="381"/>
      <c r="BIK124" s="381"/>
      <c r="BIL124" s="381"/>
      <c r="BIM124" s="381"/>
      <c r="BIN124" s="381"/>
      <c r="BIO124" s="381"/>
      <c r="BIP124" s="381"/>
      <c r="BIQ124" s="381"/>
      <c r="BIR124" s="381"/>
      <c r="BIS124" s="381"/>
      <c r="BIT124" s="381"/>
      <c r="BIU124" s="381"/>
      <c r="BIV124" s="381"/>
      <c r="BIW124" s="381"/>
      <c r="BIX124" s="381"/>
      <c r="BIY124" s="381"/>
      <c r="BIZ124" s="381"/>
      <c r="BJA124" s="381"/>
      <c r="BJB124" s="381"/>
      <c r="BJC124" s="381"/>
      <c r="BJD124" s="381"/>
      <c r="BJE124" s="381"/>
      <c r="BJF124" s="381"/>
      <c r="BJG124" s="381"/>
      <c r="BJH124" s="381"/>
      <c r="BJI124" s="381"/>
      <c r="BJJ124" s="381"/>
      <c r="BJK124" s="381"/>
      <c r="BJL124" s="381"/>
      <c r="BJM124" s="381"/>
      <c r="BJN124" s="381"/>
      <c r="BJO124" s="381"/>
      <c r="BJP124" s="381"/>
      <c r="BJQ124" s="381"/>
      <c r="BJR124" s="381"/>
      <c r="BJS124" s="381"/>
      <c r="BJT124" s="381"/>
      <c r="BJU124" s="381"/>
      <c r="BJV124" s="381"/>
      <c r="BJW124" s="381"/>
      <c r="BJX124" s="381"/>
      <c r="BJY124" s="381"/>
      <c r="BJZ124" s="381"/>
      <c r="BKA124" s="381"/>
      <c r="BKB124" s="381"/>
      <c r="BKC124" s="381"/>
      <c r="BKD124" s="381"/>
      <c r="BKE124" s="381"/>
      <c r="BKF124" s="381"/>
      <c r="BKG124" s="381"/>
      <c r="BKH124" s="381"/>
      <c r="BKI124" s="381"/>
      <c r="BKJ124" s="381"/>
      <c r="BKK124" s="381"/>
      <c r="BKL124" s="381"/>
      <c r="BKM124" s="381"/>
      <c r="BKN124" s="381"/>
      <c r="BKO124" s="381"/>
      <c r="BKP124" s="381"/>
      <c r="BKQ124" s="381"/>
      <c r="BKR124" s="381"/>
      <c r="BKS124" s="381"/>
      <c r="BKT124" s="381"/>
      <c r="BKU124" s="381"/>
      <c r="BKV124" s="381"/>
      <c r="BKW124" s="381"/>
      <c r="BKX124" s="381"/>
      <c r="BKY124" s="381"/>
      <c r="BKZ124" s="381"/>
      <c r="BLA124" s="381"/>
      <c r="BLB124" s="381"/>
      <c r="BLC124" s="381"/>
      <c r="BLD124" s="381"/>
      <c r="BLE124" s="381"/>
      <c r="BLF124" s="381"/>
      <c r="BLG124" s="381"/>
      <c r="BLH124" s="381"/>
      <c r="BLI124" s="381"/>
      <c r="BLJ124" s="381"/>
      <c r="BLK124" s="381"/>
      <c r="BLL124" s="381"/>
      <c r="BLM124" s="381"/>
      <c r="BLN124" s="381"/>
      <c r="BLO124" s="381"/>
      <c r="BLP124" s="381"/>
      <c r="BLQ124" s="381"/>
      <c r="BLR124" s="381"/>
      <c r="BLS124" s="381"/>
      <c r="BLT124" s="381"/>
      <c r="BLU124" s="381"/>
      <c r="BLV124" s="381"/>
      <c r="BLW124" s="381"/>
      <c r="BLX124" s="381"/>
      <c r="BLY124" s="381"/>
      <c r="BLZ124" s="381"/>
      <c r="BMA124" s="381"/>
      <c r="BMB124" s="381"/>
      <c r="BMC124" s="381"/>
      <c r="BMD124" s="381"/>
      <c r="BME124" s="381"/>
      <c r="BMF124" s="381"/>
      <c r="BMG124" s="381"/>
      <c r="BMH124" s="381"/>
      <c r="BMI124" s="381"/>
      <c r="BMJ124" s="381"/>
      <c r="BMK124" s="381"/>
      <c r="BML124" s="381"/>
      <c r="BMM124" s="381"/>
      <c r="BMN124" s="381"/>
      <c r="BMO124" s="381"/>
      <c r="BMP124" s="381"/>
      <c r="BMQ124" s="381"/>
      <c r="BMR124" s="381"/>
      <c r="BMS124" s="381"/>
      <c r="BMT124" s="381"/>
      <c r="BMU124" s="381"/>
      <c r="BMV124" s="381"/>
      <c r="BMW124" s="381"/>
      <c r="BMX124" s="381"/>
      <c r="BMY124" s="381"/>
      <c r="BMZ124" s="381"/>
      <c r="BNA124" s="381"/>
      <c r="BNB124" s="381"/>
      <c r="BNC124" s="381"/>
      <c r="BND124" s="381"/>
      <c r="BNE124" s="381"/>
      <c r="BNF124" s="381"/>
      <c r="BNG124" s="381"/>
      <c r="BNH124" s="381"/>
      <c r="BNI124" s="381"/>
      <c r="BNJ124" s="381"/>
      <c r="BNK124" s="381"/>
      <c r="BNL124" s="381"/>
      <c r="BNM124" s="381"/>
      <c r="BNN124" s="381"/>
      <c r="BNO124" s="381"/>
      <c r="BNP124" s="381"/>
      <c r="BNQ124" s="381"/>
      <c r="BNR124" s="381"/>
      <c r="BNS124" s="381"/>
      <c r="BNT124" s="381"/>
      <c r="BNU124" s="381"/>
      <c r="BNV124" s="381"/>
      <c r="BNW124" s="381"/>
      <c r="BNX124" s="381"/>
      <c r="BNY124" s="381"/>
      <c r="BNZ124" s="381"/>
      <c r="BOA124" s="381"/>
      <c r="BOB124" s="381"/>
      <c r="BOC124" s="381"/>
      <c r="BOD124" s="381"/>
      <c r="BOE124" s="381"/>
      <c r="BOF124" s="381"/>
      <c r="BOG124" s="381"/>
      <c r="BOH124" s="381"/>
      <c r="BOI124" s="381"/>
      <c r="BOJ124" s="381"/>
      <c r="BOK124" s="381"/>
      <c r="BOL124" s="381"/>
      <c r="BOM124" s="381"/>
      <c r="BON124" s="381"/>
      <c r="BOO124" s="381"/>
      <c r="BOP124" s="381"/>
      <c r="BOQ124" s="381"/>
      <c r="BOR124" s="381"/>
      <c r="BOS124" s="381"/>
      <c r="BOT124" s="381"/>
      <c r="BOU124" s="381"/>
      <c r="BOV124" s="381"/>
      <c r="BOW124" s="381"/>
      <c r="BOX124" s="381"/>
      <c r="BOY124" s="381"/>
      <c r="BOZ124" s="381"/>
      <c r="BPA124" s="381"/>
      <c r="BPB124" s="381"/>
      <c r="BPC124" s="381"/>
      <c r="BPD124" s="381"/>
      <c r="BPE124" s="381"/>
      <c r="BPF124" s="381"/>
      <c r="BPG124" s="381"/>
      <c r="BPH124" s="381"/>
      <c r="BPI124" s="381"/>
      <c r="BPJ124" s="381"/>
      <c r="BPK124" s="381"/>
      <c r="BPL124" s="381"/>
      <c r="BPM124" s="381"/>
      <c r="BPN124" s="381"/>
      <c r="BPO124" s="381"/>
      <c r="BPP124" s="381"/>
      <c r="BPQ124" s="381"/>
      <c r="BPR124" s="381"/>
      <c r="BPS124" s="381"/>
      <c r="BPT124" s="381"/>
      <c r="BPU124" s="381"/>
      <c r="BPV124" s="381"/>
      <c r="BPW124" s="381"/>
      <c r="BPX124" s="381"/>
      <c r="BPY124" s="381"/>
      <c r="BPZ124" s="381"/>
      <c r="BQA124" s="381"/>
      <c r="BQB124" s="381"/>
      <c r="BQC124" s="381"/>
      <c r="BQD124" s="381"/>
      <c r="BQE124" s="381"/>
      <c r="BQF124" s="381"/>
      <c r="BQG124" s="381"/>
      <c r="BQH124" s="381"/>
      <c r="BQI124" s="381"/>
      <c r="BQJ124" s="381"/>
      <c r="BQK124" s="381"/>
      <c r="BQL124" s="381"/>
      <c r="BQM124" s="381"/>
      <c r="BQN124" s="381"/>
      <c r="BQO124" s="381"/>
      <c r="BQP124" s="381"/>
      <c r="BQQ124" s="381"/>
      <c r="BQR124" s="381"/>
      <c r="BQS124" s="381"/>
      <c r="BQT124" s="381"/>
      <c r="BQU124" s="381"/>
      <c r="BQV124" s="381"/>
      <c r="BQW124" s="381"/>
      <c r="BQX124" s="381"/>
      <c r="BQY124" s="381"/>
      <c r="BQZ124" s="381"/>
      <c r="BRA124" s="381"/>
      <c r="BRB124" s="381"/>
      <c r="BRC124" s="381"/>
      <c r="BRD124" s="381"/>
      <c r="BRE124" s="381"/>
      <c r="BRF124" s="381"/>
      <c r="BRG124" s="381"/>
      <c r="BRH124" s="381"/>
      <c r="BRI124" s="381"/>
      <c r="BRJ124" s="381"/>
      <c r="BRK124" s="381"/>
      <c r="BRL124" s="381"/>
      <c r="BRM124" s="381"/>
      <c r="BRN124" s="381"/>
      <c r="BRO124" s="381"/>
      <c r="BRP124" s="381"/>
      <c r="BRQ124" s="381"/>
      <c r="BRR124" s="381"/>
      <c r="BRS124" s="381"/>
      <c r="BRT124" s="381"/>
      <c r="BRU124" s="381"/>
      <c r="BRV124" s="381"/>
      <c r="BRW124" s="381"/>
      <c r="BRX124" s="381"/>
      <c r="BRY124" s="381"/>
      <c r="BRZ124" s="381"/>
      <c r="BSA124" s="381"/>
      <c r="BSB124" s="381"/>
      <c r="BSC124" s="381"/>
      <c r="BSD124" s="381"/>
      <c r="BSE124" s="381"/>
      <c r="BSF124" s="381"/>
      <c r="BSG124" s="381"/>
      <c r="BSH124" s="381"/>
      <c r="BSI124" s="381"/>
      <c r="BSJ124" s="381"/>
      <c r="BSK124" s="381"/>
      <c r="BSL124" s="381"/>
      <c r="BSM124" s="381"/>
      <c r="BSN124" s="381"/>
      <c r="BSO124" s="381"/>
      <c r="BSP124" s="381"/>
      <c r="BSQ124" s="381"/>
      <c r="BSR124" s="381"/>
      <c r="BSS124" s="381"/>
      <c r="BST124" s="381"/>
      <c r="BSU124" s="381"/>
      <c r="BSV124" s="381"/>
      <c r="BSW124" s="381"/>
      <c r="BSX124" s="381"/>
      <c r="BSY124" s="381"/>
      <c r="BSZ124" s="381"/>
      <c r="BTA124" s="381"/>
      <c r="BTB124" s="381"/>
      <c r="BTC124" s="381"/>
      <c r="BTD124" s="381"/>
      <c r="BTE124" s="381"/>
      <c r="BTF124" s="381"/>
      <c r="BTG124" s="381"/>
      <c r="BTH124" s="381"/>
      <c r="BTI124" s="381"/>
      <c r="BTJ124" s="381"/>
      <c r="BTK124" s="381"/>
      <c r="BTL124" s="381"/>
      <c r="BTM124" s="381"/>
      <c r="BTN124" s="381"/>
      <c r="BTO124" s="381"/>
      <c r="BTP124" s="381"/>
      <c r="BTQ124" s="381"/>
      <c r="BTR124" s="381"/>
      <c r="BTS124" s="381"/>
      <c r="BTT124" s="381"/>
      <c r="BTU124" s="381"/>
      <c r="BTV124" s="381"/>
      <c r="BTW124" s="381"/>
      <c r="BTX124" s="381"/>
      <c r="BTY124" s="381"/>
      <c r="BTZ124" s="381"/>
      <c r="BUA124" s="381"/>
      <c r="BUB124" s="381"/>
      <c r="BUC124" s="381"/>
      <c r="BUD124" s="381"/>
      <c r="BUE124" s="381"/>
      <c r="BUF124" s="381"/>
      <c r="BUG124" s="381"/>
      <c r="BUH124" s="381"/>
      <c r="BUI124" s="381"/>
      <c r="BUJ124" s="381"/>
      <c r="BUK124" s="381"/>
      <c r="BUL124" s="381"/>
      <c r="BUM124" s="381"/>
      <c r="BUN124" s="381"/>
      <c r="BUO124" s="381"/>
      <c r="BUP124" s="381"/>
      <c r="BUQ124" s="381"/>
      <c r="BUR124" s="381"/>
      <c r="BUS124" s="381"/>
      <c r="BUT124" s="381"/>
      <c r="BUU124" s="381"/>
      <c r="BUV124" s="381"/>
      <c r="BUW124" s="381"/>
      <c r="BUX124" s="381"/>
      <c r="BUY124" s="381"/>
      <c r="BUZ124" s="381"/>
      <c r="BVA124" s="381"/>
      <c r="BVB124" s="381"/>
      <c r="BVC124" s="381"/>
      <c r="BVD124" s="381"/>
      <c r="BVE124" s="381"/>
      <c r="BVF124" s="381"/>
      <c r="BVG124" s="381"/>
      <c r="BVH124" s="381"/>
      <c r="BVI124" s="381"/>
      <c r="BVJ124" s="381"/>
      <c r="BVK124" s="381"/>
      <c r="BVL124" s="381"/>
      <c r="BVM124" s="381"/>
      <c r="BVN124" s="381"/>
      <c r="BVO124" s="381"/>
      <c r="BVP124" s="381"/>
      <c r="BVQ124" s="381"/>
      <c r="BVR124" s="381"/>
      <c r="BVS124" s="381"/>
      <c r="BVT124" s="381"/>
      <c r="BVU124" s="381"/>
      <c r="BVV124" s="381"/>
      <c r="BVW124" s="381"/>
      <c r="BVX124" s="381"/>
      <c r="BVY124" s="381"/>
      <c r="BVZ124" s="381"/>
      <c r="BWA124" s="381"/>
      <c r="BWB124" s="381"/>
      <c r="BWC124" s="381"/>
      <c r="BWD124" s="381"/>
      <c r="BWE124" s="381"/>
      <c r="BWF124" s="381"/>
      <c r="BWG124" s="381"/>
      <c r="BWH124" s="381"/>
      <c r="BWI124" s="381"/>
      <c r="BWJ124" s="381"/>
      <c r="BWK124" s="381"/>
      <c r="BWL124" s="381"/>
      <c r="BWM124" s="381"/>
      <c r="BWN124" s="381"/>
      <c r="BWO124" s="381"/>
      <c r="BWP124" s="381"/>
      <c r="BWQ124" s="381"/>
      <c r="BWR124" s="381"/>
      <c r="BWS124" s="381"/>
      <c r="BWT124" s="381"/>
      <c r="BWU124" s="381"/>
      <c r="BWV124" s="381"/>
      <c r="BWW124" s="381"/>
      <c r="BWX124" s="381"/>
      <c r="BWY124" s="381"/>
      <c r="BWZ124" s="381"/>
      <c r="BXA124" s="381"/>
      <c r="BXB124" s="381"/>
      <c r="BXC124" s="381"/>
      <c r="BXD124" s="381"/>
      <c r="BXE124" s="381"/>
      <c r="BXF124" s="381"/>
      <c r="BXG124" s="381"/>
      <c r="BXH124" s="381"/>
      <c r="BXI124" s="381"/>
      <c r="BXJ124" s="381"/>
      <c r="BXK124" s="381"/>
      <c r="BXL124" s="381"/>
      <c r="BXM124" s="381"/>
      <c r="BXN124" s="381"/>
      <c r="BXO124" s="381"/>
      <c r="BXP124" s="381"/>
      <c r="BXQ124" s="381"/>
      <c r="BXR124" s="381"/>
      <c r="BXS124" s="381"/>
      <c r="BXT124" s="381"/>
      <c r="BXU124" s="381"/>
      <c r="BXV124" s="381"/>
      <c r="BXW124" s="381"/>
      <c r="BXX124" s="381"/>
      <c r="BXY124" s="381"/>
      <c r="BXZ124" s="381"/>
      <c r="BYA124" s="381"/>
      <c r="BYB124" s="381"/>
      <c r="BYC124" s="381"/>
      <c r="BYD124" s="381"/>
      <c r="BYE124" s="381"/>
      <c r="BYF124" s="381"/>
      <c r="BYG124" s="381"/>
      <c r="BYH124" s="381"/>
      <c r="BYI124" s="381"/>
      <c r="BYJ124" s="381"/>
      <c r="BYK124" s="381"/>
      <c r="BYL124" s="381"/>
      <c r="BYM124" s="381"/>
      <c r="BYN124" s="381"/>
      <c r="BYO124" s="381"/>
      <c r="BYP124" s="381"/>
      <c r="BYQ124" s="381"/>
      <c r="BYR124" s="381"/>
      <c r="BYS124" s="381"/>
      <c r="BYT124" s="381"/>
      <c r="BYU124" s="381"/>
      <c r="BYV124" s="381"/>
      <c r="BYW124" s="381"/>
      <c r="BYX124" s="381"/>
      <c r="BYY124" s="381"/>
      <c r="BYZ124" s="381"/>
      <c r="BZA124" s="381"/>
      <c r="BZB124" s="381"/>
      <c r="BZC124" s="381"/>
      <c r="BZD124" s="381"/>
      <c r="BZE124" s="381"/>
      <c r="BZF124" s="381"/>
      <c r="BZG124" s="381"/>
      <c r="BZH124" s="381"/>
      <c r="BZI124" s="381"/>
      <c r="BZJ124" s="381"/>
      <c r="BZK124" s="381"/>
      <c r="BZL124" s="381"/>
      <c r="BZM124" s="381"/>
      <c r="BZN124" s="381"/>
      <c r="BZO124" s="381"/>
      <c r="BZP124" s="381"/>
      <c r="BZQ124" s="381"/>
      <c r="BZR124" s="381"/>
      <c r="BZS124" s="381"/>
      <c r="BZT124" s="381"/>
      <c r="BZU124" s="381"/>
      <c r="BZV124" s="381"/>
      <c r="BZW124" s="381"/>
      <c r="BZX124" s="381"/>
      <c r="BZY124" s="381"/>
      <c r="BZZ124" s="381"/>
      <c r="CAA124" s="381"/>
      <c r="CAB124" s="381"/>
      <c r="CAC124" s="381"/>
      <c r="CAD124" s="381"/>
      <c r="CAE124" s="381"/>
      <c r="CAF124" s="381"/>
      <c r="CAG124" s="381"/>
      <c r="CAH124" s="381"/>
      <c r="CAI124" s="381"/>
      <c r="CAJ124" s="381"/>
      <c r="CAK124" s="381"/>
      <c r="CAL124" s="381"/>
      <c r="CAM124" s="381"/>
      <c r="CAN124" s="381"/>
      <c r="CAO124" s="381"/>
      <c r="CAP124" s="381"/>
      <c r="CAQ124" s="381"/>
      <c r="CAR124" s="381"/>
      <c r="CAS124" s="381"/>
      <c r="CAT124" s="381"/>
      <c r="CAU124" s="381"/>
      <c r="CAV124" s="381"/>
      <c r="CAW124" s="381"/>
      <c r="CAX124" s="381"/>
      <c r="CAY124" s="381"/>
      <c r="CAZ124" s="381"/>
      <c r="CBA124" s="381"/>
      <c r="CBB124" s="381"/>
      <c r="CBC124" s="381"/>
      <c r="CBD124" s="381"/>
      <c r="CBE124" s="381"/>
      <c r="CBF124" s="381"/>
      <c r="CBG124" s="381"/>
      <c r="CBH124" s="381"/>
      <c r="CBI124" s="381"/>
      <c r="CBJ124" s="381"/>
      <c r="CBK124" s="381"/>
      <c r="CBL124" s="381"/>
      <c r="CBM124" s="381"/>
      <c r="CBN124" s="381"/>
      <c r="CBO124" s="381"/>
      <c r="CBP124" s="381"/>
      <c r="CBQ124" s="381"/>
      <c r="CBR124" s="381"/>
      <c r="CBS124" s="381"/>
      <c r="CBT124" s="381"/>
      <c r="CBU124" s="381"/>
      <c r="CBV124" s="381"/>
      <c r="CBW124" s="381"/>
      <c r="CBX124" s="381"/>
      <c r="CBY124" s="381"/>
      <c r="CBZ124" s="381"/>
      <c r="CCA124" s="381"/>
      <c r="CCB124" s="381"/>
      <c r="CCC124" s="381"/>
      <c r="CCD124" s="381"/>
      <c r="CCE124" s="381"/>
      <c r="CCF124" s="381"/>
      <c r="CCG124" s="381"/>
      <c r="CCH124" s="381"/>
      <c r="CCI124" s="381"/>
      <c r="CCJ124" s="381"/>
      <c r="CCK124" s="381"/>
      <c r="CCL124" s="381"/>
      <c r="CCM124" s="381"/>
      <c r="CCN124" s="381"/>
      <c r="CCO124" s="381"/>
      <c r="CCP124" s="381"/>
      <c r="CCQ124" s="381"/>
      <c r="CCR124" s="381"/>
      <c r="CCS124" s="381"/>
      <c r="CCT124" s="381"/>
      <c r="CCU124" s="381"/>
      <c r="CCV124" s="381"/>
      <c r="CCW124" s="381"/>
      <c r="CCX124" s="381"/>
      <c r="CCY124" s="381"/>
      <c r="CCZ124" s="381"/>
      <c r="CDA124" s="381"/>
      <c r="CDB124" s="381"/>
      <c r="CDC124" s="381"/>
      <c r="CDD124" s="381"/>
      <c r="CDE124" s="381"/>
      <c r="CDF124" s="381"/>
      <c r="CDG124" s="381"/>
      <c r="CDH124" s="381"/>
      <c r="CDI124" s="381"/>
      <c r="CDJ124" s="381"/>
      <c r="CDK124" s="381"/>
      <c r="CDL124" s="381"/>
      <c r="CDM124" s="381"/>
      <c r="CDN124" s="381"/>
      <c r="CDO124" s="381"/>
      <c r="CDP124" s="381"/>
      <c r="CDQ124" s="381"/>
      <c r="CDR124" s="381"/>
      <c r="CDS124" s="381"/>
      <c r="CDT124" s="381"/>
      <c r="CDU124" s="381"/>
      <c r="CDV124" s="381"/>
      <c r="CDW124" s="381"/>
      <c r="CDX124" s="381"/>
      <c r="CDY124" s="381"/>
      <c r="CDZ124" s="381"/>
      <c r="CEA124" s="381"/>
      <c r="CEB124" s="381"/>
      <c r="CEC124" s="381"/>
      <c r="CED124" s="381"/>
      <c r="CEE124" s="381"/>
      <c r="CEF124" s="381"/>
      <c r="CEG124" s="381"/>
      <c r="CEH124" s="381"/>
      <c r="CEI124" s="381"/>
      <c r="CEJ124" s="381"/>
      <c r="CEK124" s="381"/>
      <c r="CEL124" s="381"/>
      <c r="CEM124" s="381"/>
      <c r="CEN124" s="381"/>
      <c r="CEO124" s="381"/>
      <c r="CEP124" s="381"/>
      <c r="CEQ124" s="381"/>
      <c r="CER124" s="381"/>
      <c r="CES124" s="381"/>
      <c r="CET124" s="381"/>
      <c r="CEU124" s="381"/>
      <c r="CEV124" s="381"/>
      <c r="CEW124" s="381"/>
      <c r="CEX124" s="381"/>
      <c r="CEY124" s="381"/>
      <c r="CEZ124" s="381"/>
      <c r="CFA124" s="381"/>
      <c r="CFB124" s="381"/>
      <c r="CFC124" s="381"/>
      <c r="CFD124" s="381"/>
      <c r="CFE124" s="381"/>
      <c r="CFF124" s="381"/>
      <c r="CFG124" s="381"/>
      <c r="CFH124" s="381"/>
      <c r="CFI124" s="381"/>
      <c r="CFJ124" s="381"/>
      <c r="CFK124" s="381"/>
      <c r="CFL124" s="381"/>
      <c r="CFM124" s="381"/>
      <c r="CFN124" s="381"/>
      <c r="CFO124" s="381"/>
      <c r="CFP124" s="381"/>
      <c r="CFQ124" s="381"/>
      <c r="CFR124" s="381"/>
      <c r="CFS124" s="381"/>
      <c r="CFT124" s="381"/>
      <c r="CFU124" s="381"/>
      <c r="CFV124" s="381"/>
      <c r="CFW124" s="381"/>
      <c r="CFX124" s="381"/>
      <c r="CFY124" s="381"/>
      <c r="CFZ124" s="381"/>
      <c r="CGA124" s="381"/>
      <c r="CGB124" s="381"/>
      <c r="CGC124" s="381"/>
      <c r="CGD124" s="381"/>
      <c r="CGE124" s="381"/>
      <c r="CGF124" s="381"/>
      <c r="CGG124" s="381"/>
      <c r="CGH124" s="381"/>
      <c r="CGI124" s="381"/>
      <c r="CGJ124" s="381"/>
      <c r="CGK124" s="381"/>
      <c r="CGL124" s="381"/>
      <c r="CGM124" s="381"/>
      <c r="CGN124" s="381"/>
      <c r="CGO124" s="381"/>
      <c r="CGP124" s="381"/>
      <c r="CGQ124" s="381"/>
      <c r="CGR124" s="381"/>
      <c r="CGS124" s="381"/>
      <c r="CGT124" s="381"/>
      <c r="CGU124" s="381"/>
      <c r="CGV124" s="381"/>
      <c r="CGW124" s="381"/>
      <c r="CGX124" s="381"/>
      <c r="CGY124" s="381"/>
      <c r="CGZ124" s="381"/>
      <c r="CHA124" s="381"/>
      <c r="CHB124" s="381"/>
      <c r="CHC124" s="381"/>
      <c r="CHD124" s="381"/>
      <c r="CHE124" s="381"/>
      <c r="CHF124" s="381"/>
      <c r="CHG124" s="381"/>
      <c r="CHH124" s="381"/>
      <c r="CHI124" s="381"/>
      <c r="CHJ124" s="381"/>
      <c r="CHK124" s="381"/>
      <c r="CHL124" s="381"/>
      <c r="CHM124" s="381"/>
      <c r="CHN124" s="381"/>
      <c r="CHO124" s="381"/>
      <c r="CHP124" s="381"/>
      <c r="CHQ124" s="381"/>
      <c r="CHR124" s="381"/>
      <c r="CHS124" s="381"/>
      <c r="CHT124" s="381"/>
      <c r="CHU124" s="381"/>
      <c r="CHV124" s="381"/>
      <c r="CHW124" s="381"/>
      <c r="CHX124" s="381"/>
      <c r="CHY124" s="381"/>
      <c r="CHZ124" s="381"/>
      <c r="CIA124" s="381"/>
      <c r="CIB124" s="381"/>
      <c r="CIC124" s="381"/>
      <c r="CID124" s="381"/>
      <c r="CIE124" s="381"/>
      <c r="CIF124" s="381"/>
      <c r="CIG124" s="381"/>
      <c r="CIH124" s="381"/>
      <c r="CII124" s="381"/>
      <c r="CIJ124" s="381"/>
      <c r="CIK124" s="381"/>
      <c r="CIL124" s="381"/>
      <c r="CIM124" s="381"/>
      <c r="CIN124" s="381"/>
      <c r="CIO124" s="381"/>
      <c r="CIP124" s="381"/>
      <c r="CIQ124" s="381"/>
      <c r="CIR124" s="381"/>
      <c r="CIS124" s="381"/>
      <c r="CIT124" s="381"/>
      <c r="CIU124" s="381"/>
      <c r="CIV124" s="381"/>
      <c r="CIW124" s="381"/>
      <c r="CIX124" s="381"/>
      <c r="CIY124" s="381"/>
      <c r="CIZ124" s="381"/>
      <c r="CJA124" s="381"/>
      <c r="CJB124" s="381"/>
      <c r="CJC124" s="381"/>
      <c r="CJD124" s="381"/>
      <c r="CJE124" s="381"/>
      <c r="CJF124" s="381"/>
      <c r="CJG124" s="381"/>
      <c r="CJH124" s="381"/>
      <c r="CJI124" s="381"/>
      <c r="CJJ124" s="381"/>
      <c r="CJK124" s="381"/>
      <c r="CJL124" s="381"/>
      <c r="CJM124" s="381"/>
      <c r="CJN124" s="381"/>
      <c r="CJO124" s="381"/>
      <c r="CJP124" s="381"/>
      <c r="CJQ124" s="381"/>
      <c r="CJR124" s="381"/>
      <c r="CJS124" s="381"/>
      <c r="CJT124" s="381"/>
      <c r="CJU124" s="381"/>
      <c r="CJV124" s="381"/>
      <c r="CJW124" s="381"/>
      <c r="CJX124" s="381"/>
      <c r="CJY124" s="381"/>
      <c r="CJZ124" s="381"/>
      <c r="CKA124" s="381"/>
      <c r="CKB124" s="381"/>
      <c r="CKC124" s="381"/>
      <c r="CKD124" s="381"/>
      <c r="CKE124" s="381"/>
      <c r="CKF124" s="381"/>
      <c r="CKG124" s="381"/>
      <c r="CKH124" s="381"/>
      <c r="CKI124" s="381"/>
      <c r="CKJ124" s="381"/>
      <c r="CKK124" s="381"/>
      <c r="CKL124" s="381"/>
      <c r="CKM124" s="381"/>
      <c r="CKN124" s="381"/>
      <c r="CKO124" s="381"/>
      <c r="CKP124" s="381"/>
      <c r="CKQ124" s="381"/>
      <c r="CKR124" s="381"/>
      <c r="CKS124" s="381"/>
      <c r="CKT124" s="381"/>
      <c r="CKU124" s="381"/>
      <c r="CKV124" s="381"/>
      <c r="CKW124" s="381"/>
      <c r="CKX124" s="381"/>
      <c r="CKY124" s="381"/>
      <c r="CKZ124" s="381"/>
      <c r="CLA124" s="381"/>
      <c r="CLB124" s="381"/>
      <c r="CLC124" s="381"/>
      <c r="CLD124" s="381"/>
      <c r="CLE124" s="381"/>
      <c r="CLF124" s="381"/>
      <c r="CLG124" s="381"/>
      <c r="CLH124" s="381"/>
      <c r="CLI124" s="381"/>
      <c r="CLJ124" s="381"/>
      <c r="CLK124" s="381"/>
      <c r="CLL124" s="381"/>
      <c r="CLM124" s="381"/>
      <c r="CLN124" s="381"/>
      <c r="CLO124" s="381"/>
      <c r="CLP124" s="381"/>
      <c r="CLQ124" s="381"/>
      <c r="CLR124" s="381"/>
      <c r="CLS124" s="381"/>
      <c r="CLT124" s="381"/>
      <c r="CLU124" s="381"/>
      <c r="CLV124" s="381"/>
      <c r="CLW124" s="381"/>
      <c r="CLX124" s="381"/>
      <c r="CLY124" s="381"/>
      <c r="CLZ124" s="381"/>
      <c r="CMA124" s="381"/>
      <c r="CMB124" s="381"/>
      <c r="CMC124" s="381"/>
      <c r="CMD124" s="381"/>
      <c r="CME124" s="381"/>
      <c r="CMF124" s="381"/>
      <c r="CMG124" s="381"/>
      <c r="CMH124" s="381"/>
      <c r="CMI124" s="381"/>
      <c r="CMJ124" s="381"/>
      <c r="CMK124" s="381"/>
      <c r="CML124" s="381"/>
      <c r="CMM124" s="381"/>
      <c r="CMN124" s="381"/>
      <c r="CMO124" s="381"/>
      <c r="CMP124" s="381"/>
      <c r="CMQ124" s="381"/>
      <c r="CMR124" s="381"/>
      <c r="CMS124" s="381"/>
      <c r="CMT124" s="381"/>
      <c r="CMU124" s="381"/>
      <c r="CMV124" s="381"/>
      <c r="CMW124" s="381"/>
      <c r="CMX124" s="381"/>
      <c r="CMY124" s="381"/>
      <c r="CMZ124" s="381"/>
      <c r="CNA124" s="381"/>
      <c r="CNB124" s="381"/>
      <c r="CNC124" s="381"/>
      <c r="CND124" s="381"/>
      <c r="CNE124" s="381"/>
      <c r="CNF124" s="381"/>
      <c r="CNG124" s="381"/>
      <c r="CNH124" s="381"/>
      <c r="CNI124" s="381"/>
      <c r="CNJ124" s="381"/>
      <c r="CNK124" s="381"/>
      <c r="CNL124" s="381"/>
      <c r="CNM124" s="381"/>
      <c r="CNN124" s="381"/>
      <c r="CNO124" s="381"/>
      <c r="CNP124" s="381"/>
      <c r="CNQ124" s="381"/>
      <c r="CNR124" s="381"/>
      <c r="CNS124" s="381"/>
      <c r="CNT124" s="381"/>
      <c r="CNU124" s="381"/>
      <c r="CNV124" s="381"/>
      <c r="CNW124" s="381"/>
      <c r="CNX124" s="381"/>
      <c r="CNY124" s="381"/>
      <c r="CNZ124" s="381"/>
      <c r="COA124" s="381"/>
      <c r="COB124" s="381"/>
      <c r="COC124" s="381"/>
      <c r="COD124" s="381"/>
      <c r="COE124" s="381"/>
      <c r="COF124" s="381"/>
      <c r="COG124" s="381"/>
      <c r="COH124" s="381"/>
      <c r="COI124" s="381"/>
      <c r="COJ124" s="381"/>
      <c r="COK124" s="381"/>
      <c r="COL124" s="381"/>
      <c r="COM124" s="381"/>
      <c r="CON124" s="381"/>
      <c r="COO124" s="381"/>
      <c r="COP124" s="381"/>
      <c r="COQ124" s="381"/>
      <c r="COR124" s="381"/>
      <c r="COS124" s="381"/>
      <c r="COT124" s="381"/>
      <c r="COU124" s="381"/>
      <c r="COV124" s="381"/>
      <c r="COW124" s="381"/>
      <c r="COX124" s="381"/>
      <c r="COY124" s="381"/>
      <c r="COZ124" s="381"/>
      <c r="CPA124" s="381"/>
      <c r="CPB124" s="381"/>
      <c r="CPC124" s="381"/>
      <c r="CPD124" s="381"/>
      <c r="CPE124" s="381"/>
      <c r="CPF124" s="381"/>
      <c r="CPG124" s="381"/>
      <c r="CPH124" s="381"/>
      <c r="CPI124" s="381"/>
      <c r="CPJ124" s="381"/>
      <c r="CPK124" s="381"/>
      <c r="CPL124" s="381"/>
      <c r="CPM124" s="381"/>
      <c r="CPN124" s="381"/>
      <c r="CPO124" s="381"/>
      <c r="CPP124" s="381"/>
      <c r="CPQ124" s="381"/>
      <c r="CPR124" s="381"/>
      <c r="CPS124" s="381"/>
      <c r="CPT124" s="381"/>
      <c r="CPU124" s="381"/>
      <c r="CPV124" s="381"/>
      <c r="CPW124" s="381"/>
      <c r="CPX124" s="381"/>
      <c r="CPY124" s="381"/>
      <c r="CPZ124" s="381"/>
      <c r="CQA124" s="381"/>
      <c r="CQB124" s="381"/>
      <c r="CQC124" s="381"/>
      <c r="CQD124" s="381"/>
      <c r="CQE124" s="381"/>
      <c r="CQF124" s="381"/>
      <c r="CQG124" s="381"/>
      <c r="CQH124" s="381"/>
      <c r="CQI124" s="381"/>
      <c r="CQJ124" s="381"/>
      <c r="CQK124" s="381"/>
      <c r="CQL124" s="381"/>
      <c r="CQM124" s="381"/>
      <c r="CQN124" s="381"/>
      <c r="CQO124" s="381"/>
      <c r="CQP124" s="381"/>
      <c r="CQQ124" s="381"/>
      <c r="CQR124" s="381"/>
      <c r="CQS124" s="381"/>
      <c r="CQT124" s="381"/>
      <c r="CQU124" s="381"/>
      <c r="CQV124" s="381"/>
      <c r="CQW124" s="381"/>
      <c r="CQX124" s="381"/>
      <c r="CQY124" s="381"/>
      <c r="CQZ124" s="381"/>
      <c r="CRA124" s="381"/>
      <c r="CRB124" s="381"/>
      <c r="CRC124" s="381"/>
      <c r="CRD124" s="381"/>
      <c r="CRE124" s="381"/>
      <c r="CRF124" s="381"/>
      <c r="CRG124" s="381"/>
      <c r="CRH124" s="381"/>
      <c r="CRI124" s="381"/>
      <c r="CRJ124" s="381"/>
      <c r="CRK124" s="381"/>
      <c r="CRL124" s="381"/>
      <c r="CRM124" s="381"/>
      <c r="CRN124" s="381"/>
      <c r="CRO124" s="381"/>
      <c r="CRP124" s="381"/>
      <c r="CRQ124" s="381"/>
      <c r="CRR124" s="381"/>
      <c r="CRS124" s="381"/>
      <c r="CRT124" s="381"/>
      <c r="CRU124" s="381"/>
      <c r="CRV124" s="381"/>
      <c r="CRW124" s="381"/>
      <c r="CRX124" s="381"/>
      <c r="CRY124" s="381"/>
      <c r="CRZ124" s="381"/>
      <c r="CSA124" s="381"/>
      <c r="CSB124" s="381"/>
      <c r="CSC124" s="381"/>
      <c r="CSD124" s="381"/>
      <c r="CSE124" s="381"/>
      <c r="CSF124" s="381"/>
      <c r="CSG124" s="381"/>
      <c r="CSH124" s="381"/>
      <c r="CSI124" s="381"/>
      <c r="CSJ124" s="381"/>
      <c r="CSK124" s="381"/>
      <c r="CSL124" s="381"/>
      <c r="CSM124" s="381"/>
      <c r="CSN124" s="381"/>
      <c r="CSO124" s="381"/>
      <c r="CSP124" s="381"/>
      <c r="CSQ124" s="381"/>
      <c r="CSR124" s="381"/>
      <c r="CSS124" s="381"/>
      <c r="CST124" s="381"/>
      <c r="CSU124" s="381"/>
      <c r="CSV124" s="381"/>
      <c r="CSW124" s="381"/>
      <c r="CSX124" s="381"/>
      <c r="CSY124" s="381"/>
      <c r="CSZ124" s="381"/>
      <c r="CTA124" s="381"/>
      <c r="CTB124" s="381"/>
      <c r="CTC124" s="381"/>
      <c r="CTD124" s="381"/>
      <c r="CTE124" s="381"/>
      <c r="CTF124" s="381"/>
      <c r="CTG124" s="381"/>
      <c r="CTH124" s="381"/>
      <c r="CTI124" s="381"/>
      <c r="CTJ124" s="381"/>
      <c r="CTK124" s="381"/>
      <c r="CTL124" s="381"/>
      <c r="CTM124" s="381"/>
      <c r="CTN124" s="381"/>
      <c r="CTO124" s="381"/>
      <c r="CTP124" s="381"/>
      <c r="CTQ124" s="381"/>
      <c r="CTR124" s="381"/>
      <c r="CTS124" s="381"/>
      <c r="CTT124" s="381"/>
      <c r="CTU124" s="381"/>
      <c r="CTV124" s="381"/>
      <c r="CTW124" s="381"/>
      <c r="CTX124" s="381"/>
      <c r="CTY124" s="381"/>
      <c r="CTZ124" s="381"/>
      <c r="CUA124" s="381"/>
      <c r="CUB124" s="381"/>
      <c r="CUC124" s="381"/>
      <c r="CUD124" s="381"/>
      <c r="CUE124" s="381"/>
      <c r="CUF124" s="381"/>
      <c r="CUG124" s="381"/>
      <c r="CUH124" s="381"/>
      <c r="CUI124" s="381"/>
      <c r="CUJ124" s="381"/>
      <c r="CUK124" s="381"/>
      <c r="CUL124" s="381"/>
      <c r="CUM124" s="381"/>
      <c r="CUN124" s="381"/>
      <c r="CUO124" s="381"/>
      <c r="CUP124" s="381"/>
      <c r="CUQ124" s="381"/>
      <c r="CUR124" s="381"/>
      <c r="CUS124" s="381"/>
      <c r="CUT124" s="381"/>
      <c r="CUU124" s="381"/>
      <c r="CUV124" s="381"/>
      <c r="CUW124" s="381"/>
      <c r="CUX124" s="381"/>
      <c r="CUY124" s="381"/>
      <c r="CUZ124" s="381"/>
      <c r="CVA124" s="381"/>
      <c r="CVB124" s="381"/>
      <c r="CVC124" s="381"/>
      <c r="CVD124" s="381"/>
      <c r="CVE124" s="381"/>
      <c r="CVF124" s="381"/>
      <c r="CVG124" s="381"/>
      <c r="CVH124" s="381"/>
      <c r="CVI124" s="381"/>
      <c r="CVJ124" s="381"/>
      <c r="CVK124" s="381"/>
      <c r="CVL124" s="381"/>
      <c r="CVM124" s="381"/>
      <c r="CVN124" s="381"/>
      <c r="CVO124" s="381"/>
      <c r="CVP124" s="381"/>
      <c r="CVQ124" s="381"/>
      <c r="CVR124" s="381"/>
      <c r="CVS124" s="381"/>
      <c r="CVT124" s="381"/>
      <c r="CVU124" s="381"/>
      <c r="CVV124" s="381"/>
      <c r="CVW124" s="381"/>
      <c r="CVX124" s="381"/>
      <c r="CVY124" s="381"/>
      <c r="CVZ124" s="381"/>
      <c r="CWA124" s="381"/>
      <c r="CWB124" s="381"/>
      <c r="CWC124" s="381"/>
      <c r="CWD124" s="381"/>
      <c r="CWE124" s="381"/>
      <c r="CWF124" s="381"/>
      <c r="CWG124" s="381"/>
      <c r="CWH124" s="381"/>
      <c r="CWI124" s="381"/>
      <c r="CWJ124" s="381"/>
      <c r="CWK124" s="381"/>
      <c r="CWL124" s="381"/>
      <c r="CWM124" s="381"/>
      <c r="CWN124" s="381"/>
      <c r="CWO124" s="381"/>
      <c r="CWP124" s="381"/>
      <c r="CWQ124" s="381"/>
      <c r="CWR124" s="381"/>
      <c r="CWS124" s="381"/>
      <c r="CWT124" s="381"/>
      <c r="CWU124" s="381"/>
      <c r="CWV124" s="381"/>
      <c r="CWW124" s="381"/>
      <c r="CWX124" s="381"/>
      <c r="CWY124" s="381"/>
      <c r="CWZ124" s="381"/>
      <c r="CXA124" s="381"/>
      <c r="CXB124" s="381"/>
      <c r="CXC124" s="381"/>
      <c r="CXD124" s="381"/>
      <c r="CXE124" s="381"/>
      <c r="CXF124" s="381"/>
      <c r="CXG124" s="381"/>
      <c r="CXH124" s="381"/>
      <c r="CXI124" s="381"/>
      <c r="CXJ124" s="381"/>
      <c r="CXK124" s="381"/>
      <c r="CXL124" s="381"/>
      <c r="CXM124" s="381"/>
      <c r="CXN124" s="381"/>
      <c r="CXO124" s="381"/>
      <c r="CXP124" s="381"/>
      <c r="CXQ124" s="381"/>
      <c r="CXR124" s="381"/>
      <c r="CXS124" s="381"/>
      <c r="CXT124" s="381"/>
      <c r="CXU124" s="381"/>
      <c r="CXV124" s="381"/>
      <c r="CXW124" s="381"/>
      <c r="CXX124" s="381"/>
      <c r="CXY124" s="381"/>
      <c r="CXZ124" s="381"/>
      <c r="CYA124" s="381"/>
      <c r="CYB124" s="381"/>
      <c r="CYC124" s="381"/>
      <c r="CYD124" s="381"/>
      <c r="CYE124" s="381"/>
      <c r="CYF124" s="381"/>
      <c r="CYG124" s="381"/>
      <c r="CYH124" s="381"/>
      <c r="CYI124" s="381"/>
      <c r="CYJ124" s="381"/>
      <c r="CYK124" s="381"/>
      <c r="CYL124" s="381"/>
      <c r="CYM124" s="381"/>
      <c r="CYN124" s="381"/>
      <c r="CYO124" s="381"/>
      <c r="CYP124" s="381"/>
      <c r="CYQ124" s="381"/>
      <c r="CYR124" s="381"/>
      <c r="CYS124" s="381"/>
      <c r="CYT124" s="381"/>
      <c r="CYU124" s="381"/>
      <c r="CYV124" s="381"/>
      <c r="CYW124" s="381"/>
      <c r="CYX124" s="381"/>
      <c r="CYY124" s="381"/>
      <c r="CYZ124" s="381"/>
      <c r="CZA124" s="381"/>
      <c r="CZB124" s="381"/>
      <c r="CZC124" s="381"/>
      <c r="CZD124" s="381"/>
      <c r="CZE124" s="381"/>
      <c r="CZF124" s="381"/>
      <c r="CZG124" s="381"/>
      <c r="CZH124" s="381"/>
      <c r="CZI124" s="381"/>
      <c r="CZJ124" s="381"/>
      <c r="CZK124" s="381"/>
      <c r="CZL124" s="381"/>
      <c r="CZM124" s="381"/>
      <c r="CZN124" s="381"/>
      <c r="CZO124" s="381"/>
      <c r="CZP124" s="381"/>
      <c r="CZQ124" s="381"/>
      <c r="CZR124" s="381"/>
      <c r="CZS124" s="381"/>
      <c r="CZT124" s="381"/>
      <c r="CZU124" s="381"/>
      <c r="CZV124" s="381"/>
      <c r="CZW124" s="381"/>
      <c r="CZX124" s="381"/>
      <c r="CZY124" s="381"/>
      <c r="CZZ124" s="381"/>
      <c r="DAA124" s="381"/>
      <c r="DAB124" s="381"/>
      <c r="DAC124" s="381"/>
      <c r="DAD124" s="381"/>
      <c r="DAE124" s="381"/>
      <c r="DAF124" s="381"/>
      <c r="DAG124" s="381"/>
      <c r="DAH124" s="381"/>
      <c r="DAI124" s="381"/>
      <c r="DAJ124" s="381"/>
      <c r="DAK124" s="381"/>
      <c r="DAL124" s="381"/>
      <c r="DAM124" s="381"/>
      <c r="DAN124" s="381"/>
      <c r="DAO124" s="381"/>
      <c r="DAP124" s="381"/>
      <c r="DAQ124" s="381"/>
      <c r="DAR124" s="381"/>
      <c r="DAS124" s="381"/>
      <c r="DAT124" s="381"/>
      <c r="DAU124" s="381"/>
      <c r="DAV124" s="381"/>
      <c r="DAW124" s="381"/>
      <c r="DAX124" s="381"/>
      <c r="DAY124" s="381"/>
      <c r="DAZ124" s="381"/>
      <c r="DBA124" s="381"/>
      <c r="DBB124" s="381"/>
      <c r="DBC124" s="381"/>
      <c r="DBD124" s="381"/>
      <c r="DBE124" s="381"/>
      <c r="DBF124" s="381"/>
      <c r="DBG124" s="381"/>
      <c r="DBH124" s="381"/>
      <c r="DBI124" s="381"/>
      <c r="DBJ124" s="381"/>
      <c r="DBK124" s="381"/>
      <c r="DBL124" s="381"/>
      <c r="DBM124" s="381"/>
      <c r="DBN124" s="381"/>
      <c r="DBO124" s="381"/>
      <c r="DBP124" s="381"/>
      <c r="DBQ124" s="381"/>
      <c r="DBR124" s="381"/>
      <c r="DBS124" s="381"/>
      <c r="DBT124" s="381"/>
      <c r="DBU124" s="381"/>
      <c r="DBV124" s="381"/>
      <c r="DBW124" s="381"/>
      <c r="DBX124" s="381"/>
      <c r="DBY124" s="381"/>
      <c r="DBZ124" s="381"/>
      <c r="DCA124" s="381"/>
      <c r="DCB124" s="381"/>
      <c r="DCC124" s="381"/>
      <c r="DCD124" s="381"/>
      <c r="DCE124" s="381"/>
      <c r="DCF124" s="381"/>
      <c r="DCG124" s="381"/>
      <c r="DCH124" s="381"/>
      <c r="DCI124" s="381"/>
      <c r="DCJ124" s="381"/>
      <c r="DCK124" s="381"/>
      <c r="DCL124" s="381"/>
      <c r="DCM124" s="381"/>
      <c r="DCN124" s="381"/>
      <c r="DCO124" s="381"/>
      <c r="DCP124" s="381"/>
      <c r="DCQ124" s="381"/>
      <c r="DCR124" s="381"/>
      <c r="DCS124" s="381"/>
      <c r="DCT124" s="381"/>
      <c r="DCU124" s="381"/>
      <c r="DCV124" s="381"/>
      <c r="DCW124" s="381"/>
      <c r="DCX124" s="381"/>
      <c r="DCY124" s="381"/>
      <c r="DCZ124" s="381"/>
      <c r="DDA124" s="381"/>
      <c r="DDB124" s="381"/>
      <c r="DDC124" s="381"/>
      <c r="DDD124" s="381"/>
      <c r="DDE124" s="381"/>
      <c r="DDF124" s="381"/>
      <c r="DDG124" s="381"/>
      <c r="DDH124" s="381"/>
      <c r="DDI124" s="381"/>
      <c r="DDJ124" s="381"/>
      <c r="DDK124" s="381"/>
      <c r="DDL124" s="381"/>
      <c r="DDM124" s="381"/>
      <c r="DDN124" s="381"/>
      <c r="DDO124" s="381"/>
      <c r="DDP124" s="381"/>
      <c r="DDQ124" s="381"/>
      <c r="DDR124" s="381"/>
      <c r="DDS124" s="381"/>
      <c r="DDT124" s="381"/>
      <c r="DDU124" s="381"/>
      <c r="DDV124" s="381"/>
      <c r="DDW124" s="381"/>
      <c r="DDX124" s="381"/>
      <c r="DDY124" s="381"/>
      <c r="DDZ124" s="381"/>
      <c r="DEA124" s="381"/>
      <c r="DEB124" s="381"/>
      <c r="DEC124" s="381"/>
      <c r="DED124" s="381"/>
      <c r="DEE124" s="381"/>
      <c r="DEF124" s="381"/>
      <c r="DEG124" s="381"/>
      <c r="DEH124" s="381"/>
      <c r="DEI124" s="381"/>
      <c r="DEJ124" s="381"/>
      <c r="DEK124" s="381"/>
      <c r="DEL124" s="381"/>
      <c r="DEM124" s="381"/>
      <c r="DEN124" s="381"/>
      <c r="DEO124" s="381"/>
      <c r="DEP124" s="381"/>
      <c r="DEQ124" s="381"/>
      <c r="DER124" s="381"/>
      <c r="DES124" s="381"/>
      <c r="DET124" s="381"/>
      <c r="DEU124" s="381"/>
      <c r="DEV124" s="381"/>
      <c r="DEW124" s="381"/>
      <c r="DEX124" s="381"/>
      <c r="DEY124" s="381"/>
      <c r="DEZ124" s="381"/>
      <c r="DFA124" s="381"/>
      <c r="DFB124" s="381"/>
      <c r="DFC124" s="381"/>
      <c r="DFD124" s="381"/>
      <c r="DFE124" s="381"/>
      <c r="DFF124" s="381"/>
      <c r="DFG124" s="381"/>
      <c r="DFH124" s="381"/>
      <c r="DFI124" s="381"/>
      <c r="DFJ124" s="381"/>
      <c r="DFK124" s="381"/>
      <c r="DFL124" s="381"/>
      <c r="DFM124" s="381"/>
      <c r="DFN124" s="381"/>
      <c r="DFO124" s="381"/>
      <c r="DFP124" s="381"/>
      <c r="DFQ124" s="381"/>
      <c r="DFR124" s="381"/>
      <c r="DFS124" s="381"/>
      <c r="DFT124" s="381"/>
      <c r="DFU124" s="381"/>
      <c r="DFV124" s="381"/>
      <c r="DFW124" s="381"/>
      <c r="DFX124" s="381"/>
      <c r="DFY124" s="381"/>
      <c r="DFZ124" s="381"/>
      <c r="DGA124" s="381"/>
      <c r="DGB124" s="381"/>
      <c r="DGC124" s="381"/>
      <c r="DGD124" s="381"/>
      <c r="DGE124" s="381"/>
      <c r="DGF124" s="381"/>
      <c r="DGG124" s="381"/>
      <c r="DGH124" s="381"/>
      <c r="DGI124" s="381"/>
      <c r="DGJ124" s="381"/>
      <c r="DGK124" s="381"/>
      <c r="DGL124" s="381"/>
      <c r="DGM124" s="381"/>
      <c r="DGN124" s="381"/>
      <c r="DGO124" s="381"/>
      <c r="DGP124" s="381"/>
      <c r="DGQ124" s="381"/>
      <c r="DGR124" s="381"/>
      <c r="DGS124" s="381"/>
      <c r="DGT124" s="381"/>
      <c r="DGU124" s="381"/>
      <c r="DGV124" s="381"/>
      <c r="DGW124" s="381"/>
      <c r="DGX124" s="381"/>
      <c r="DGY124" s="381"/>
      <c r="DGZ124" s="381"/>
      <c r="DHA124" s="381"/>
      <c r="DHB124" s="381"/>
      <c r="DHC124" s="381"/>
      <c r="DHD124" s="381"/>
      <c r="DHE124" s="381"/>
      <c r="DHF124" s="381"/>
      <c r="DHG124" s="381"/>
      <c r="DHH124" s="381"/>
      <c r="DHI124" s="381"/>
      <c r="DHJ124" s="381"/>
      <c r="DHK124" s="381"/>
      <c r="DHL124" s="381"/>
      <c r="DHM124" s="381"/>
      <c r="DHN124" s="381"/>
      <c r="DHO124" s="381"/>
      <c r="DHP124" s="381"/>
      <c r="DHQ124" s="381"/>
      <c r="DHR124" s="381"/>
      <c r="DHS124" s="381"/>
      <c r="DHT124" s="381"/>
      <c r="DHU124" s="381"/>
      <c r="DHV124" s="381"/>
      <c r="DHW124" s="381"/>
      <c r="DHX124" s="381"/>
      <c r="DHY124" s="381"/>
      <c r="DHZ124" s="381"/>
      <c r="DIA124" s="381"/>
      <c r="DIB124" s="381"/>
      <c r="DIC124" s="381"/>
      <c r="DID124" s="381"/>
      <c r="DIE124" s="381"/>
      <c r="DIF124" s="381"/>
      <c r="DIG124" s="381"/>
      <c r="DIH124" s="381"/>
      <c r="DII124" s="381"/>
      <c r="DIJ124" s="381"/>
      <c r="DIK124" s="381"/>
      <c r="DIL124" s="381"/>
      <c r="DIM124" s="381"/>
      <c r="DIN124" s="381"/>
      <c r="DIO124" s="381"/>
      <c r="DIP124" s="381"/>
      <c r="DIQ124" s="381"/>
      <c r="DIR124" s="381"/>
      <c r="DIS124" s="381"/>
      <c r="DIT124" s="381"/>
      <c r="DIU124" s="381"/>
      <c r="DIV124" s="381"/>
      <c r="DIW124" s="381"/>
      <c r="DIX124" s="381"/>
      <c r="DIY124" s="381"/>
      <c r="DIZ124" s="381"/>
      <c r="DJA124" s="381"/>
      <c r="DJB124" s="381"/>
      <c r="DJC124" s="381"/>
      <c r="DJD124" s="381"/>
      <c r="DJE124" s="381"/>
      <c r="DJF124" s="381"/>
      <c r="DJG124" s="381"/>
      <c r="DJH124" s="381"/>
      <c r="DJI124" s="381"/>
      <c r="DJJ124" s="381"/>
      <c r="DJK124" s="381"/>
      <c r="DJL124" s="381"/>
      <c r="DJM124" s="381"/>
      <c r="DJN124" s="381"/>
      <c r="DJO124" s="381"/>
      <c r="DJP124" s="381"/>
      <c r="DJQ124" s="381"/>
      <c r="DJR124" s="381"/>
      <c r="DJS124" s="381"/>
      <c r="DJT124" s="381"/>
      <c r="DJU124" s="381"/>
      <c r="DJV124" s="381"/>
      <c r="DJW124" s="381"/>
      <c r="DJX124" s="381"/>
      <c r="DJY124" s="381"/>
      <c r="DJZ124" s="381"/>
      <c r="DKA124" s="381"/>
      <c r="DKB124" s="381"/>
      <c r="DKC124" s="381"/>
      <c r="DKD124" s="381"/>
      <c r="DKE124" s="381"/>
      <c r="DKF124" s="381"/>
      <c r="DKG124" s="381"/>
      <c r="DKH124" s="381"/>
      <c r="DKI124" s="381"/>
      <c r="DKJ124" s="381"/>
      <c r="DKK124" s="381"/>
      <c r="DKL124" s="381"/>
      <c r="DKM124" s="381"/>
      <c r="DKN124" s="381"/>
      <c r="DKO124" s="381"/>
      <c r="DKP124" s="381"/>
      <c r="DKQ124" s="381"/>
      <c r="DKR124" s="381"/>
      <c r="DKS124" s="381"/>
      <c r="DKT124" s="381"/>
      <c r="DKU124" s="381"/>
      <c r="DKV124" s="381"/>
      <c r="DKW124" s="381"/>
      <c r="DKX124" s="381"/>
      <c r="DKY124" s="381"/>
      <c r="DKZ124" s="381"/>
      <c r="DLA124" s="381"/>
      <c r="DLB124" s="381"/>
      <c r="DLC124" s="381"/>
      <c r="DLD124" s="381"/>
      <c r="DLE124" s="381"/>
      <c r="DLF124" s="381"/>
      <c r="DLG124" s="381"/>
      <c r="DLH124" s="381"/>
      <c r="DLI124" s="381"/>
      <c r="DLJ124" s="381"/>
      <c r="DLK124" s="381"/>
      <c r="DLL124" s="381"/>
      <c r="DLM124" s="381"/>
      <c r="DLN124" s="381"/>
      <c r="DLO124" s="381"/>
      <c r="DLP124" s="381"/>
      <c r="DLQ124" s="381"/>
      <c r="DLR124" s="381"/>
      <c r="DLS124" s="381"/>
      <c r="DLT124" s="381"/>
      <c r="DLU124" s="381"/>
      <c r="DLV124" s="381"/>
      <c r="DLW124" s="381"/>
      <c r="DLX124" s="381"/>
      <c r="DLY124" s="381"/>
      <c r="DLZ124" s="381"/>
      <c r="DMA124" s="381"/>
      <c r="DMB124" s="381"/>
      <c r="DMC124" s="381"/>
      <c r="DMD124" s="381"/>
      <c r="DME124" s="381"/>
      <c r="DMF124" s="381"/>
      <c r="DMG124" s="381"/>
      <c r="DMH124" s="381"/>
      <c r="DMI124" s="381"/>
      <c r="DMJ124" s="381"/>
      <c r="DMK124" s="381"/>
      <c r="DML124" s="381"/>
      <c r="DMM124" s="381"/>
      <c r="DMN124" s="381"/>
      <c r="DMO124" s="381"/>
      <c r="DMP124" s="381"/>
      <c r="DMQ124" s="381"/>
      <c r="DMR124" s="381"/>
      <c r="DMS124" s="381"/>
      <c r="DMT124" s="381"/>
      <c r="DMU124" s="381"/>
      <c r="DMV124" s="381"/>
      <c r="DMW124" s="381"/>
      <c r="DMX124" s="381"/>
      <c r="DMY124" s="381"/>
      <c r="DMZ124" s="381"/>
      <c r="DNA124" s="381"/>
      <c r="DNB124" s="381"/>
      <c r="DNC124" s="381"/>
      <c r="DND124" s="381"/>
      <c r="DNE124" s="381"/>
      <c r="DNF124" s="381"/>
      <c r="DNG124" s="381"/>
      <c r="DNH124" s="381"/>
      <c r="DNI124" s="381"/>
      <c r="DNJ124" s="381"/>
      <c r="DNK124" s="381"/>
      <c r="DNL124" s="381"/>
      <c r="DNM124" s="381"/>
      <c r="DNN124" s="381"/>
      <c r="DNO124" s="381"/>
      <c r="DNP124" s="381"/>
      <c r="DNQ124" s="381"/>
      <c r="DNR124" s="381"/>
      <c r="DNS124" s="381"/>
      <c r="DNT124" s="381"/>
      <c r="DNU124" s="381"/>
      <c r="DNV124" s="381"/>
      <c r="DNW124" s="381"/>
      <c r="DNX124" s="381"/>
      <c r="DNY124" s="381"/>
      <c r="DNZ124" s="381"/>
      <c r="DOA124" s="381"/>
      <c r="DOB124" s="381"/>
      <c r="DOC124" s="381"/>
      <c r="DOD124" s="381"/>
      <c r="DOE124" s="381"/>
      <c r="DOF124" s="381"/>
      <c r="DOG124" s="381"/>
      <c r="DOH124" s="381"/>
      <c r="DOI124" s="381"/>
      <c r="DOJ124" s="381"/>
      <c r="DOK124" s="381"/>
      <c r="DOL124" s="381"/>
      <c r="DOM124" s="381"/>
      <c r="DON124" s="381"/>
      <c r="DOO124" s="381"/>
      <c r="DOP124" s="381"/>
      <c r="DOQ124" s="381"/>
      <c r="DOR124" s="381"/>
      <c r="DOS124" s="381"/>
      <c r="DOT124" s="381"/>
      <c r="DOU124" s="381"/>
      <c r="DOV124" s="381"/>
      <c r="DOW124" s="381"/>
      <c r="DOX124" s="381"/>
      <c r="DOY124" s="381"/>
      <c r="DOZ124" s="381"/>
      <c r="DPA124" s="381"/>
      <c r="DPB124" s="381"/>
      <c r="DPC124" s="381"/>
      <c r="DPD124" s="381"/>
      <c r="DPE124" s="381"/>
      <c r="DPF124" s="381"/>
      <c r="DPG124" s="381"/>
      <c r="DPH124" s="381"/>
      <c r="DPI124" s="381"/>
      <c r="DPJ124" s="381"/>
      <c r="DPK124" s="381"/>
      <c r="DPL124" s="381"/>
      <c r="DPM124" s="381"/>
      <c r="DPN124" s="381"/>
      <c r="DPO124" s="381"/>
      <c r="DPP124" s="381"/>
      <c r="DPQ124" s="381"/>
      <c r="DPR124" s="381"/>
      <c r="DPS124" s="381"/>
      <c r="DPT124" s="381"/>
      <c r="DPU124" s="381"/>
      <c r="DPV124" s="381"/>
      <c r="DPW124" s="381"/>
      <c r="DPX124" s="381"/>
      <c r="DPY124" s="381"/>
      <c r="DPZ124" s="381"/>
      <c r="DQA124" s="381"/>
      <c r="DQB124" s="381"/>
      <c r="DQC124" s="381"/>
      <c r="DQD124" s="381"/>
      <c r="DQE124" s="381"/>
      <c r="DQF124" s="381"/>
      <c r="DQG124" s="381"/>
      <c r="DQH124" s="381"/>
      <c r="DQI124" s="381"/>
      <c r="DQJ124" s="381"/>
      <c r="DQK124" s="381"/>
      <c r="DQL124" s="381"/>
      <c r="DQM124" s="381"/>
      <c r="DQN124" s="381"/>
      <c r="DQO124" s="381"/>
      <c r="DQP124" s="381"/>
      <c r="DQQ124" s="381"/>
      <c r="DQR124" s="381"/>
      <c r="DQS124" s="381"/>
      <c r="DQT124" s="381"/>
      <c r="DQU124" s="381"/>
      <c r="DQV124" s="381"/>
      <c r="DQW124" s="381"/>
      <c r="DQX124" s="381"/>
      <c r="DQY124" s="381"/>
      <c r="DQZ124" s="381"/>
      <c r="DRA124" s="381"/>
      <c r="DRB124" s="381"/>
      <c r="DRC124" s="381"/>
      <c r="DRD124" s="381"/>
      <c r="DRE124" s="381"/>
      <c r="DRF124" s="381"/>
      <c r="DRG124" s="381"/>
      <c r="DRH124" s="381"/>
      <c r="DRI124" s="381"/>
      <c r="DRJ124" s="381"/>
      <c r="DRK124" s="381"/>
      <c r="DRL124" s="381"/>
      <c r="DRM124" s="381"/>
      <c r="DRN124" s="381"/>
      <c r="DRO124" s="381"/>
      <c r="DRP124" s="381"/>
      <c r="DRQ124" s="381"/>
      <c r="DRR124" s="381"/>
      <c r="DRS124" s="381"/>
      <c r="DRT124" s="381"/>
      <c r="DRU124" s="381"/>
      <c r="DRV124" s="381"/>
      <c r="DRW124" s="381"/>
      <c r="DRX124" s="381"/>
      <c r="DRY124" s="381"/>
      <c r="DRZ124" s="381"/>
      <c r="DSA124" s="381"/>
      <c r="DSB124" s="381"/>
      <c r="DSC124" s="381"/>
      <c r="DSD124" s="381"/>
      <c r="DSE124" s="381"/>
      <c r="DSF124" s="381"/>
      <c r="DSG124" s="381"/>
      <c r="DSH124" s="381"/>
      <c r="DSI124" s="381"/>
      <c r="DSJ124" s="381"/>
      <c r="DSK124" s="381"/>
      <c r="DSL124" s="381"/>
      <c r="DSM124" s="381"/>
      <c r="DSN124" s="381"/>
      <c r="DSO124" s="381"/>
      <c r="DSP124" s="381"/>
      <c r="DSQ124" s="381"/>
      <c r="DSR124" s="381"/>
      <c r="DSS124" s="381"/>
      <c r="DST124" s="381"/>
      <c r="DSU124" s="381"/>
      <c r="DSV124" s="381"/>
      <c r="DSW124" s="381"/>
      <c r="DSX124" s="381"/>
      <c r="DSY124" s="381"/>
      <c r="DSZ124" s="381"/>
      <c r="DTA124" s="381"/>
      <c r="DTB124" s="381"/>
      <c r="DTC124" s="381"/>
      <c r="DTD124" s="381"/>
      <c r="DTE124" s="381"/>
      <c r="DTF124" s="381"/>
      <c r="DTG124" s="381"/>
      <c r="DTH124" s="381"/>
      <c r="DTI124" s="381"/>
      <c r="DTJ124" s="381"/>
      <c r="DTK124" s="381"/>
      <c r="DTL124" s="381"/>
      <c r="DTM124" s="381"/>
      <c r="DTN124" s="381"/>
      <c r="DTO124" s="381"/>
      <c r="DTP124" s="381"/>
      <c r="DTQ124" s="381"/>
      <c r="DTR124" s="381"/>
      <c r="DTS124" s="381"/>
      <c r="DTT124" s="381"/>
      <c r="DTU124" s="381"/>
      <c r="DTV124" s="381"/>
      <c r="DTW124" s="381"/>
      <c r="DTX124" s="381"/>
      <c r="DTY124" s="381"/>
      <c r="DTZ124" s="381"/>
      <c r="DUA124" s="381"/>
      <c r="DUB124" s="381"/>
      <c r="DUC124" s="381"/>
      <c r="DUD124" s="381"/>
      <c r="DUE124" s="381"/>
      <c r="DUF124" s="381"/>
      <c r="DUG124" s="381"/>
      <c r="DUH124" s="381"/>
      <c r="DUI124" s="381"/>
      <c r="DUJ124" s="381"/>
      <c r="DUK124" s="381"/>
      <c r="DUL124" s="381"/>
      <c r="DUM124" s="381"/>
      <c r="DUN124" s="381"/>
      <c r="DUO124" s="381"/>
      <c r="DUP124" s="381"/>
      <c r="DUQ124" s="381"/>
      <c r="DUR124" s="381"/>
      <c r="DUS124" s="381"/>
      <c r="DUT124" s="381"/>
      <c r="DUU124" s="381"/>
      <c r="DUV124" s="381"/>
      <c r="DUW124" s="381"/>
      <c r="DUX124" s="381"/>
      <c r="DUY124" s="381"/>
      <c r="DUZ124" s="381"/>
      <c r="DVA124" s="381"/>
      <c r="DVB124" s="381"/>
      <c r="DVC124" s="381"/>
      <c r="DVD124" s="381"/>
      <c r="DVE124" s="381"/>
      <c r="DVF124" s="381"/>
      <c r="DVG124" s="381"/>
      <c r="DVH124" s="381"/>
      <c r="DVI124" s="381"/>
      <c r="DVJ124" s="381"/>
      <c r="DVK124" s="381"/>
      <c r="DVL124" s="381"/>
      <c r="DVM124" s="381"/>
      <c r="DVN124" s="381"/>
      <c r="DVO124" s="381"/>
      <c r="DVP124" s="381"/>
      <c r="DVQ124" s="381"/>
      <c r="DVR124" s="381"/>
      <c r="DVS124" s="381"/>
      <c r="DVT124" s="381"/>
      <c r="DVU124" s="381"/>
      <c r="DVV124" s="381"/>
      <c r="DVW124" s="381"/>
      <c r="DVX124" s="381"/>
      <c r="DVY124" s="381"/>
      <c r="DVZ124" s="381"/>
      <c r="DWA124" s="381"/>
      <c r="DWB124" s="381"/>
      <c r="DWC124" s="381"/>
      <c r="DWD124" s="381"/>
      <c r="DWE124" s="381"/>
      <c r="DWF124" s="381"/>
      <c r="DWG124" s="381"/>
      <c r="DWH124" s="381"/>
      <c r="DWI124" s="381"/>
      <c r="DWJ124" s="381"/>
      <c r="DWK124" s="381"/>
      <c r="DWL124" s="381"/>
      <c r="DWM124" s="381"/>
      <c r="DWN124" s="381"/>
      <c r="DWO124" s="381"/>
      <c r="DWP124" s="381"/>
      <c r="DWQ124" s="381"/>
      <c r="DWR124" s="381"/>
      <c r="DWS124" s="381"/>
      <c r="DWT124" s="381"/>
      <c r="DWU124" s="381"/>
      <c r="DWV124" s="381"/>
      <c r="DWW124" s="381"/>
      <c r="DWX124" s="381"/>
      <c r="DWY124" s="381"/>
      <c r="DWZ124" s="381"/>
      <c r="DXA124" s="381"/>
      <c r="DXB124" s="381"/>
      <c r="DXC124" s="381"/>
      <c r="DXD124" s="381"/>
      <c r="DXE124" s="381"/>
      <c r="DXF124" s="381"/>
      <c r="DXG124" s="381"/>
      <c r="DXH124" s="381"/>
      <c r="DXI124" s="381"/>
      <c r="DXJ124" s="381"/>
      <c r="DXK124" s="381"/>
      <c r="DXL124" s="381"/>
      <c r="DXM124" s="381"/>
      <c r="DXN124" s="381"/>
      <c r="DXO124" s="381"/>
      <c r="DXP124" s="381"/>
      <c r="DXQ124" s="381"/>
      <c r="DXR124" s="381"/>
      <c r="DXS124" s="381"/>
      <c r="DXT124" s="381"/>
      <c r="DXU124" s="381"/>
      <c r="DXV124" s="381"/>
      <c r="DXW124" s="381"/>
      <c r="DXX124" s="381"/>
      <c r="DXY124" s="381"/>
      <c r="DXZ124" s="381"/>
      <c r="DYA124" s="381"/>
      <c r="DYB124" s="381"/>
      <c r="DYC124" s="381"/>
      <c r="DYD124" s="381"/>
      <c r="DYE124" s="381"/>
      <c r="DYF124" s="381"/>
      <c r="DYG124" s="381"/>
      <c r="DYH124" s="381"/>
      <c r="DYI124" s="381"/>
      <c r="DYJ124" s="381"/>
      <c r="DYK124" s="381"/>
      <c r="DYL124" s="381"/>
      <c r="DYM124" s="381"/>
      <c r="DYN124" s="381"/>
      <c r="DYO124" s="381"/>
      <c r="DYP124" s="381"/>
      <c r="DYQ124" s="381"/>
      <c r="DYR124" s="381"/>
      <c r="DYS124" s="381"/>
      <c r="DYT124" s="381"/>
      <c r="DYU124" s="381"/>
      <c r="DYV124" s="381"/>
      <c r="DYW124" s="381"/>
      <c r="DYX124" s="381"/>
      <c r="DYY124" s="381"/>
      <c r="DYZ124" s="381"/>
      <c r="DZA124" s="381"/>
      <c r="DZB124" s="381"/>
      <c r="DZC124" s="381"/>
      <c r="DZD124" s="381"/>
      <c r="DZE124" s="381"/>
      <c r="DZF124" s="381"/>
      <c r="DZG124" s="381"/>
      <c r="DZH124" s="381"/>
      <c r="DZI124" s="381"/>
      <c r="DZJ124" s="381"/>
      <c r="DZK124" s="381"/>
      <c r="DZL124" s="381"/>
      <c r="DZM124" s="381"/>
      <c r="DZN124" s="381"/>
      <c r="DZO124" s="381"/>
      <c r="DZP124" s="381"/>
      <c r="DZQ124" s="381"/>
      <c r="DZR124" s="381"/>
      <c r="DZS124" s="381"/>
      <c r="DZT124" s="381"/>
      <c r="DZU124" s="381"/>
      <c r="DZV124" s="381"/>
      <c r="DZW124" s="381"/>
      <c r="DZX124" s="381"/>
      <c r="DZY124" s="381"/>
      <c r="DZZ124" s="381"/>
      <c r="EAA124" s="381"/>
      <c r="EAB124" s="381"/>
      <c r="EAC124" s="381"/>
      <c r="EAD124" s="381"/>
      <c r="EAE124" s="381"/>
      <c r="EAF124" s="381"/>
      <c r="EAG124" s="381"/>
      <c r="EAH124" s="381"/>
      <c r="EAI124" s="381"/>
      <c r="EAJ124" s="381"/>
      <c r="EAK124" s="381"/>
      <c r="EAL124" s="381"/>
      <c r="EAM124" s="381"/>
      <c r="EAN124" s="381"/>
      <c r="EAO124" s="381"/>
      <c r="EAP124" s="381"/>
      <c r="EAQ124" s="381"/>
      <c r="EAR124" s="381"/>
      <c r="EAS124" s="381"/>
      <c r="EAT124" s="381"/>
      <c r="EAU124" s="381"/>
      <c r="EAV124" s="381"/>
      <c r="EAW124" s="381"/>
      <c r="EAX124" s="381"/>
      <c r="EAY124" s="381"/>
      <c r="EAZ124" s="381"/>
      <c r="EBA124" s="381"/>
      <c r="EBB124" s="381"/>
      <c r="EBC124" s="381"/>
      <c r="EBD124" s="381"/>
      <c r="EBE124" s="381"/>
      <c r="EBF124" s="381"/>
      <c r="EBG124" s="381"/>
      <c r="EBH124" s="381"/>
      <c r="EBI124" s="381"/>
      <c r="EBJ124" s="381"/>
      <c r="EBK124" s="381"/>
      <c r="EBL124" s="381"/>
      <c r="EBM124" s="381"/>
      <c r="EBN124" s="381"/>
      <c r="EBO124" s="381"/>
      <c r="EBP124" s="381"/>
      <c r="EBQ124" s="381"/>
      <c r="EBR124" s="381"/>
      <c r="EBS124" s="381"/>
      <c r="EBT124" s="381"/>
      <c r="EBU124" s="381"/>
      <c r="EBV124" s="381"/>
      <c r="EBW124" s="381"/>
      <c r="EBX124" s="381"/>
      <c r="EBY124" s="381"/>
      <c r="EBZ124" s="381"/>
      <c r="ECA124" s="381"/>
      <c r="ECB124" s="381"/>
      <c r="ECC124" s="381"/>
      <c r="ECD124" s="381"/>
      <c r="ECE124" s="381"/>
      <c r="ECF124" s="381"/>
      <c r="ECG124" s="381"/>
      <c r="ECH124" s="381"/>
      <c r="ECI124" s="381"/>
      <c r="ECJ124" s="381"/>
      <c r="ECK124" s="381"/>
      <c r="ECL124" s="381"/>
      <c r="ECM124" s="381"/>
      <c r="ECN124" s="381"/>
      <c r="ECO124" s="381"/>
      <c r="ECP124" s="381"/>
      <c r="ECQ124" s="381"/>
      <c r="ECR124" s="381"/>
      <c r="ECS124" s="381"/>
      <c r="ECT124" s="381"/>
      <c r="ECU124" s="381"/>
      <c r="ECV124" s="381"/>
      <c r="ECW124" s="381"/>
      <c r="ECX124" s="381"/>
      <c r="ECY124" s="381"/>
      <c r="ECZ124" s="381"/>
      <c r="EDA124" s="381"/>
      <c r="EDB124" s="381"/>
      <c r="EDC124" s="381"/>
      <c r="EDD124" s="381"/>
      <c r="EDE124" s="381"/>
      <c r="EDF124" s="381"/>
      <c r="EDG124" s="381"/>
      <c r="EDH124" s="381"/>
      <c r="EDI124" s="381"/>
      <c r="EDJ124" s="381"/>
      <c r="EDK124" s="381"/>
      <c r="EDL124" s="381"/>
      <c r="EDM124" s="381"/>
      <c r="EDN124" s="381"/>
      <c r="EDO124" s="381"/>
      <c r="EDP124" s="381"/>
      <c r="EDQ124" s="381"/>
      <c r="EDR124" s="381"/>
      <c r="EDS124" s="381"/>
      <c r="EDT124" s="381"/>
      <c r="EDU124" s="381"/>
      <c r="EDV124" s="381"/>
      <c r="EDW124" s="381"/>
      <c r="EDX124" s="381"/>
      <c r="EDY124" s="381"/>
      <c r="EDZ124" s="381"/>
      <c r="EEA124" s="381"/>
      <c r="EEB124" s="381"/>
      <c r="EEC124" s="381"/>
      <c r="EED124" s="381"/>
      <c r="EEE124" s="381"/>
      <c r="EEF124" s="381"/>
      <c r="EEG124" s="381"/>
      <c r="EEH124" s="381"/>
      <c r="EEI124" s="381"/>
      <c r="EEJ124" s="381"/>
      <c r="EEK124" s="381"/>
      <c r="EEL124" s="381"/>
      <c r="EEM124" s="381"/>
      <c r="EEN124" s="381"/>
      <c r="EEO124" s="381"/>
      <c r="EEP124" s="381"/>
      <c r="EEQ124" s="381"/>
      <c r="EER124" s="381"/>
      <c r="EES124" s="381"/>
      <c r="EET124" s="381"/>
      <c r="EEU124" s="381"/>
      <c r="EEV124" s="381"/>
      <c r="EEW124" s="381"/>
      <c r="EEX124" s="381"/>
      <c r="EEY124" s="381"/>
      <c r="EEZ124" s="381"/>
      <c r="EFA124" s="381"/>
      <c r="EFB124" s="381"/>
      <c r="EFC124" s="381"/>
      <c r="EFD124" s="381"/>
      <c r="EFE124" s="381"/>
      <c r="EFF124" s="381"/>
      <c r="EFG124" s="381"/>
      <c r="EFH124" s="381"/>
      <c r="EFI124" s="381"/>
      <c r="EFJ124" s="381"/>
      <c r="EFK124" s="381"/>
      <c r="EFL124" s="381"/>
      <c r="EFM124" s="381"/>
      <c r="EFN124" s="381"/>
      <c r="EFO124" s="381"/>
      <c r="EFP124" s="381"/>
      <c r="EFQ124" s="381"/>
      <c r="EFR124" s="381"/>
      <c r="EFS124" s="381"/>
      <c r="EFT124" s="381"/>
      <c r="EFU124" s="381"/>
      <c r="EFV124" s="381"/>
      <c r="EFW124" s="381"/>
      <c r="EFX124" s="381"/>
      <c r="EFY124" s="381"/>
      <c r="EFZ124" s="381"/>
      <c r="EGA124" s="381"/>
      <c r="EGB124" s="381"/>
      <c r="EGC124" s="381"/>
      <c r="EGD124" s="381"/>
      <c r="EGE124" s="381"/>
      <c r="EGF124" s="381"/>
      <c r="EGG124" s="381"/>
      <c r="EGH124" s="381"/>
      <c r="EGI124" s="381"/>
      <c r="EGJ124" s="381"/>
      <c r="EGK124" s="381"/>
      <c r="EGL124" s="381"/>
      <c r="EGM124" s="381"/>
      <c r="EGN124" s="381"/>
      <c r="EGO124" s="381"/>
      <c r="EGP124" s="381"/>
      <c r="EGQ124" s="381"/>
      <c r="EGR124" s="381"/>
      <c r="EGS124" s="381"/>
      <c r="EGT124" s="381"/>
      <c r="EGU124" s="381"/>
      <c r="EGV124" s="381"/>
      <c r="EGW124" s="381"/>
      <c r="EGX124" s="381"/>
      <c r="EGY124" s="381"/>
      <c r="EGZ124" s="381"/>
      <c r="EHA124" s="381"/>
      <c r="EHB124" s="381"/>
      <c r="EHC124" s="381"/>
      <c r="EHD124" s="381"/>
      <c r="EHE124" s="381"/>
      <c r="EHF124" s="381"/>
      <c r="EHG124" s="381"/>
      <c r="EHH124" s="381"/>
      <c r="EHI124" s="381"/>
      <c r="EHJ124" s="381"/>
      <c r="EHK124" s="381"/>
      <c r="EHL124" s="381"/>
      <c r="EHM124" s="381"/>
      <c r="EHN124" s="381"/>
      <c r="EHO124" s="381"/>
      <c r="EHP124" s="381"/>
      <c r="EHQ124" s="381"/>
      <c r="EHR124" s="381"/>
      <c r="EHS124" s="381"/>
      <c r="EHT124" s="381"/>
      <c r="EHU124" s="381"/>
      <c r="EHV124" s="381"/>
      <c r="EHW124" s="381"/>
      <c r="EHX124" s="381"/>
      <c r="EHY124" s="381"/>
      <c r="EHZ124" s="381"/>
      <c r="EIA124" s="381"/>
      <c r="EIB124" s="381"/>
      <c r="EIC124" s="381"/>
      <c r="EID124" s="381"/>
      <c r="EIE124" s="381"/>
      <c r="EIF124" s="381"/>
      <c r="EIG124" s="381"/>
      <c r="EIH124" s="381"/>
      <c r="EII124" s="381"/>
      <c r="EIJ124" s="381"/>
      <c r="EIK124" s="381"/>
      <c r="EIL124" s="381"/>
      <c r="EIM124" s="381"/>
      <c r="EIN124" s="381"/>
      <c r="EIO124" s="381"/>
      <c r="EIP124" s="381"/>
      <c r="EIQ124" s="381"/>
      <c r="EIR124" s="381"/>
      <c r="EIS124" s="381"/>
      <c r="EIT124" s="381"/>
      <c r="EIU124" s="381"/>
      <c r="EIV124" s="381"/>
      <c r="EIW124" s="381"/>
      <c r="EIX124" s="381"/>
      <c r="EIY124" s="381"/>
      <c r="EIZ124" s="381"/>
      <c r="EJA124" s="381"/>
      <c r="EJB124" s="381"/>
      <c r="EJC124" s="381"/>
      <c r="EJD124" s="381"/>
      <c r="EJE124" s="381"/>
      <c r="EJF124" s="381"/>
      <c r="EJG124" s="381"/>
      <c r="EJH124" s="381"/>
      <c r="EJI124" s="381"/>
      <c r="EJJ124" s="381"/>
      <c r="EJK124" s="381"/>
      <c r="EJL124" s="381"/>
      <c r="EJM124" s="381"/>
      <c r="EJN124" s="381"/>
      <c r="EJO124" s="381"/>
      <c r="EJP124" s="381"/>
      <c r="EJQ124" s="381"/>
      <c r="EJR124" s="381"/>
      <c r="EJS124" s="381"/>
      <c r="EJT124" s="381"/>
      <c r="EJU124" s="381"/>
      <c r="EJV124" s="381"/>
      <c r="EJW124" s="381"/>
      <c r="EJX124" s="381"/>
      <c r="EJY124" s="381"/>
      <c r="EJZ124" s="381"/>
      <c r="EKA124" s="381"/>
      <c r="EKB124" s="381"/>
      <c r="EKC124" s="381"/>
      <c r="EKD124" s="381"/>
      <c r="EKE124" s="381"/>
      <c r="EKF124" s="381"/>
      <c r="EKG124" s="381"/>
      <c r="EKH124" s="381"/>
      <c r="EKI124" s="381"/>
      <c r="EKJ124" s="381"/>
      <c r="EKK124" s="381"/>
      <c r="EKL124" s="381"/>
      <c r="EKM124" s="381"/>
      <c r="EKN124" s="381"/>
      <c r="EKO124" s="381"/>
      <c r="EKP124" s="381"/>
      <c r="EKQ124" s="381"/>
      <c r="EKR124" s="381"/>
      <c r="EKS124" s="381"/>
      <c r="EKT124" s="381"/>
      <c r="EKU124" s="381"/>
      <c r="EKV124" s="381"/>
      <c r="EKW124" s="381"/>
      <c r="EKX124" s="381"/>
      <c r="EKY124" s="381"/>
      <c r="EKZ124" s="381"/>
      <c r="ELA124" s="381"/>
      <c r="ELB124" s="381"/>
      <c r="ELC124" s="381"/>
      <c r="ELD124" s="381"/>
      <c r="ELE124" s="381"/>
      <c r="ELF124" s="381"/>
      <c r="ELG124" s="381"/>
      <c r="ELH124" s="381"/>
      <c r="ELI124" s="381"/>
      <c r="ELJ124" s="381"/>
      <c r="ELK124" s="381"/>
      <c r="ELL124" s="381"/>
      <c r="ELM124" s="381"/>
      <c r="ELN124" s="381"/>
      <c r="ELO124" s="381"/>
      <c r="ELP124" s="381"/>
      <c r="ELQ124" s="381"/>
      <c r="ELR124" s="381"/>
      <c r="ELS124" s="381"/>
      <c r="ELT124" s="381"/>
      <c r="ELU124" s="381"/>
      <c r="ELV124" s="381"/>
      <c r="ELW124" s="381"/>
      <c r="ELX124" s="381"/>
      <c r="ELY124" s="381"/>
      <c r="ELZ124" s="381"/>
      <c r="EMA124" s="381"/>
      <c r="EMB124" s="381"/>
      <c r="EMC124" s="381"/>
      <c r="EMD124" s="381"/>
      <c r="EME124" s="381"/>
      <c r="EMF124" s="381"/>
      <c r="EMG124" s="381"/>
      <c r="EMH124" s="381"/>
      <c r="EMI124" s="381"/>
      <c r="EMJ124" s="381"/>
      <c r="EMK124" s="381"/>
      <c r="EML124" s="381"/>
      <c r="EMM124" s="381"/>
      <c r="EMN124" s="381"/>
      <c r="EMO124" s="381"/>
      <c r="EMP124" s="381"/>
      <c r="EMQ124" s="381"/>
      <c r="EMR124" s="381"/>
      <c r="EMS124" s="381"/>
      <c r="EMT124" s="381"/>
      <c r="EMU124" s="381"/>
      <c r="EMV124" s="381"/>
      <c r="EMW124" s="381"/>
      <c r="EMX124" s="381"/>
      <c r="EMY124" s="381"/>
      <c r="EMZ124" s="381"/>
      <c r="ENA124" s="381"/>
      <c r="ENB124" s="381"/>
      <c r="ENC124" s="381"/>
      <c r="END124" s="381"/>
      <c r="ENE124" s="381"/>
      <c r="ENF124" s="381"/>
      <c r="ENG124" s="381"/>
      <c r="ENH124" s="381"/>
      <c r="ENI124" s="381"/>
      <c r="ENJ124" s="381"/>
      <c r="ENK124" s="381"/>
      <c r="ENL124" s="381"/>
      <c r="ENM124" s="381"/>
      <c r="ENN124" s="381"/>
      <c r="ENO124" s="381"/>
      <c r="ENP124" s="381"/>
      <c r="ENQ124" s="381"/>
      <c r="ENR124" s="381"/>
      <c r="ENS124" s="381"/>
      <c r="ENT124" s="381"/>
      <c r="ENU124" s="381"/>
      <c r="ENV124" s="381"/>
      <c r="ENW124" s="381"/>
      <c r="ENX124" s="381"/>
      <c r="ENY124" s="381"/>
      <c r="ENZ124" s="381"/>
      <c r="EOA124" s="381"/>
      <c r="EOB124" s="381"/>
      <c r="EOC124" s="381"/>
      <c r="EOD124" s="381"/>
      <c r="EOE124" s="381"/>
      <c r="EOF124" s="381"/>
      <c r="EOG124" s="381"/>
      <c r="EOH124" s="381"/>
      <c r="EOI124" s="381"/>
      <c r="EOJ124" s="381"/>
      <c r="EOK124" s="381"/>
      <c r="EOL124" s="381"/>
      <c r="EOM124" s="381"/>
      <c r="EON124" s="381"/>
      <c r="EOO124" s="381"/>
      <c r="EOP124" s="381"/>
      <c r="EOQ124" s="381"/>
      <c r="EOR124" s="381"/>
      <c r="EOS124" s="381"/>
      <c r="EOT124" s="381"/>
      <c r="EOU124" s="381"/>
      <c r="EOV124" s="381"/>
      <c r="EOW124" s="381"/>
      <c r="EOX124" s="381"/>
      <c r="EOY124" s="381"/>
      <c r="EOZ124" s="381"/>
      <c r="EPA124" s="381"/>
      <c r="EPB124" s="381"/>
      <c r="EPC124" s="381"/>
      <c r="EPD124" s="381"/>
      <c r="EPE124" s="381"/>
      <c r="EPF124" s="381"/>
      <c r="EPG124" s="381"/>
      <c r="EPH124" s="381"/>
      <c r="EPI124" s="381"/>
      <c r="EPJ124" s="381"/>
      <c r="EPK124" s="381"/>
      <c r="EPL124" s="381"/>
      <c r="EPM124" s="381"/>
      <c r="EPN124" s="381"/>
      <c r="EPO124" s="381"/>
      <c r="EPP124" s="381"/>
      <c r="EPQ124" s="381"/>
      <c r="EPR124" s="381"/>
      <c r="EPS124" s="381"/>
      <c r="EPT124" s="381"/>
      <c r="EPU124" s="381"/>
      <c r="EPV124" s="381"/>
      <c r="EPW124" s="381"/>
      <c r="EPX124" s="381"/>
      <c r="EPY124" s="381"/>
      <c r="EPZ124" s="381"/>
      <c r="EQA124" s="381"/>
      <c r="EQB124" s="381"/>
      <c r="EQC124" s="381"/>
      <c r="EQD124" s="381"/>
      <c r="EQE124" s="381"/>
      <c r="EQF124" s="381"/>
      <c r="EQG124" s="381"/>
      <c r="EQH124" s="381"/>
      <c r="EQI124" s="381"/>
      <c r="EQJ124" s="381"/>
      <c r="EQK124" s="381"/>
      <c r="EQL124" s="381"/>
      <c r="EQM124" s="381"/>
      <c r="EQN124" s="381"/>
      <c r="EQO124" s="381"/>
      <c r="EQP124" s="381"/>
      <c r="EQQ124" s="381"/>
      <c r="EQR124" s="381"/>
      <c r="EQS124" s="381"/>
      <c r="EQT124" s="381"/>
      <c r="EQU124" s="381"/>
      <c r="EQV124" s="381"/>
      <c r="EQW124" s="381"/>
      <c r="EQX124" s="381"/>
      <c r="EQY124" s="381"/>
      <c r="EQZ124" s="381"/>
      <c r="ERA124" s="381"/>
      <c r="ERB124" s="381"/>
      <c r="ERC124" s="381"/>
      <c r="ERD124" s="381"/>
      <c r="ERE124" s="381"/>
      <c r="ERF124" s="381"/>
      <c r="ERG124" s="381"/>
      <c r="ERH124" s="381"/>
      <c r="ERI124" s="381"/>
      <c r="ERJ124" s="381"/>
      <c r="ERK124" s="381"/>
      <c r="ERL124" s="381"/>
      <c r="ERM124" s="381"/>
      <c r="ERN124" s="381"/>
      <c r="ERO124" s="381"/>
      <c r="ERP124" s="381"/>
      <c r="ERQ124" s="381"/>
      <c r="ERR124" s="381"/>
      <c r="ERS124" s="381"/>
      <c r="ERT124" s="381"/>
      <c r="ERU124" s="381"/>
      <c r="ERV124" s="381"/>
      <c r="ERW124" s="381"/>
      <c r="ERX124" s="381"/>
      <c r="ERY124" s="381"/>
      <c r="ERZ124" s="381"/>
      <c r="ESA124" s="381"/>
      <c r="ESB124" s="381"/>
      <c r="ESC124" s="381"/>
      <c r="ESD124" s="381"/>
      <c r="ESE124" s="381"/>
      <c r="ESF124" s="381"/>
      <c r="ESG124" s="381"/>
      <c r="ESH124" s="381"/>
      <c r="ESI124" s="381"/>
      <c r="ESJ124" s="381"/>
      <c r="ESK124" s="381"/>
      <c r="ESL124" s="381"/>
      <c r="ESM124" s="381"/>
      <c r="ESN124" s="381"/>
      <c r="ESO124" s="381"/>
      <c r="ESP124" s="381"/>
      <c r="ESQ124" s="381"/>
      <c r="ESR124" s="381"/>
      <c r="ESS124" s="381"/>
      <c r="EST124" s="381"/>
      <c r="ESU124" s="381"/>
      <c r="ESV124" s="381"/>
      <c r="ESW124" s="381"/>
      <c r="ESX124" s="381"/>
      <c r="ESY124" s="381"/>
      <c r="ESZ124" s="381"/>
      <c r="ETA124" s="381"/>
      <c r="ETB124" s="381"/>
      <c r="ETC124" s="381"/>
      <c r="ETD124" s="381"/>
      <c r="ETE124" s="381"/>
      <c r="ETF124" s="381"/>
      <c r="ETG124" s="381"/>
      <c r="ETH124" s="381"/>
      <c r="ETI124" s="381"/>
      <c r="ETJ124" s="381"/>
      <c r="ETK124" s="381"/>
      <c r="ETL124" s="381"/>
      <c r="ETM124" s="381"/>
      <c r="ETN124" s="381"/>
      <c r="ETO124" s="381"/>
      <c r="ETP124" s="381"/>
      <c r="ETQ124" s="381"/>
      <c r="ETR124" s="381"/>
      <c r="ETS124" s="381"/>
      <c r="ETT124" s="381"/>
      <c r="ETU124" s="381"/>
      <c r="ETV124" s="381"/>
      <c r="ETW124" s="381"/>
      <c r="ETX124" s="381"/>
      <c r="ETY124" s="381"/>
      <c r="ETZ124" s="381"/>
      <c r="EUA124" s="381"/>
      <c r="EUB124" s="381"/>
      <c r="EUC124" s="381"/>
      <c r="EUD124" s="381"/>
      <c r="EUE124" s="381"/>
      <c r="EUF124" s="381"/>
      <c r="EUG124" s="381"/>
      <c r="EUH124" s="381"/>
      <c r="EUI124" s="381"/>
      <c r="EUJ124" s="381"/>
      <c r="EUK124" s="381"/>
      <c r="EUL124" s="381"/>
      <c r="EUM124" s="381"/>
      <c r="EUN124" s="381"/>
      <c r="EUO124" s="381"/>
      <c r="EUP124" s="381"/>
      <c r="EUQ124" s="381"/>
      <c r="EUR124" s="381"/>
      <c r="EUS124" s="381"/>
      <c r="EUT124" s="381"/>
      <c r="EUU124" s="381"/>
      <c r="EUV124" s="381"/>
      <c r="EUW124" s="381"/>
      <c r="EUX124" s="381"/>
      <c r="EUY124" s="381"/>
      <c r="EUZ124" s="381"/>
      <c r="EVA124" s="381"/>
      <c r="EVB124" s="381"/>
      <c r="EVC124" s="381"/>
      <c r="EVD124" s="381"/>
      <c r="EVE124" s="381"/>
      <c r="EVF124" s="381"/>
      <c r="EVG124" s="381"/>
      <c r="EVH124" s="381"/>
      <c r="EVI124" s="381"/>
      <c r="EVJ124" s="381"/>
      <c r="EVK124" s="381"/>
      <c r="EVL124" s="381"/>
      <c r="EVM124" s="381"/>
      <c r="EVN124" s="381"/>
      <c r="EVO124" s="381"/>
      <c r="EVP124" s="381"/>
      <c r="EVQ124" s="381"/>
      <c r="EVR124" s="381"/>
      <c r="EVS124" s="381"/>
      <c r="EVT124" s="381"/>
      <c r="EVU124" s="381"/>
      <c r="EVV124" s="381"/>
      <c r="EVW124" s="381"/>
      <c r="EVX124" s="381"/>
      <c r="EVY124" s="381"/>
      <c r="EVZ124" s="381"/>
      <c r="EWA124" s="381"/>
      <c r="EWB124" s="381"/>
      <c r="EWC124" s="381"/>
      <c r="EWD124" s="381"/>
      <c r="EWE124" s="381"/>
      <c r="EWF124" s="381"/>
      <c r="EWG124" s="381"/>
      <c r="EWH124" s="381"/>
      <c r="EWI124" s="381"/>
      <c r="EWJ124" s="381"/>
      <c r="EWK124" s="381"/>
      <c r="EWL124" s="381"/>
      <c r="EWM124" s="381"/>
      <c r="EWN124" s="381"/>
      <c r="EWO124" s="381"/>
      <c r="EWP124" s="381"/>
      <c r="EWQ124" s="381"/>
      <c r="EWR124" s="381"/>
      <c r="EWS124" s="381"/>
      <c r="EWT124" s="381"/>
      <c r="EWU124" s="381"/>
      <c r="EWV124" s="381"/>
      <c r="EWW124" s="381"/>
      <c r="EWX124" s="381"/>
      <c r="EWY124" s="381"/>
      <c r="EWZ124" s="381"/>
      <c r="EXA124" s="381"/>
      <c r="EXB124" s="381"/>
      <c r="EXC124" s="381"/>
      <c r="EXD124" s="381"/>
      <c r="EXE124" s="381"/>
      <c r="EXF124" s="381"/>
      <c r="EXG124" s="381"/>
      <c r="EXH124" s="381"/>
      <c r="EXI124" s="381"/>
      <c r="EXJ124" s="381"/>
      <c r="EXK124" s="381"/>
      <c r="EXL124" s="381"/>
      <c r="EXM124" s="381"/>
      <c r="EXN124" s="381"/>
      <c r="EXO124" s="381"/>
      <c r="EXP124" s="381"/>
      <c r="EXQ124" s="381"/>
      <c r="EXR124" s="381"/>
      <c r="EXS124" s="381"/>
      <c r="EXT124" s="381"/>
      <c r="EXU124" s="381"/>
      <c r="EXV124" s="381"/>
      <c r="EXW124" s="381"/>
      <c r="EXX124" s="381"/>
      <c r="EXY124" s="381"/>
      <c r="EXZ124" s="381"/>
      <c r="EYA124" s="381"/>
      <c r="EYB124" s="381"/>
      <c r="EYC124" s="381"/>
      <c r="EYD124" s="381"/>
      <c r="EYE124" s="381"/>
      <c r="EYF124" s="381"/>
      <c r="EYG124" s="381"/>
      <c r="EYH124" s="381"/>
      <c r="EYI124" s="381"/>
      <c r="EYJ124" s="381"/>
      <c r="EYK124" s="381"/>
      <c r="EYL124" s="381"/>
      <c r="EYM124" s="381"/>
      <c r="EYN124" s="381"/>
      <c r="EYO124" s="381"/>
      <c r="EYP124" s="381"/>
      <c r="EYQ124" s="381"/>
      <c r="EYR124" s="381"/>
      <c r="EYS124" s="381"/>
      <c r="EYT124" s="381"/>
      <c r="EYU124" s="381"/>
      <c r="EYV124" s="381"/>
      <c r="EYW124" s="381"/>
      <c r="EYX124" s="381"/>
      <c r="EYY124" s="381"/>
      <c r="EYZ124" s="381"/>
      <c r="EZA124" s="381"/>
      <c r="EZB124" s="381"/>
      <c r="EZC124" s="381"/>
      <c r="EZD124" s="381"/>
      <c r="EZE124" s="381"/>
      <c r="EZF124" s="381"/>
      <c r="EZG124" s="381"/>
      <c r="EZH124" s="381"/>
      <c r="EZI124" s="381"/>
      <c r="EZJ124" s="381"/>
      <c r="EZK124" s="381"/>
      <c r="EZL124" s="381"/>
      <c r="EZM124" s="381"/>
      <c r="EZN124" s="381"/>
      <c r="EZO124" s="381"/>
      <c r="EZP124" s="381"/>
      <c r="EZQ124" s="381"/>
      <c r="EZR124" s="381"/>
      <c r="EZS124" s="381"/>
      <c r="EZT124" s="381"/>
      <c r="EZU124" s="381"/>
      <c r="EZV124" s="381"/>
      <c r="EZW124" s="381"/>
      <c r="EZX124" s="381"/>
      <c r="EZY124" s="381"/>
      <c r="EZZ124" s="381"/>
      <c r="FAA124" s="381"/>
      <c r="FAB124" s="381"/>
      <c r="FAC124" s="381"/>
      <c r="FAD124" s="381"/>
      <c r="FAE124" s="381"/>
      <c r="FAF124" s="381"/>
      <c r="FAG124" s="381"/>
      <c r="FAH124" s="381"/>
      <c r="FAI124" s="381"/>
      <c r="FAJ124" s="381"/>
      <c r="FAK124" s="381"/>
      <c r="FAL124" s="381"/>
      <c r="FAM124" s="381"/>
      <c r="FAN124" s="381"/>
      <c r="FAO124" s="381"/>
      <c r="FAP124" s="381"/>
      <c r="FAQ124" s="381"/>
      <c r="FAR124" s="381"/>
      <c r="FAS124" s="381"/>
      <c r="FAT124" s="381"/>
      <c r="FAU124" s="381"/>
      <c r="FAV124" s="381"/>
      <c r="FAW124" s="381"/>
      <c r="FAX124" s="381"/>
      <c r="FAY124" s="381"/>
      <c r="FAZ124" s="381"/>
      <c r="FBA124" s="381"/>
      <c r="FBB124" s="381"/>
      <c r="FBC124" s="381"/>
      <c r="FBD124" s="381"/>
      <c r="FBE124" s="381"/>
      <c r="FBF124" s="381"/>
      <c r="FBG124" s="381"/>
      <c r="FBH124" s="381"/>
      <c r="FBI124" s="381"/>
      <c r="FBJ124" s="381"/>
      <c r="FBK124" s="381"/>
      <c r="FBL124" s="381"/>
      <c r="FBM124" s="381"/>
      <c r="FBN124" s="381"/>
      <c r="FBO124" s="381"/>
      <c r="FBP124" s="381"/>
      <c r="FBQ124" s="381"/>
      <c r="FBR124" s="381"/>
      <c r="FBS124" s="381"/>
      <c r="FBT124" s="381"/>
      <c r="FBU124" s="381"/>
      <c r="FBV124" s="381"/>
      <c r="FBW124" s="381"/>
      <c r="FBX124" s="381"/>
      <c r="FBY124" s="381"/>
      <c r="FBZ124" s="381"/>
      <c r="FCA124" s="381"/>
      <c r="FCB124" s="381"/>
      <c r="FCC124" s="381"/>
      <c r="FCD124" s="381"/>
      <c r="FCE124" s="381"/>
      <c r="FCF124" s="381"/>
      <c r="FCG124" s="381"/>
      <c r="FCH124" s="381"/>
      <c r="FCI124" s="381"/>
      <c r="FCJ124" s="381"/>
      <c r="FCK124" s="381"/>
      <c r="FCL124" s="381"/>
      <c r="FCM124" s="381"/>
      <c r="FCN124" s="381"/>
      <c r="FCO124" s="381"/>
      <c r="FCP124" s="381"/>
      <c r="FCQ124" s="381"/>
      <c r="FCR124" s="381"/>
      <c r="FCS124" s="381"/>
      <c r="FCT124" s="381"/>
      <c r="FCU124" s="381"/>
      <c r="FCV124" s="381"/>
      <c r="FCW124" s="381"/>
      <c r="FCX124" s="381"/>
      <c r="FCY124" s="381"/>
      <c r="FCZ124" s="381"/>
      <c r="FDA124" s="381"/>
      <c r="FDB124" s="381"/>
      <c r="FDC124" s="381"/>
      <c r="FDD124" s="381"/>
      <c r="FDE124" s="381"/>
      <c r="FDF124" s="381"/>
      <c r="FDG124" s="381"/>
      <c r="FDH124" s="381"/>
      <c r="FDI124" s="381"/>
      <c r="FDJ124" s="381"/>
      <c r="FDK124" s="381"/>
      <c r="FDL124" s="381"/>
      <c r="FDM124" s="381"/>
      <c r="FDN124" s="381"/>
      <c r="FDO124" s="381"/>
      <c r="FDP124" s="381"/>
      <c r="FDQ124" s="381"/>
      <c r="FDR124" s="381"/>
      <c r="FDS124" s="381"/>
      <c r="FDT124" s="381"/>
      <c r="FDU124" s="381"/>
      <c r="FDV124" s="381"/>
      <c r="FDW124" s="381"/>
      <c r="FDX124" s="381"/>
      <c r="FDY124" s="381"/>
      <c r="FDZ124" s="381"/>
      <c r="FEA124" s="381"/>
      <c r="FEB124" s="381"/>
      <c r="FEC124" s="381"/>
      <c r="FED124" s="381"/>
      <c r="FEE124" s="381"/>
      <c r="FEF124" s="381"/>
      <c r="FEG124" s="381"/>
      <c r="FEH124" s="381"/>
      <c r="FEI124" s="381"/>
      <c r="FEJ124" s="381"/>
      <c r="FEK124" s="381"/>
      <c r="FEL124" s="381"/>
      <c r="FEM124" s="381"/>
      <c r="FEN124" s="381"/>
      <c r="FEO124" s="381"/>
      <c r="FEP124" s="381"/>
      <c r="FEQ124" s="381"/>
      <c r="FER124" s="381"/>
      <c r="FES124" s="381"/>
      <c r="FET124" s="381"/>
      <c r="FEU124" s="381"/>
      <c r="FEV124" s="381"/>
      <c r="FEW124" s="381"/>
      <c r="FEX124" s="381"/>
      <c r="FEY124" s="381"/>
      <c r="FEZ124" s="381"/>
      <c r="FFA124" s="381"/>
      <c r="FFB124" s="381"/>
      <c r="FFC124" s="381"/>
      <c r="FFD124" s="381"/>
      <c r="FFE124" s="381"/>
      <c r="FFF124" s="381"/>
      <c r="FFG124" s="381"/>
      <c r="FFH124" s="381"/>
      <c r="FFI124" s="381"/>
      <c r="FFJ124" s="381"/>
      <c r="FFK124" s="381"/>
      <c r="FFL124" s="381"/>
      <c r="FFM124" s="381"/>
      <c r="FFN124" s="381"/>
      <c r="FFO124" s="381"/>
      <c r="FFP124" s="381"/>
      <c r="FFQ124" s="381"/>
      <c r="FFR124" s="381"/>
      <c r="FFS124" s="381"/>
      <c r="FFT124" s="381"/>
      <c r="FFU124" s="381"/>
      <c r="FFV124" s="381"/>
      <c r="FFW124" s="381"/>
      <c r="FFX124" s="381"/>
      <c r="FFY124" s="381"/>
      <c r="FFZ124" s="381"/>
      <c r="FGA124" s="381"/>
      <c r="FGB124" s="381"/>
      <c r="FGC124" s="381"/>
      <c r="FGD124" s="381"/>
      <c r="FGE124" s="381"/>
      <c r="FGF124" s="381"/>
      <c r="FGG124" s="381"/>
      <c r="FGH124" s="381"/>
      <c r="FGI124" s="381"/>
      <c r="FGJ124" s="381"/>
      <c r="FGK124" s="381"/>
      <c r="FGL124" s="381"/>
      <c r="FGM124" s="381"/>
      <c r="FGN124" s="381"/>
      <c r="FGO124" s="381"/>
      <c r="FGP124" s="381"/>
      <c r="FGQ124" s="381"/>
      <c r="FGR124" s="381"/>
      <c r="FGS124" s="381"/>
      <c r="FGT124" s="381"/>
      <c r="FGU124" s="381"/>
      <c r="FGV124" s="381"/>
      <c r="FGW124" s="381"/>
      <c r="FGX124" s="381"/>
      <c r="FGY124" s="381"/>
      <c r="FGZ124" s="381"/>
      <c r="FHA124" s="381"/>
      <c r="FHB124" s="381"/>
      <c r="FHC124" s="381"/>
      <c r="FHD124" s="381"/>
      <c r="FHE124" s="381"/>
      <c r="FHF124" s="381"/>
      <c r="FHG124" s="381"/>
      <c r="FHH124" s="381"/>
      <c r="FHI124" s="381"/>
      <c r="FHJ124" s="381"/>
      <c r="FHK124" s="381"/>
      <c r="FHL124" s="381"/>
      <c r="FHM124" s="381"/>
      <c r="FHN124" s="381"/>
      <c r="FHO124" s="381"/>
      <c r="FHP124" s="381"/>
      <c r="FHQ124" s="381"/>
      <c r="FHR124" s="381"/>
      <c r="FHS124" s="381"/>
      <c r="FHT124" s="381"/>
      <c r="FHU124" s="381"/>
      <c r="FHV124" s="381"/>
      <c r="FHW124" s="381"/>
      <c r="FHX124" s="381"/>
      <c r="FHY124" s="381"/>
      <c r="FHZ124" s="381"/>
      <c r="FIA124" s="381"/>
      <c r="FIB124" s="381"/>
      <c r="FIC124" s="381"/>
      <c r="FID124" s="381"/>
      <c r="FIE124" s="381"/>
      <c r="FIF124" s="381"/>
      <c r="FIG124" s="381"/>
      <c r="FIH124" s="381"/>
      <c r="FII124" s="381"/>
      <c r="FIJ124" s="381"/>
      <c r="FIK124" s="381"/>
      <c r="FIL124" s="381"/>
      <c r="FIM124" s="381"/>
      <c r="FIN124" s="381"/>
      <c r="FIO124" s="381"/>
      <c r="FIP124" s="381"/>
      <c r="FIQ124" s="381"/>
      <c r="FIR124" s="381"/>
      <c r="FIS124" s="381"/>
      <c r="FIT124" s="381"/>
      <c r="FIU124" s="381"/>
      <c r="FIV124" s="381"/>
      <c r="FIW124" s="381"/>
      <c r="FIX124" s="381"/>
      <c r="FIY124" s="381"/>
      <c r="FIZ124" s="381"/>
      <c r="FJA124" s="381"/>
      <c r="FJB124" s="381"/>
      <c r="FJC124" s="381"/>
      <c r="FJD124" s="381"/>
      <c r="FJE124" s="381"/>
      <c r="FJF124" s="381"/>
      <c r="FJG124" s="381"/>
      <c r="FJH124" s="381"/>
      <c r="FJI124" s="381"/>
      <c r="FJJ124" s="381"/>
      <c r="FJK124" s="381"/>
      <c r="FJL124" s="381"/>
      <c r="FJM124" s="381"/>
      <c r="FJN124" s="381"/>
      <c r="FJO124" s="381"/>
      <c r="FJP124" s="381"/>
      <c r="FJQ124" s="381"/>
      <c r="FJR124" s="381"/>
      <c r="FJS124" s="381"/>
      <c r="FJT124" s="381"/>
      <c r="FJU124" s="381"/>
      <c r="FJV124" s="381"/>
      <c r="FJW124" s="381"/>
      <c r="FJX124" s="381"/>
      <c r="FJY124" s="381"/>
      <c r="FJZ124" s="381"/>
      <c r="FKA124" s="381"/>
      <c r="FKB124" s="381"/>
      <c r="FKC124" s="381"/>
      <c r="FKD124" s="381"/>
      <c r="FKE124" s="381"/>
      <c r="FKF124" s="381"/>
      <c r="FKG124" s="381"/>
      <c r="FKH124" s="381"/>
      <c r="FKI124" s="381"/>
      <c r="FKJ124" s="381"/>
      <c r="FKK124" s="381"/>
      <c r="FKL124" s="381"/>
      <c r="FKM124" s="381"/>
      <c r="FKN124" s="381"/>
      <c r="FKO124" s="381"/>
      <c r="FKP124" s="381"/>
      <c r="FKQ124" s="381"/>
      <c r="FKR124" s="381"/>
      <c r="FKS124" s="381"/>
      <c r="FKT124" s="381"/>
      <c r="FKU124" s="381"/>
      <c r="FKV124" s="381"/>
      <c r="FKW124" s="381"/>
      <c r="FKX124" s="381"/>
      <c r="FKY124" s="381"/>
      <c r="FKZ124" s="381"/>
      <c r="FLA124" s="381"/>
      <c r="FLB124" s="381"/>
      <c r="FLC124" s="381"/>
      <c r="FLD124" s="381"/>
      <c r="FLE124" s="381"/>
      <c r="FLF124" s="381"/>
      <c r="FLG124" s="381"/>
      <c r="FLH124" s="381"/>
      <c r="FLI124" s="381"/>
      <c r="FLJ124" s="381"/>
      <c r="FLK124" s="381"/>
      <c r="FLL124" s="381"/>
      <c r="FLM124" s="381"/>
      <c r="FLN124" s="381"/>
      <c r="FLO124" s="381"/>
      <c r="FLP124" s="381"/>
      <c r="FLQ124" s="381"/>
      <c r="FLR124" s="381"/>
      <c r="FLS124" s="381"/>
      <c r="FLT124" s="381"/>
      <c r="FLU124" s="381"/>
      <c r="FLV124" s="381"/>
      <c r="FLW124" s="381"/>
      <c r="FLX124" s="381"/>
      <c r="FLY124" s="381"/>
      <c r="FLZ124" s="381"/>
      <c r="FMA124" s="381"/>
      <c r="FMB124" s="381"/>
      <c r="FMC124" s="381"/>
      <c r="FMD124" s="381"/>
      <c r="FME124" s="381"/>
      <c r="FMF124" s="381"/>
      <c r="FMG124" s="381"/>
      <c r="FMH124" s="381"/>
      <c r="FMI124" s="381"/>
      <c r="FMJ124" s="381"/>
      <c r="FMK124" s="381"/>
      <c r="FML124" s="381"/>
      <c r="FMM124" s="381"/>
      <c r="FMN124" s="381"/>
      <c r="FMO124" s="381"/>
      <c r="FMP124" s="381"/>
      <c r="FMQ124" s="381"/>
      <c r="FMR124" s="381"/>
      <c r="FMS124" s="381"/>
      <c r="FMT124" s="381"/>
      <c r="FMU124" s="381"/>
      <c r="FMV124" s="381"/>
      <c r="FMW124" s="381"/>
      <c r="FMX124" s="381"/>
      <c r="FMY124" s="381"/>
      <c r="FMZ124" s="381"/>
      <c r="FNA124" s="381"/>
      <c r="FNB124" s="381"/>
      <c r="FNC124" s="381"/>
      <c r="FND124" s="381"/>
      <c r="FNE124" s="381"/>
      <c r="FNF124" s="381"/>
      <c r="FNG124" s="381"/>
      <c r="FNH124" s="381"/>
      <c r="FNI124" s="381"/>
      <c r="FNJ124" s="381"/>
      <c r="FNK124" s="381"/>
      <c r="FNL124" s="381"/>
      <c r="FNM124" s="381"/>
      <c r="FNN124" s="381"/>
      <c r="FNO124" s="381"/>
      <c r="FNP124" s="381"/>
      <c r="FNQ124" s="381"/>
      <c r="FNR124" s="381"/>
      <c r="FNS124" s="381"/>
      <c r="FNT124" s="381"/>
      <c r="FNU124" s="381"/>
      <c r="FNV124" s="381"/>
      <c r="FNW124" s="381"/>
      <c r="FNX124" s="381"/>
      <c r="FNY124" s="381"/>
      <c r="FNZ124" s="381"/>
      <c r="FOA124" s="381"/>
      <c r="FOB124" s="381"/>
      <c r="FOC124" s="381"/>
      <c r="FOD124" s="381"/>
      <c r="FOE124" s="381"/>
      <c r="FOF124" s="381"/>
      <c r="FOG124" s="381"/>
      <c r="FOH124" s="381"/>
      <c r="FOI124" s="381"/>
      <c r="FOJ124" s="381"/>
      <c r="FOK124" s="381"/>
      <c r="FOL124" s="381"/>
      <c r="FOM124" s="381"/>
      <c r="FON124" s="381"/>
      <c r="FOO124" s="381"/>
      <c r="FOP124" s="381"/>
      <c r="FOQ124" s="381"/>
      <c r="FOR124" s="381"/>
      <c r="FOS124" s="381"/>
      <c r="FOT124" s="381"/>
      <c r="FOU124" s="381"/>
      <c r="FOV124" s="381"/>
      <c r="FOW124" s="381"/>
      <c r="FOX124" s="381"/>
      <c r="FOY124" s="381"/>
      <c r="FOZ124" s="381"/>
      <c r="FPA124" s="381"/>
      <c r="FPB124" s="381"/>
      <c r="FPC124" s="381"/>
      <c r="FPD124" s="381"/>
      <c r="FPE124" s="381"/>
      <c r="FPF124" s="381"/>
      <c r="FPG124" s="381"/>
      <c r="FPH124" s="381"/>
      <c r="FPI124" s="381"/>
      <c r="FPJ124" s="381"/>
      <c r="FPK124" s="381"/>
      <c r="FPL124" s="381"/>
      <c r="FPM124" s="381"/>
      <c r="FPN124" s="381"/>
      <c r="FPO124" s="381"/>
      <c r="FPP124" s="381"/>
      <c r="FPQ124" s="381"/>
      <c r="FPR124" s="381"/>
      <c r="FPS124" s="381"/>
      <c r="FPT124" s="381"/>
      <c r="FPU124" s="381"/>
      <c r="FPV124" s="381"/>
      <c r="FPW124" s="381"/>
      <c r="FPX124" s="381"/>
      <c r="FPY124" s="381"/>
      <c r="FPZ124" s="381"/>
      <c r="FQA124" s="381"/>
      <c r="FQB124" s="381"/>
      <c r="FQC124" s="381"/>
      <c r="FQD124" s="381"/>
      <c r="FQE124" s="381"/>
      <c r="FQF124" s="381"/>
      <c r="FQG124" s="381"/>
      <c r="FQH124" s="381"/>
      <c r="FQI124" s="381"/>
      <c r="FQJ124" s="381"/>
      <c r="FQK124" s="381"/>
      <c r="FQL124" s="381"/>
      <c r="FQM124" s="381"/>
      <c r="FQN124" s="381"/>
      <c r="FQO124" s="381"/>
      <c r="FQP124" s="381"/>
      <c r="FQQ124" s="381"/>
      <c r="FQR124" s="381"/>
      <c r="FQS124" s="381"/>
      <c r="FQT124" s="381"/>
      <c r="FQU124" s="381"/>
      <c r="FQV124" s="381"/>
      <c r="FQW124" s="381"/>
      <c r="FQX124" s="381"/>
      <c r="FQY124" s="381"/>
      <c r="FQZ124" s="381"/>
      <c r="FRA124" s="381"/>
      <c r="FRB124" s="381"/>
      <c r="FRC124" s="381"/>
      <c r="FRD124" s="381"/>
      <c r="FRE124" s="381"/>
      <c r="FRF124" s="381"/>
      <c r="FRG124" s="381"/>
      <c r="FRH124" s="381"/>
      <c r="FRI124" s="381"/>
      <c r="FRJ124" s="381"/>
      <c r="FRK124" s="381"/>
      <c r="FRL124" s="381"/>
      <c r="FRM124" s="381"/>
      <c r="FRN124" s="381"/>
      <c r="FRO124" s="381"/>
      <c r="FRP124" s="381"/>
      <c r="FRQ124" s="381"/>
      <c r="FRR124" s="381"/>
      <c r="FRS124" s="381"/>
      <c r="FRT124" s="381"/>
      <c r="FRU124" s="381"/>
      <c r="FRV124" s="381"/>
      <c r="FRW124" s="381"/>
      <c r="FRX124" s="381"/>
      <c r="FRY124" s="381"/>
      <c r="FRZ124" s="381"/>
      <c r="FSA124" s="381"/>
      <c r="FSB124" s="381"/>
      <c r="FSC124" s="381"/>
      <c r="FSD124" s="381"/>
      <c r="FSE124" s="381"/>
      <c r="FSF124" s="381"/>
      <c r="FSG124" s="381"/>
      <c r="FSH124" s="381"/>
      <c r="FSI124" s="381"/>
      <c r="FSJ124" s="381"/>
      <c r="FSK124" s="381"/>
      <c r="FSL124" s="381"/>
      <c r="FSM124" s="381"/>
      <c r="FSN124" s="381"/>
      <c r="FSO124" s="381"/>
      <c r="FSP124" s="381"/>
      <c r="FSQ124" s="381"/>
      <c r="FSR124" s="381"/>
      <c r="FSS124" s="381"/>
      <c r="FST124" s="381"/>
      <c r="FSU124" s="381"/>
      <c r="FSV124" s="381"/>
      <c r="FSW124" s="381"/>
      <c r="FSX124" s="381"/>
      <c r="FSY124" s="381"/>
      <c r="FSZ124" s="381"/>
      <c r="FTA124" s="381"/>
      <c r="FTB124" s="381"/>
      <c r="FTC124" s="381"/>
      <c r="FTD124" s="381"/>
      <c r="FTE124" s="381"/>
      <c r="FTF124" s="381"/>
      <c r="FTG124" s="381"/>
      <c r="FTH124" s="381"/>
      <c r="FTI124" s="381"/>
      <c r="FTJ124" s="381"/>
      <c r="FTK124" s="381"/>
      <c r="FTL124" s="381"/>
      <c r="FTM124" s="381"/>
      <c r="FTN124" s="381"/>
      <c r="FTO124" s="381"/>
      <c r="FTP124" s="381"/>
      <c r="FTQ124" s="381"/>
      <c r="FTR124" s="381"/>
      <c r="FTS124" s="381"/>
      <c r="FTT124" s="381"/>
      <c r="FTU124" s="381"/>
      <c r="FTV124" s="381"/>
      <c r="FTW124" s="381"/>
      <c r="FTX124" s="381"/>
      <c r="FTY124" s="381"/>
      <c r="FTZ124" s="381"/>
      <c r="FUA124" s="381"/>
      <c r="FUB124" s="381"/>
      <c r="FUC124" s="381"/>
      <c r="FUD124" s="381"/>
      <c r="FUE124" s="381"/>
      <c r="FUF124" s="381"/>
      <c r="FUG124" s="381"/>
      <c r="FUH124" s="381"/>
      <c r="FUI124" s="381"/>
      <c r="FUJ124" s="381"/>
      <c r="FUK124" s="381"/>
      <c r="FUL124" s="381"/>
      <c r="FUM124" s="381"/>
      <c r="FUN124" s="381"/>
      <c r="FUO124" s="381"/>
      <c r="FUP124" s="381"/>
      <c r="FUQ124" s="381"/>
      <c r="FUR124" s="381"/>
      <c r="FUS124" s="381"/>
      <c r="FUT124" s="381"/>
      <c r="FUU124" s="381"/>
      <c r="FUV124" s="381"/>
      <c r="FUW124" s="381"/>
      <c r="FUX124" s="381"/>
      <c r="FUY124" s="381"/>
      <c r="FUZ124" s="381"/>
      <c r="FVA124" s="381"/>
      <c r="FVB124" s="381"/>
      <c r="FVC124" s="381"/>
      <c r="FVD124" s="381"/>
      <c r="FVE124" s="381"/>
      <c r="FVF124" s="381"/>
      <c r="FVG124" s="381"/>
      <c r="FVH124" s="381"/>
      <c r="FVI124" s="381"/>
      <c r="FVJ124" s="381"/>
      <c r="FVK124" s="381"/>
      <c r="FVL124" s="381"/>
      <c r="FVM124" s="381"/>
      <c r="FVN124" s="381"/>
      <c r="FVO124" s="381"/>
      <c r="FVP124" s="381"/>
      <c r="FVQ124" s="381"/>
      <c r="FVR124" s="381"/>
      <c r="FVS124" s="381"/>
      <c r="FVT124" s="381"/>
      <c r="FVU124" s="381"/>
      <c r="FVV124" s="381"/>
      <c r="FVW124" s="381"/>
      <c r="FVX124" s="381"/>
      <c r="FVY124" s="381"/>
      <c r="FVZ124" s="381"/>
      <c r="FWA124" s="381"/>
      <c r="FWB124" s="381"/>
      <c r="FWC124" s="381"/>
      <c r="FWD124" s="381"/>
      <c r="FWE124" s="381"/>
      <c r="FWF124" s="381"/>
      <c r="FWG124" s="381"/>
      <c r="FWH124" s="381"/>
      <c r="FWI124" s="381"/>
      <c r="FWJ124" s="381"/>
      <c r="FWK124" s="381"/>
      <c r="FWL124" s="381"/>
      <c r="FWM124" s="381"/>
      <c r="FWN124" s="381"/>
      <c r="FWO124" s="381"/>
      <c r="FWP124" s="381"/>
      <c r="FWQ124" s="381"/>
      <c r="FWR124" s="381"/>
      <c r="FWS124" s="381"/>
      <c r="FWT124" s="381"/>
      <c r="FWU124" s="381"/>
      <c r="FWV124" s="381"/>
      <c r="FWW124" s="381"/>
      <c r="FWX124" s="381"/>
      <c r="FWY124" s="381"/>
      <c r="FWZ124" s="381"/>
      <c r="FXA124" s="381"/>
      <c r="FXB124" s="381"/>
      <c r="FXC124" s="381"/>
      <c r="FXD124" s="381"/>
      <c r="FXE124" s="381"/>
      <c r="FXF124" s="381"/>
      <c r="FXG124" s="381"/>
      <c r="FXH124" s="381"/>
      <c r="FXI124" s="381"/>
      <c r="FXJ124" s="381"/>
      <c r="FXK124" s="381"/>
      <c r="FXL124" s="381"/>
      <c r="FXM124" s="381"/>
      <c r="FXN124" s="381"/>
      <c r="FXO124" s="381"/>
      <c r="FXP124" s="381"/>
      <c r="FXQ124" s="381"/>
      <c r="FXR124" s="381"/>
      <c r="FXS124" s="381"/>
      <c r="FXT124" s="381"/>
      <c r="FXU124" s="381"/>
      <c r="FXV124" s="381"/>
      <c r="FXW124" s="381"/>
      <c r="FXX124" s="381"/>
      <c r="FXY124" s="381"/>
      <c r="FXZ124" s="381"/>
      <c r="FYA124" s="381"/>
      <c r="FYB124" s="381"/>
      <c r="FYC124" s="381"/>
      <c r="FYD124" s="381"/>
      <c r="FYE124" s="381"/>
      <c r="FYF124" s="381"/>
      <c r="FYG124" s="381"/>
      <c r="FYH124" s="381"/>
      <c r="FYI124" s="381"/>
      <c r="FYJ124" s="381"/>
      <c r="FYK124" s="381"/>
      <c r="FYL124" s="381"/>
      <c r="FYM124" s="381"/>
      <c r="FYN124" s="381"/>
      <c r="FYO124" s="381"/>
      <c r="FYP124" s="381"/>
      <c r="FYQ124" s="381"/>
      <c r="FYR124" s="381"/>
      <c r="FYS124" s="381"/>
      <c r="FYT124" s="381"/>
      <c r="FYU124" s="381"/>
      <c r="FYV124" s="381"/>
      <c r="FYW124" s="381"/>
      <c r="FYX124" s="381"/>
      <c r="FYY124" s="381"/>
      <c r="FYZ124" s="381"/>
      <c r="FZA124" s="381"/>
      <c r="FZB124" s="381"/>
      <c r="FZC124" s="381"/>
      <c r="FZD124" s="381"/>
      <c r="FZE124" s="381"/>
      <c r="FZF124" s="381"/>
      <c r="FZG124" s="381"/>
      <c r="FZH124" s="381"/>
      <c r="FZI124" s="381"/>
      <c r="FZJ124" s="381"/>
      <c r="FZK124" s="381"/>
      <c r="FZL124" s="381"/>
      <c r="FZM124" s="381"/>
      <c r="FZN124" s="381"/>
      <c r="FZO124" s="381"/>
      <c r="FZP124" s="381"/>
      <c r="FZQ124" s="381"/>
      <c r="FZR124" s="381"/>
      <c r="FZS124" s="381"/>
      <c r="FZT124" s="381"/>
      <c r="FZU124" s="381"/>
      <c r="FZV124" s="381"/>
      <c r="FZW124" s="381"/>
      <c r="FZX124" s="381"/>
      <c r="FZY124" s="381"/>
      <c r="FZZ124" s="381"/>
      <c r="GAA124" s="381"/>
      <c r="GAB124" s="381"/>
      <c r="GAC124" s="381"/>
      <c r="GAD124" s="381"/>
      <c r="GAE124" s="381"/>
      <c r="GAF124" s="381"/>
      <c r="GAG124" s="381"/>
      <c r="GAH124" s="381"/>
      <c r="GAI124" s="381"/>
      <c r="GAJ124" s="381"/>
      <c r="GAK124" s="381"/>
      <c r="GAL124" s="381"/>
      <c r="GAM124" s="381"/>
      <c r="GAN124" s="381"/>
      <c r="GAO124" s="381"/>
      <c r="GAP124" s="381"/>
      <c r="GAQ124" s="381"/>
      <c r="GAR124" s="381"/>
      <c r="GAS124" s="381"/>
      <c r="GAT124" s="381"/>
      <c r="GAU124" s="381"/>
      <c r="GAV124" s="381"/>
      <c r="GAW124" s="381"/>
      <c r="GAX124" s="381"/>
      <c r="GAY124" s="381"/>
      <c r="GAZ124" s="381"/>
      <c r="GBA124" s="381"/>
      <c r="GBB124" s="381"/>
      <c r="GBC124" s="381"/>
      <c r="GBD124" s="381"/>
      <c r="GBE124" s="381"/>
      <c r="GBF124" s="381"/>
      <c r="GBG124" s="381"/>
      <c r="GBH124" s="381"/>
      <c r="GBI124" s="381"/>
      <c r="GBJ124" s="381"/>
      <c r="GBK124" s="381"/>
      <c r="GBL124" s="381"/>
      <c r="GBM124" s="381"/>
      <c r="GBN124" s="381"/>
      <c r="GBO124" s="381"/>
      <c r="GBP124" s="381"/>
      <c r="GBQ124" s="381"/>
      <c r="GBR124" s="381"/>
      <c r="GBS124" s="381"/>
      <c r="GBT124" s="381"/>
      <c r="GBU124" s="381"/>
      <c r="GBV124" s="381"/>
      <c r="GBW124" s="381"/>
      <c r="GBX124" s="381"/>
      <c r="GBY124" s="381"/>
      <c r="GBZ124" s="381"/>
      <c r="GCA124" s="381"/>
      <c r="GCB124" s="381"/>
      <c r="GCC124" s="381"/>
      <c r="GCD124" s="381"/>
      <c r="GCE124" s="381"/>
      <c r="GCF124" s="381"/>
      <c r="GCG124" s="381"/>
      <c r="GCH124" s="381"/>
      <c r="GCI124" s="381"/>
      <c r="GCJ124" s="381"/>
      <c r="GCK124" s="381"/>
      <c r="GCL124" s="381"/>
      <c r="GCM124" s="381"/>
      <c r="GCN124" s="381"/>
      <c r="GCO124" s="381"/>
      <c r="GCP124" s="381"/>
      <c r="GCQ124" s="381"/>
      <c r="GCR124" s="381"/>
      <c r="GCS124" s="381"/>
      <c r="GCT124" s="381"/>
      <c r="GCU124" s="381"/>
      <c r="GCV124" s="381"/>
      <c r="GCW124" s="381"/>
      <c r="GCX124" s="381"/>
      <c r="GCY124" s="381"/>
      <c r="GCZ124" s="381"/>
      <c r="GDA124" s="381"/>
      <c r="GDB124" s="381"/>
      <c r="GDC124" s="381"/>
      <c r="GDD124" s="381"/>
      <c r="GDE124" s="381"/>
      <c r="GDF124" s="381"/>
      <c r="GDG124" s="381"/>
      <c r="GDH124" s="381"/>
      <c r="GDI124" s="381"/>
      <c r="GDJ124" s="381"/>
      <c r="GDK124" s="381"/>
      <c r="GDL124" s="381"/>
      <c r="GDM124" s="381"/>
      <c r="GDN124" s="381"/>
      <c r="GDO124" s="381"/>
      <c r="GDP124" s="381"/>
      <c r="GDQ124" s="381"/>
      <c r="GDR124" s="381"/>
      <c r="GDS124" s="381"/>
      <c r="GDT124" s="381"/>
      <c r="GDU124" s="381"/>
      <c r="GDV124" s="381"/>
      <c r="GDW124" s="381"/>
      <c r="GDX124" s="381"/>
      <c r="GDY124" s="381"/>
      <c r="GDZ124" s="381"/>
      <c r="GEA124" s="381"/>
      <c r="GEB124" s="381"/>
      <c r="GEC124" s="381"/>
      <c r="GED124" s="381"/>
      <c r="GEE124" s="381"/>
      <c r="GEF124" s="381"/>
      <c r="GEG124" s="381"/>
      <c r="GEH124" s="381"/>
      <c r="GEI124" s="381"/>
      <c r="GEJ124" s="381"/>
      <c r="GEK124" s="381"/>
      <c r="GEL124" s="381"/>
      <c r="GEM124" s="381"/>
      <c r="GEN124" s="381"/>
      <c r="GEO124" s="381"/>
      <c r="GEP124" s="381"/>
      <c r="GEQ124" s="381"/>
      <c r="GER124" s="381"/>
      <c r="GES124" s="381"/>
      <c r="GET124" s="381"/>
      <c r="GEU124" s="381"/>
      <c r="GEV124" s="381"/>
      <c r="GEW124" s="381"/>
      <c r="GEX124" s="381"/>
      <c r="GEY124" s="381"/>
      <c r="GEZ124" s="381"/>
      <c r="GFA124" s="381"/>
      <c r="GFB124" s="381"/>
      <c r="GFC124" s="381"/>
      <c r="GFD124" s="381"/>
      <c r="GFE124" s="381"/>
      <c r="GFF124" s="381"/>
      <c r="GFG124" s="381"/>
      <c r="GFH124" s="381"/>
      <c r="GFI124" s="381"/>
      <c r="GFJ124" s="381"/>
      <c r="GFK124" s="381"/>
      <c r="GFL124" s="381"/>
      <c r="GFM124" s="381"/>
      <c r="GFN124" s="381"/>
      <c r="GFO124" s="381"/>
      <c r="GFP124" s="381"/>
      <c r="GFQ124" s="381"/>
      <c r="GFR124" s="381"/>
      <c r="GFS124" s="381"/>
      <c r="GFT124" s="381"/>
      <c r="GFU124" s="381"/>
      <c r="GFV124" s="381"/>
      <c r="GFW124" s="381"/>
      <c r="GFX124" s="381"/>
      <c r="GFY124" s="381"/>
      <c r="GFZ124" s="381"/>
      <c r="GGA124" s="381"/>
      <c r="GGB124" s="381"/>
      <c r="GGC124" s="381"/>
      <c r="GGD124" s="381"/>
      <c r="GGE124" s="381"/>
      <c r="GGF124" s="381"/>
      <c r="GGG124" s="381"/>
      <c r="GGH124" s="381"/>
      <c r="GGI124" s="381"/>
      <c r="GGJ124" s="381"/>
      <c r="GGK124" s="381"/>
      <c r="GGL124" s="381"/>
      <c r="GGM124" s="381"/>
      <c r="GGN124" s="381"/>
      <c r="GGO124" s="381"/>
      <c r="GGP124" s="381"/>
      <c r="GGQ124" s="381"/>
      <c r="GGR124" s="381"/>
      <c r="GGS124" s="381"/>
      <c r="GGT124" s="381"/>
      <c r="GGU124" s="381"/>
      <c r="GGV124" s="381"/>
      <c r="GGW124" s="381"/>
      <c r="GGX124" s="381"/>
      <c r="GGY124" s="381"/>
      <c r="GGZ124" s="381"/>
      <c r="GHA124" s="381"/>
      <c r="GHB124" s="381"/>
      <c r="GHC124" s="381"/>
      <c r="GHD124" s="381"/>
      <c r="GHE124" s="381"/>
      <c r="GHF124" s="381"/>
      <c r="GHG124" s="381"/>
      <c r="GHH124" s="381"/>
      <c r="GHI124" s="381"/>
      <c r="GHJ124" s="381"/>
      <c r="GHK124" s="381"/>
      <c r="GHL124" s="381"/>
      <c r="GHM124" s="381"/>
      <c r="GHN124" s="381"/>
      <c r="GHO124" s="381"/>
      <c r="GHP124" s="381"/>
      <c r="GHQ124" s="381"/>
      <c r="GHR124" s="381"/>
      <c r="GHS124" s="381"/>
      <c r="GHT124" s="381"/>
      <c r="GHU124" s="381"/>
      <c r="GHV124" s="381"/>
      <c r="GHW124" s="381"/>
      <c r="GHX124" s="381"/>
      <c r="GHY124" s="381"/>
      <c r="GHZ124" s="381"/>
      <c r="GIA124" s="381"/>
      <c r="GIB124" s="381"/>
      <c r="GIC124" s="381"/>
      <c r="GID124" s="381"/>
      <c r="GIE124" s="381"/>
      <c r="GIF124" s="381"/>
      <c r="GIG124" s="381"/>
      <c r="GIH124" s="381"/>
      <c r="GII124" s="381"/>
      <c r="GIJ124" s="381"/>
      <c r="GIK124" s="381"/>
      <c r="GIL124" s="381"/>
      <c r="GIM124" s="381"/>
      <c r="GIN124" s="381"/>
      <c r="GIO124" s="381"/>
      <c r="GIP124" s="381"/>
      <c r="GIQ124" s="381"/>
      <c r="GIR124" s="381"/>
      <c r="GIS124" s="381"/>
      <c r="GIT124" s="381"/>
      <c r="GIU124" s="381"/>
      <c r="GIV124" s="381"/>
      <c r="GIW124" s="381"/>
      <c r="GIX124" s="381"/>
      <c r="GIY124" s="381"/>
      <c r="GIZ124" s="381"/>
      <c r="GJA124" s="381"/>
      <c r="GJB124" s="381"/>
      <c r="GJC124" s="381"/>
      <c r="GJD124" s="381"/>
      <c r="GJE124" s="381"/>
      <c r="GJF124" s="381"/>
      <c r="GJG124" s="381"/>
      <c r="GJH124" s="381"/>
      <c r="GJI124" s="381"/>
      <c r="GJJ124" s="381"/>
      <c r="GJK124" s="381"/>
      <c r="GJL124" s="381"/>
      <c r="GJM124" s="381"/>
      <c r="GJN124" s="381"/>
      <c r="GJO124" s="381"/>
      <c r="GJP124" s="381"/>
      <c r="GJQ124" s="381"/>
      <c r="GJR124" s="381"/>
      <c r="GJS124" s="381"/>
      <c r="GJT124" s="381"/>
      <c r="GJU124" s="381"/>
      <c r="GJV124" s="381"/>
      <c r="GJW124" s="381"/>
      <c r="GJX124" s="381"/>
      <c r="GJY124" s="381"/>
      <c r="GJZ124" s="381"/>
      <c r="GKA124" s="381"/>
      <c r="GKB124" s="381"/>
      <c r="GKC124" s="381"/>
      <c r="GKD124" s="381"/>
      <c r="GKE124" s="381"/>
      <c r="GKF124" s="381"/>
      <c r="GKG124" s="381"/>
      <c r="GKH124" s="381"/>
      <c r="GKI124" s="381"/>
      <c r="GKJ124" s="381"/>
      <c r="GKK124" s="381"/>
      <c r="GKL124" s="381"/>
      <c r="GKM124" s="381"/>
      <c r="GKN124" s="381"/>
      <c r="GKO124" s="381"/>
      <c r="GKP124" s="381"/>
      <c r="GKQ124" s="381"/>
      <c r="GKR124" s="381"/>
      <c r="GKS124" s="381"/>
      <c r="GKT124" s="381"/>
      <c r="GKU124" s="381"/>
      <c r="GKV124" s="381"/>
      <c r="GKW124" s="381"/>
      <c r="GKX124" s="381"/>
      <c r="GKY124" s="381"/>
      <c r="GKZ124" s="381"/>
      <c r="GLA124" s="381"/>
      <c r="GLB124" s="381"/>
      <c r="GLC124" s="381"/>
      <c r="GLD124" s="381"/>
      <c r="GLE124" s="381"/>
      <c r="GLF124" s="381"/>
      <c r="GLG124" s="381"/>
      <c r="GLH124" s="381"/>
      <c r="GLI124" s="381"/>
      <c r="GLJ124" s="381"/>
      <c r="GLK124" s="381"/>
      <c r="GLL124" s="381"/>
      <c r="GLM124" s="381"/>
      <c r="GLN124" s="381"/>
      <c r="GLO124" s="381"/>
      <c r="GLP124" s="381"/>
      <c r="GLQ124" s="381"/>
      <c r="GLR124" s="381"/>
      <c r="GLS124" s="381"/>
      <c r="GLT124" s="381"/>
      <c r="GLU124" s="381"/>
      <c r="GLV124" s="381"/>
      <c r="GLW124" s="381"/>
      <c r="GLX124" s="381"/>
      <c r="GLY124" s="381"/>
      <c r="GLZ124" s="381"/>
      <c r="GMA124" s="381"/>
      <c r="GMB124" s="381"/>
      <c r="GMC124" s="381"/>
      <c r="GMD124" s="381"/>
      <c r="GME124" s="381"/>
      <c r="GMF124" s="381"/>
      <c r="GMG124" s="381"/>
      <c r="GMH124" s="381"/>
      <c r="GMI124" s="381"/>
      <c r="GMJ124" s="381"/>
      <c r="GMK124" s="381"/>
      <c r="GML124" s="381"/>
      <c r="GMM124" s="381"/>
      <c r="GMN124" s="381"/>
      <c r="GMO124" s="381"/>
      <c r="GMP124" s="381"/>
      <c r="GMQ124" s="381"/>
      <c r="GMR124" s="381"/>
      <c r="GMS124" s="381"/>
      <c r="GMT124" s="381"/>
      <c r="GMU124" s="381"/>
      <c r="GMV124" s="381"/>
      <c r="GMW124" s="381"/>
      <c r="GMX124" s="381"/>
      <c r="GMY124" s="381"/>
      <c r="GMZ124" s="381"/>
      <c r="GNA124" s="381"/>
      <c r="GNB124" s="381"/>
      <c r="GNC124" s="381"/>
      <c r="GND124" s="381"/>
      <c r="GNE124" s="381"/>
      <c r="GNF124" s="381"/>
      <c r="GNG124" s="381"/>
      <c r="GNH124" s="381"/>
      <c r="GNI124" s="381"/>
      <c r="GNJ124" s="381"/>
      <c r="GNK124" s="381"/>
      <c r="GNL124" s="381"/>
      <c r="GNM124" s="381"/>
      <c r="GNN124" s="381"/>
      <c r="GNO124" s="381"/>
      <c r="GNP124" s="381"/>
      <c r="GNQ124" s="381"/>
      <c r="GNR124" s="381"/>
      <c r="GNS124" s="381"/>
      <c r="GNT124" s="381"/>
      <c r="GNU124" s="381"/>
      <c r="GNV124" s="381"/>
      <c r="GNW124" s="381"/>
      <c r="GNX124" s="381"/>
      <c r="GNY124" s="381"/>
      <c r="GNZ124" s="381"/>
      <c r="GOA124" s="381"/>
      <c r="GOB124" s="381"/>
      <c r="GOC124" s="381"/>
      <c r="GOD124" s="381"/>
      <c r="GOE124" s="381"/>
      <c r="GOF124" s="381"/>
      <c r="GOG124" s="381"/>
      <c r="GOH124" s="381"/>
      <c r="GOI124" s="381"/>
      <c r="GOJ124" s="381"/>
      <c r="GOK124" s="381"/>
      <c r="GOL124" s="381"/>
      <c r="GOM124" s="381"/>
      <c r="GON124" s="381"/>
      <c r="GOO124" s="381"/>
      <c r="GOP124" s="381"/>
      <c r="GOQ124" s="381"/>
      <c r="GOR124" s="381"/>
      <c r="GOS124" s="381"/>
      <c r="GOT124" s="381"/>
      <c r="GOU124" s="381"/>
      <c r="GOV124" s="381"/>
      <c r="GOW124" s="381"/>
      <c r="GOX124" s="381"/>
      <c r="GOY124" s="381"/>
      <c r="GOZ124" s="381"/>
      <c r="GPA124" s="381"/>
      <c r="GPB124" s="381"/>
      <c r="GPC124" s="381"/>
      <c r="GPD124" s="381"/>
      <c r="GPE124" s="381"/>
      <c r="GPF124" s="381"/>
      <c r="GPG124" s="381"/>
      <c r="GPH124" s="381"/>
      <c r="GPI124" s="381"/>
      <c r="GPJ124" s="381"/>
      <c r="GPK124" s="381"/>
      <c r="GPL124" s="381"/>
      <c r="GPM124" s="381"/>
      <c r="GPN124" s="381"/>
      <c r="GPO124" s="381"/>
      <c r="GPP124" s="381"/>
      <c r="GPQ124" s="381"/>
      <c r="GPR124" s="381"/>
      <c r="GPS124" s="381"/>
      <c r="GPT124" s="381"/>
      <c r="GPU124" s="381"/>
      <c r="GPV124" s="381"/>
      <c r="GPW124" s="381"/>
      <c r="GPX124" s="381"/>
      <c r="GPY124" s="381"/>
      <c r="GPZ124" s="381"/>
      <c r="GQA124" s="381"/>
      <c r="GQB124" s="381"/>
      <c r="GQC124" s="381"/>
      <c r="GQD124" s="381"/>
      <c r="GQE124" s="381"/>
      <c r="GQF124" s="381"/>
      <c r="GQG124" s="381"/>
      <c r="GQH124" s="381"/>
      <c r="GQI124" s="381"/>
      <c r="GQJ124" s="381"/>
      <c r="GQK124" s="381"/>
      <c r="GQL124" s="381"/>
      <c r="GQM124" s="381"/>
      <c r="GQN124" s="381"/>
      <c r="GQO124" s="381"/>
      <c r="GQP124" s="381"/>
      <c r="GQQ124" s="381"/>
      <c r="GQR124" s="381"/>
      <c r="GQS124" s="381"/>
      <c r="GQT124" s="381"/>
      <c r="GQU124" s="381"/>
      <c r="GQV124" s="381"/>
      <c r="GQW124" s="381"/>
      <c r="GQX124" s="381"/>
      <c r="GQY124" s="381"/>
      <c r="GQZ124" s="381"/>
      <c r="GRA124" s="381"/>
      <c r="GRB124" s="381"/>
      <c r="GRC124" s="381"/>
      <c r="GRD124" s="381"/>
      <c r="GRE124" s="381"/>
      <c r="GRF124" s="381"/>
      <c r="GRG124" s="381"/>
      <c r="GRH124" s="381"/>
      <c r="GRI124" s="381"/>
      <c r="GRJ124" s="381"/>
      <c r="GRK124" s="381"/>
      <c r="GRL124" s="381"/>
      <c r="GRM124" s="381"/>
      <c r="GRN124" s="381"/>
      <c r="GRO124" s="381"/>
      <c r="GRP124" s="381"/>
      <c r="GRQ124" s="381"/>
      <c r="GRR124" s="381"/>
      <c r="GRS124" s="381"/>
      <c r="GRT124" s="381"/>
      <c r="GRU124" s="381"/>
      <c r="GRV124" s="381"/>
      <c r="GRW124" s="381"/>
      <c r="GRX124" s="381"/>
      <c r="GRY124" s="381"/>
      <c r="GRZ124" s="381"/>
      <c r="GSA124" s="381"/>
      <c r="GSB124" s="381"/>
      <c r="GSC124" s="381"/>
      <c r="GSD124" s="381"/>
      <c r="GSE124" s="381"/>
      <c r="GSF124" s="381"/>
      <c r="GSG124" s="381"/>
      <c r="GSH124" s="381"/>
      <c r="GSI124" s="381"/>
      <c r="GSJ124" s="381"/>
      <c r="GSK124" s="381"/>
      <c r="GSL124" s="381"/>
      <c r="GSM124" s="381"/>
      <c r="GSN124" s="381"/>
      <c r="GSO124" s="381"/>
      <c r="GSP124" s="381"/>
      <c r="GSQ124" s="381"/>
      <c r="GSR124" s="381"/>
      <c r="GSS124" s="381"/>
      <c r="GST124" s="381"/>
      <c r="GSU124" s="381"/>
      <c r="GSV124" s="381"/>
      <c r="GSW124" s="381"/>
      <c r="GSX124" s="381"/>
      <c r="GSY124" s="381"/>
      <c r="GSZ124" s="381"/>
      <c r="GTA124" s="381"/>
      <c r="GTB124" s="381"/>
      <c r="GTC124" s="381"/>
      <c r="GTD124" s="381"/>
      <c r="GTE124" s="381"/>
      <c r="GTF124" s="381"/>
      <c r="GTG124" s="381"/>
      <c r="GTH124" s="381"/>
      <c r="GTI124" s="381"/>
      <c r="GTJ124" s="381"/>
      <c r="GTK124" s="381"/>
      <c r="GTL124" s="381"/>
      <c r="GTM124" s="381"/>
      <c r="GTN124" s="381"/>
      <c r="GTO124" s="381"/>
      <c r="GTP124" s="381"/>
      <c r="GTQ124" s="381"/>
      <c r="GTR124" s="381"/>
      <c r="GTS124" s="381"/>
      <c r="GTT124" s="381"/>
      <c r="GTU124" s="381"/>
      <c r="GTV124" s="381"/>
      <c r="GTW124" s="381"/>
      <c r="GTX124" s="381"/>
      <c r="GTY124" s="381"/>
      <c r="GTZ124" s="381"/>
      <c r="GUA124" s="381"/>
      <c r="GUB124" s="381"/>
      <c r="GUC124" s="381"/>
      <c r="GUD124" s="381"/>
      <c r="GUE124" s="381"/>
      <c r="GUF124" s="381"/>
      <c r="GUG124" s="381"/>
      <c r="GUH124" s="381"/>
      <c r="GUI124" s="381"/>
      <c r="GUJ124" s="381"/>
      <c r="GUK124" s="381"/>
      <c r="GUL124" s="381"/>
      <c r="GUM124" s="381"/>
      <c r="GUN124" s="381"/>
      <c r="GUO124" s="381"/>
      <c r="GUP124" s="381"/>
      <c r="GUQ124" s="381"/>
      <c r="GUR124" s="381"/>
      <c r="GUS124" s="381"/>
      <c r="GUT124" s="381"/>
      <c r="GUU124" s="381"/>
      <c r="GUV124" s="381"/>
      <c r="GUW124" s="381"/>
      <c r="GUX124" s="381"/>
      <c r="GUY124" s="381"/>
      <c r="GUZ124" s="381"/>
      <c r="GVA124" s="381"/>
      <c r="GVB124" s="381"/>
      <c r="GVC124" s="381"/>
      <c r="GVD124" s="381"/>
      <c r="GVE124" s="381"/>
      <c r="GVF124" s="381"/>
      <c r="GVG124" s="381"/>
      <c r="GVH124" s="381"/>
      <c r="GVI124" s="381"/>
      <c r="GVJ124" s="381"/>
      <c r="GVK124" s="381"/>
      <c r="GVL124" s="381"/>
      <c r="GVM124" s="381"/>
      <c r="GVN124" s="381"/>
      <c r="GVO124" s="381"/>
      <c r="GVP124" s="381"/>
      <c r="GVQ124" s="381"/>
      <c r="GVR124" s="381"/>
      <c r="GVS124" s="381"/>
      <c r="GVT124" s="381"/>
      <c r="GVU124" s="381"/>
      <c r="GVV124" s="381"/>
      <c r="GVW124" s="381"/>
      <c r="GVX124" s="381"/>
      <c r="GVY124" s="381"/>
      <c r="GVZ124" s="381"/>
      <c r="GWA124" s="381"/>
      <c r="GWB124" s="381"/>
      <c r="GWC124" s="381"/>
      <c r="GWD124" s="381"/>
      <c r="GWE124" s="381"/>
      <c r="GWF124" s="381"/>
      <c r="GWG124" s="381"/>
      <c r="GWH124" s="381"/>
      <c r="GWI124" s="381"/>
      <c r="GWJ124" s="381"/>
      <c r="GWK124" s="381"/>
      <c r="GWL124" s="381"/>
      <c r="GWM124" s="381"/>
      <c r="GWN124" s="381"/>
      <c r="GWO124" s="381"/>
      <c r="GWP124" s="381"/>
      <c r="GWQ124" s="381"/>
      <c r="GWR124" s="381"/>
      <c r="GWS124" s="381"/>
      <c r="GWT124" s="381"/>
      <c r="GWU124" s="381"/>
      <c r="GWV124" s="381"/>
      <c r="GWW124" s="381"/>
      <c r="GWX124" s="381"/>
      <c r="GWY124" s="381"/>
      <c r="GWZ124" s="381"/>
      <c r="GXA124" s="381"/>
      <c r="GXB124" s="381"/>
      <c r="GXC124" s="381"/>
      <c r="GXD124" s="381"/>
      <c r="GXE124" s="381"/>
      <c r="GXF124" s="381"/>
      <c r="GXG124" s="381"/>
      <c r="GXH124" s="381"/>
      <c r="GXI124" s="381"/>
      <c r="GXJ124" s="381"/>
      <c r="GXK124" s="381"/>
      <c r="GXL124" s="381"/>
      <c r="GXM124" s="381"/>
      <c r="GXN124" s="381"/>
      <c r="GXO124" s="381"/>
      <c r="GXP124" s="381"/>
      <c r="GXQ124" s="381"/>
      <c r="GXR124" s="381"/>
      <c r="GXS124" s="381"/>
      <c r="GXT124" s="381"/>
      <c r="GXU124" s="381"/>
      <c r="GXV124" s="381"/>
      <c r="GXW124" s="381"/>
      <c r="GXX124" s="381"/>
      <c r="GXY124" s="381"/>
      <c r="GXZ124" s="381"/>
      <c r="GYA124" s="381"/>
      <c r="GYB124" s="381"/>
      <c r="GYC124" s="381"/>
      <c r="GYD124" s="381"/>
      <c r="GYE124" s="381"/>
      <c r="GYF124" s="381"/>
      <c r="GYG124" s="381"/>
      <c r="GYH124" s="381"/>
      <c r="GYI124" s="381"/>
      <c r="GYJ124" s="381"/>
      <c r="GYK124" s="381"/>
      <c r="GYL124" s="381"/>
      <c r="GYM124" s="381"/>
      <c r="GYN124" s="381"/>
      <c r="GYO124" s="381"/>
      <c r="GYP124" s="381"/>
      <c r="GYQ124" s="381"/>
      <c r="GYR124" s="381"/>
      <c r="GYS124" s="381"/>
      <c r="GYT124" s="381"/>
      <c r="GYU124" s="381"/>
      <c r="GYV124" s="381"/>
      <c r="GYW124" s="381"/>
      <c r="GYX124" s="381"/>
      <c r="GYY124" s="381"/>
      <c r="GYZ124" s="381"/>
      <c r="GZA124" s="381"/>
      <c r="GZB124" s="381"/>
      <c r="GZC124" s="381"/>
      <c r="GZD124" s="381"/>
      <c r="GZE124" s="381"/>
      <c r="GZF124" s="381"/>
      <c r="GZG124" s="381"/>
      <c r="GZH124" s="381"/>
      <c r="GZI124" s="381"/>
      <c r="GZJ124" s="381"/>
      <c r="GZK124" s="381"/>
      <c r="GZL124" s="381"/>
      <c r="GZM124" s="381"/>
      <c r="GZN124" s="381"/>
      <c r="GZO124" s="381"/>
      <c r="GZP124" s="381"/>
      <c r="GZQ124" s="381"/>
      <c r="GZR124" s="381"/>
      <c r="GZS124" s="381"/>
      <c r="GZT124" s="381"/>
      <c r="GZU124" s="381"/>
      <c r="GZV124" s="381"/>
      <c r="GZW124" s="381"/>
      <c r="GZX124" s="381"/>
      <c r="GZY124" s="381"/>
      <c r="GZZ124" s="381"/>
      <c r="HAA124" s="381"/>
      <c r="HAB124" s="381"/>
      <c r="HAC124" s="381"/>
      <c r="HAD124" s="381"/>
      <c r="HAE124" s="381"/>
      <c r="HAF124" s="381"/>
      <c r="HAG124" s="381"/>
      <c r="HAH124" s="381"/>
      <c r="HAI124" s="381"/>
      <c r="HAJ124" s="381"/>
      <c r="HAK124" s="381"/>
      <c r="HAL124" s="381"/>
      <c r="HAM124" s="381"/>
      <c r="HAN124" s="381"/>
      <c r="HAO124" s="381"/>
      <c r="HAP124" s="381"/>
      <c r="HAQ124" s="381"/>
      <c r="HAR124" s="381"/>
      <c r="HAS124" s="381"/>
      <c r="HAT124" s="381"/>
      <c r="HAU124" s="381"/>
      <c r="HAV124" s="381"/>
      <c r="HAW124" s="381"/>
      <c r="HAX124" s="381"/>
      <c r="HAY124" s="381"/>
      <c r="HAZ124" s="381"/>
      <c r="HBA124" s="381"/>
      <c r="HBB124" s="381"/>
      <c r="HBC124" s="381"/>
      <c r="HBD124" s="381"/>
      <c r="HBE124" s="381"/>
      <c r="HBF124" s="381"/>
      <c r="HBG124" s="381"/>
      <c r="HBH124" s="381"/>
      <c r="HBI124" s="381"/>
      <c r="HBJ124" s="381"/>
      <c r="HBK124" s="381"/>
      <c r="HBL124" s="381"/>
      <c r="HBM124" s="381"/>
      <c r="HBN124" s="381"/>
      <c r="HBO124" s="381"/>
      <c r="HBP124" s="381"/>
      <c r="HBQ124" s="381"/>
      <c r="HBR124" s="381"/>
      <c r="HBS124" s="381"/>
      <c r="HBT124" s="381"/>
      <c r="HBU124" s="381"/>
      <c r="HBV124" s="381"/>
      <c r="HBW124" s="381"/>
      <c r="HBX124" s="381"/>
      <c r="HBY124" s="381"/>
      <c r="HBZ124" s="381"/>
      <c r="HCA124" s="381"/>
      <c r="HCB124" s="381"/>
      <c r="HCC124" s="381"/>
      <c r="HCD124" s="381"/>
      <c r="HCE124" s="381"/>
      <c r="HCF124" s="381"/>
      <c r="HCG124" s="381"/>
      <c r="HCH124" s="381"/>
      <c r="HCI124" s="381"/>
      <c r="HCJ124" s="381"/>
      <c r="HCK124" s="381"/>
      <c r="HCL124" s="381"/>
      <c r="HCM124" s="381"/>
      <c r="HCN124" s="381"/>
      <c r="HCO124" s="381"/>
      <c r="HCP124" s="381"/>
      <c r="HCQ124" s="381"/>
      <c r="HCR124" s="381"/>
      <c r="HCS124" s="381"/>
      <c r="HCT124" s="381"/>
      <c r="HCU124" s="381"/>
      <c r="HCV124" s="381"/>
      <c r="HCW124" s="381"/>
      <c r="HCX124" s="381"/>
      <c r="HCY124" s="381"/>
      <c r="HCZ124" s="381"/>
      <c r="HDA124" s="381"/>
      <c r="HDB124" s="381"/>
      <c r="HDC124" s="381"/>
      <c r="HDD124" s="381"/>
      <c r="HDE124" s="381"/>
      <c r="HDF124" s="381"/>
      <c r="HDG124" s="381"/>
      <c r="HDH124" s="381"/>
      <c r="HDI124" s="381"/>
      <c r="HDJ124" s="381"/>
      <c r="HDK124" s="381"/>
      <c r="HDL124" s="381"/>
      <c r="HDM124" s="381"/>
      <c r="HDN124" s="381"/>
      <c r="HDO124" s="381"/>
      <c r="HDP124" s="381"/>
      <c r="HDQ124" s="381"/>
      <c r="HDR124" s="381"/>
      <c r="HDS124" s="381"/>
      <c r="HDT124" s="381"/>
      <c r="HDU124" s="381"/>
      <c r="HDV124" s="381"/>
      <c r="HDW124" s="381"/>
      <c r="HDX124" s="381"/>
      <c r="HDY124" s="381"/>
      <c r="HDZ124" s="381"/>
      <c r="HEA124" s="381"/>
      <c r="HEB124" s="381"/>
      <c r="HEC124" s="381"/>
      <c r="HED124" s="381"/>
      <c r="HEE124" s="381"/>
      <c r="HEF124" s="381"/>
      <c r="HEG124" s="381"/>
      <c r="HEH124" s="381"/>
      <c r="HEI124" s="381"/>
      <c r="HEJ124" s="381"/>
      <c r="HEK124" s="381"/>
      <c r="HEL124" s="381"/>
      <c r="HEM124" s="381"/>
      <c r="HEN124" s="381"/>
      <c r="HEO124" s="381"/>
      <c r="HEP124" s="381"/>
      <c r="HEQ124" s="381"/>
      <c r="HER124" s="381"/>
      <c r="HES124" s="381"/>
      <c r="HET124" s="381"/>
      <c r="HEU124" s="381"/>
      <c r="HEV124" s="381"/>
      <c r="HEW124" s="381"/>
      <c r="HEX124" s="381"/>
      <c r="HEY124" s="381"/>
      <c r="HEZ124" s="381"/>
      <c r="HFA124" s="381"/>
      <c r="HFB124" s="381"/>
      <c r="HFC124" s="381"/>
      <c r="HFD124" s="381"/>
      <c r="HFE124" s="381"/>
      <c r="HFF124" s="381"/>
      <c r="HFG124" s="381"/>
      <c r="HFH124" s="381"/>
      <c r="HFI124" s="381"/>
      <c r="HFJ124" s="381"/>
      <c r="HFK124" s="381"/>
      <c r="HFL124" s="381"/>
      <c r="HFM124" s="381"/>
      <c r="HFN124" s="381"/>
      <c r="HFO124" s="381"/>
      <c r="HFP124" s="381"/>
      <c r="HFQ124" s="381"/>
      <c r="HFR124" s="381"/>
      <c r="HFS124" s="381"/>
      <c r="HFT124" s="381"/>
      <c r="HFU124" s="381"/>
      <c r="HFV124" s="381"/>
      <c r="HFW124" s="381"/>
      <c r="HFX124" s="381"/>
      <c r="HFY124" s="381"/>
      <c r="HFZ124" s="381"/>
      <c r="HGA124" s="381"/>
      <c r="HGB124" s="381"/>
      <c r="HGC124" s="381"/>
      <c r="HGD124" s="381"/>
      <c r="HGE124" s="381"/>
      <c r="HGF124" s="381"/>
      <c r="HGG124" s="381"/>
      <c r="HGH124" s="381"/>
      <c r="HGI124" s="381"/>
      <c r="HGJ124" s="381"/>
      <c r="HGK124" s="381"/>
      <c r="HGL124" s="381"/>
      <c r="HGM124" s="381"/>
      <c r="HGN124" s="381"/>
      <c r="HGO124" s="381"/>
      <c r="HGP124" s="381"/>
      <c r="HGQ124" s="381"/>
      <c r="HGR124" s="381"/>
      <c r="HGS124" s="381"/>
      <c r="HGT124" s="381"/>
      <c r="HGU124" s="381"/>
      <c r="HGV124" s="381"/>
      <c r="HGW124" s="381"/>
      <c r="HGX124" s="381"/>
      <c r="HGY124" s="381"/>
      <c r="HGZ124" s="381"/>
      <c r="HHA124" s="381"/>
      <c r="HHB124" s="381"/>
      <c r="HHC124" s="381"/>
      <c r="HHD124" s="381"/>
      <c r="HHE124" s="381"/>
      <c r="HHF124" s="381"/>
      <c r="HHG124" s="381"/>
      <c r="HHH124" s="381"/>
      <c r="HHI124" s="381"/>
      <c r="HHJ124" s="381"/>
      <c r="HHK124" s="381"/>
      <c r="HHL124" s="381"/>
      <c r="HHM124" s="381"/>
      <c r="HHN124" s="381"/>
      <c r="HHO124" s="381"/>
      <c r="HHP124" s="381"/>
      <c r="HHQ124" s="381"/>
      <c r="HHR124" s="381"/>
      <c r="HHS124" s="381"/>
      <c r="HHT124" s="381"/>
      <c r="HHU124" s="381"/>
      <c r="HHV124" s="381"/>
      <c r="HHW124" s="381"/>
      <c r="HHX124" s="381"/>
      <c r="HHY124" s="381"/>
      <c r="HHZ124" s="381"/>
      <c r="HIA124" s="381"/>
      <c r="HIB124" s="381"/>
      <c r="HIC124" s="381"/>
      <c r="HID124" s="381"/>
      <c r="HIE124" s="381"/>
      <c r="HIF124" s="381"/>
      <c r="HIG124" s="381"/>
      <c r="HIH124" s="381"/>
      <c r="HII124" s="381"/>
      <c r="HIJ124" s="381"/>
      <c r="HIK124" s="381"/>
      <c r="HIL124" s="381"/>
      <c r="HIM124" s="381"/>
      <c r="HIN124" s="381"/>
      <c r="HIO124" s="381"/>
      <c r="HIP124" s="381"/>
      <c r="HIQ124" s="381"/>
      <c r="HIR124" s="381"/>
      <c r="HIS124" s="381"/>
      <c r="HIT124" s="381"/>
      <c r="HIU124" s="381"/>
      <c r="HIV124" s="381"/>
      <c r="HIW124" s="381"/>
      <c r="HIX124" s="381"/>
      <c r="HIY124" s="381"/>
      <c r="HIZ124" s="381"/>
      <c r="HJA124" s="381"/>
      <c r="HJB124" s="381"/>
      <c r="HJC124" s="381"/>
      <c r="HJD124" s="381"/>
      <c r="HJE124" s="381"/>
      <c r="HJF124" s="381"/>
      <c r="HJG124" s="381"/>
      <c r="HJH124" s="381"/>
      <c r="HJI124" s="381"/>
      <c r="HJJ124" s="381"/>
      <c r="HJK124" s="381"/>
      <c r="HJL124" s="381"/>
      <c r="HJM124" s="381"/>
      <c r="HJN124" s="381"/>
      <c r="HJO124" s="381"/>
      <c r="HJP124" s="381"/>
      <c r="HJQ124" s="381"/>
      <c r="HJR124" s="381"/>
      <c r="HJS124" s="381"/>
      <c r="HJT124" s="381"/>
      <c r="HJU124" s="381"/>
      <c r="HJV124" s="381"/>
      <c r="HJW124" s="381"/>
      <c r="HJX124" s="381"/>
      <c r="HJY124" s="381"/>
      <c r="HJZ124" s="381"/>
      <c r="HKA124" s="381"/>
      <c r="HKB124" s="381"/>
      <c r="HKC124" s="381"/>
      <c r="HKD124" s="381"/>
      <c r="HKE124" s="381"/>
      <c r="HKF124" s="381"/>
      <c r="HKG124" s="381"/>
      <c r="HKH124" s="381"/>
      <c r="HKI124" s="381"/>
      <c r="HKJ124" s="381"/>
      <c r="HKK124" s="381"/>
      <c r="HKL124" s="381"/>
      <c r="HKM124" s="381"/>
      <c r="HKN124" s="381"/>
      <c r="HKO124" s="381"/>
      <c r="HKP124" s="381"/>
      <c r="HKQ124" s="381"/>
      <c r="HKR124" s="381"/>
      <c r="HKS124" s="381"/>
      <c r="HKT124" s="381"/>
      <c r="HKU124" s="381"/>
      <c r="HKV124" s="381"/>
      <c r="HKW124" s="381"/>
      <c r="HKX124" s="381"/>
      <c r="HKY124" s="381"/>
      <c r="HKZ124" s="381"/>
      <c r="HLA124" s="381"/>
      <c r="HLB124" s="381"/>
      <c r="HLC124" s="381"/>
      <c r="HLD124" s="381"/>
      <c r="HLE124" s="381"/>
      <c r="HLF124" s="381"/>
      <c r="HLG124" s="381"/>
      <c r="HLH124" s="381"/>
      <c r="HLI124" s="381"/>
      <c r="HLJ124" s="381"/>
      <c r="HLK124" s="381"/>
      <c r="HLL124" s="381"/>
      <c r="HLM124" s="381"/>
      <c r="HLN124" s="381"/>
      <c r="HLO124" s="381"/>
      <c r="HLP124" s="381"/>
      <c r="HLQ124" s="381"/>
      <c r="HLR124" s="381"/>
      <c r="HLS124" s="381"/>
      <c r="HLT124" s="381"/>
      <c r="HLU124" s="381"/>
      <c r="HLV124" s="381"/>
      <c r="HLW124" s="381"/>
      <c r="HLX124" s="381"/>
      <c r="HLY124" s="381"/>
      <c r="HLZ124" s="381"/>
      <c r="HMA124" s="381"/>
      <c r="HMB124" s="381"/>
      <c r="HMC124" s="381"/>
      <c r="HMD124" s="381"/>
      <c r="HME124" s="381"/>
      <c r="HMF124" s="381"/>
      <c r="HMG124" s="381"/>
      <c r="HMH124" s="381"/>
      <c r="HMI124" s="381"/>
      <c r="HMJ124" s="381"/>
      <c r="HMK124" s="381"/>
      <c r="HML124" s="381"/>
      <c r="HMM124" s="381"/>
      <c r="HMN124" s="381"/>
      <c r="HMO124" s="381"/>
      <c r="HMP124" s="381"/>
      <c r="HMQ124" s="381"/>
      <c r="HMR124" s="381"/>
      <c r="HMS124" s="381"/>
      <c r="HMT124" s="381"/>
      <c r="HMU124" s="381"/>
      <c r="HMV124" s="381"/>
      <c r="HMW124" s="381"/>
      <c r="HMX124" s="381"/>
      <c r="HMY124" s="381"/>
      <c r="HMZ124" s="381"/>
      <c r="HNA124" s="381"/>
      <c r="HNB124" s="381"/>
      <c r="HNC124" s="381"/>
      <c r="HND124" s="381"/>
      <c r="HNE124" s="381"/>
      <c r="HNF124" s="381"/>
      <c r="HNG124" s="381"/>
      <c r="HNH124" s="381"/>
      <c r="HNI124" s="381"/>
      <c r="HNJ124" s="381"/>
      <c r="HNK124" s="381"/>
      <c r="HNL124" s="381"/>
      <c r="HNM124" s="381"/>
      <c r="HNN124" s="381"/>
      <c r="HNO124" s="381"/>
      <c r="HNP124" s="381"/>
      <c r="HNQ124" s="381"/>
      <c r="HNR124" s="381"/>
      <c r="HNS124" s="381"/>
      <c r="HNT124" s="381"/>
      <c r="HNU124" s="381"/>
      <c r="HNV124" s="381"/>
      <c r="HNW124" s="381"/>
      <c r="HNX124" s="381"/>
      <c r="HNY124" s="381"/>
      <c r="HNZ124" s="381"/>
      <c r="HOA124" s="381"/>
      <c r="HOB124" s="381"/>
      <c r="HOC124" s="381"/>
      <c r="HOD124" s="381"/>
      <c r="HOE124" s="381"/>
      <c r="HOF124" s="381"/>
      <c r="HOG124" s="381"/>
      <c r="HOH124" s="381"/>
      <c r="HOI124" s="381"/>
      <c r="HOJ124" s="381"/>
      <c r="HOK124" s="381"/>
      <c r="HOL124" s="381"/>
      <c r="HOM124" s="381"/>
      <c r="HON124" s="381"/>
      <c r="HOO124" s="381"/>
      <c r="HOP124" s="381"/>
      <c r="HOQ124" s="381"/>
      <c r="HOR124" s="381"/>
      <c r="HOS124" s="381"/>
      <c r="HOT124" s="381"/>
      <c r="HOU124" s="381"/>
      <c r="HOV124" s="381"/>
      <c r="HOW124" s="381"/>
      <c r="HOX124" s="381"/>
      <c r="HOY124" s="381"/>
      <c r="HOZ124" s="381"/>
      <c r="HPA124" s="381"/>
      <c r="HPB124" s="381"/>
      <c r="HPC124" s="381"/>
      <c r="HPD124" s="381"/>
      <c r="HPE124" s="381"/>
      <c r="HPF124" s="381"/>
      <c r="HPG124" s="381"/>
      <c r="HPH124" s="381"/>
      <c r="HPI124" s="381"/>
      <c r="HPJ124" s="381"/>
      <c r="HPK124" s="381"/>
      <c r="HPL124" s="381"/>
      <c r="HPM124" s="381"/>
      <c r="HPN124" s="381"/>
      <c r="HPO124" s="381"/>
      <c r="HPP124" s="381"/>
      <c r="HPQ124" s="381"/>
      <c r="HPR124" s="381"/>
      <c r="HPS124" s="381"/>
      <c r="HPT124" s="381"/>
      <c r="HPU124" s="381"/>
      <c r="HPV124" s="381"/>
      <c r="HPW124" s="381"/>
      <c r="HPX124" s="381"/>
      <c r="HPY124" s="381"/>
      <c r="HPZ124" s="381"/>
      <c r="HQA124" s="381"/>
      <c r="HQB124" s="381"/>
      <c r="HQC124" s="381"/>
      <c r="HQD124" s="381"/>
      <c r="HQE124" s="381"/>
      <c r="HQF124" s="381"/>
      <c r="HQG124" s="381"/>
      <c r="HQH124" s="381"/>
      <c r="HQI124" s="381"/>
      <c r="HQJ124" s="381"/>
      <c r="HQK124" s="381"/>
      <c r="HQL124" s="381"/>
      <c r="HQM124" s="381"/>
      <c r="HQN124" s="381"/>
      <c r="HQO124" s="381"/>
      <c r="HQP124" s="381"/>
      <c r="HQQ124" s="381"/>
      <c r="HQR124" s="381"/>
      <c r="HQS124" s="381"/>
      <c r="HQT124" s="381"/>
      <c r="HQU124" s="381"/>
      <c r="HQV124" s="381"/>
      <c r="HQW124" s="381"/>
      <c r="HQX124" s="381"/>
      <c r="HQY124" s="381"/>
      <c r="HQZ124" s="381"/>
      <c r="HRA124" s="381"/>
      <c r="HRB124" s="381"/>
      <c r="HRC124" s="381"/>
      <c r="HRD124" s="381"/>
      <c r="HRE124" s="381"/>
      <c r="HRF124" s="381"/>
      <c r="HRG124" s="381"/>
      <c r="HRH124" s="381"/>
      <c r="HRI124" s="381"/>
      <c r="HRJ124" s="381"/>
      <c r="HRK124" s="381"/>
      <c r="HRL124" s="381"/>
      <c r="HRM124" s="381"/>
      <c r="HRN124" s="381"/>
      <c r="HRO124" s="381"/>
      <c r="HRP124" s="381"/>
      <c r="HRQ124" s="381"/>
      <c r="HRR124" s="381"/>
      <c r="HRS124" s="381"/>
      <c r="HRT124" s="381"/>
      <c r="HRU124" s="381"/>
      <c r="HRV124" s="381"/>
      <c r="HRW124" s="381"/>
      <c r="HRX124" s="381"/>
      <c r="HRY124" s="381"/>
      <c r="HRZ124" s="381"/>
      <c r="HSA124" s="381"/>
      <c r="HSB124" s="381"/>
      <c r="HSC124" s="381"/>
      <c r="HSD124" s="381"/>
      <c r="HSE124" s="381"/>
      <c r="HSF124" s="381"/>
      <c r="HSG124" s="381"/>
      <c r="HSH124" s="381"/>
      <c r="HSI124" s="381"/>
      <c r="HSJ124" s="381"/>
      <c r="HSK124" s="381"/>
      <c r="HSL124" s="381"/>
      <c r="HSM124" s="381"/>
      <c r="HSN124" s="381"/>
      <c r="HSO124" s="381"/>
      <c r="HSP124" s="381"/>
      <c r="HSQ124" s="381"/>
      <c r="HSR124" s="381"/>
      <c r="HSS124" s="381"/>
      <c r="HST124" s="381"/>
      <c r="HSU124" s="381"/>
      <c r="HSV124" s="381"/>
      <c r="HSW124" s="381"/>
      <c r="HSX124" s="381"/>
      <c r="HSY124" s="381"/>
      <c r="HSZ124" s="381"/>
      <c r="HTA124" s="381"/>
      <c r="HTB124" s="381"/>
      <c r="HTC124" s="381"/>
      <c r="HTD124" s="381"/>
      <c r="HTE124" s="381"/>
      <c r="HTF124" s="381"/>
      <c r="HTG124" s="381"/>
      <c r="HTH124" s="381"/>
      <c r="HTI124" s="381"/>
      <c r="HTJ124" s="381"/>
      <c r="HTK124" s="381"/>
      <c r="HTL124" s="381"/>
      <c r="HTM124" s="381"/>
      <c r="HTN124" s="381"/>
      <c r="HTO124" s="381"/>
      <c r="HTP124" s="381"/>
      <c r="HTQ124" s="381"/>
      <c r="HTR124" s="381"/>
      <c r="HTS124" s="381"/>
      <c r="HTT124" s="381"/>
      <c r="HTU124" s="381"/>
      <c r="HTV124" s="381"/>
      <c r="HTW124" s="381"/>
      <c r="HTX124" s="381"/>
      <c r="HTY124" s="381"/>
      <c r="HTZ124" s="381"/>
      <c r="HUA124" s="381"/>
      <c r="HUB124" s="381"/>
      <c r="HUC124" s="381"/>
      <c r="HUD124" s="381"/>
      <c r="HUE124" s="381"/>
      <c r="HUF124" s="381"/>
      <c r="HUG124" s="381"/>
      <c r="HUH124" s="381"/>
      <c r="HUI124" s="381"/>
      <c r="HUJ124" s="381"/>
      <c r="HUK124" s="381"/>
      <c r="HUL124" s="381"/>
      <c r="HUM124" s="381"/>
      <c r="HUN124" s="381"/>
      <c r="HUO124" s="381"/>
      <c r="HUP124" s="381"/>
      <c r="HUQ124" s="381"/>
      <c r="HUR124" s="381"/>
      <c r="HUS124" s="381"/>
      <c r="HUT124" s="381"/>
      <c r="HUU124" s="381"/>
      <c r="HUV124" s="381"/>
      <c r="HUW124" s="381"/>
      <c r="HUX124" s="381"/>
      <c r="HUY124" s="381"/>
      <c r="HUZ124" s="381"/>
      <c r="HVA124" s="381"/>
      <c r="HVB124" s="381"/>
      <c r="HVC124" s="381"/>
      <c r="HVD124" s="381"/>
      <c r="HVE124" s="381"/>
      <c r="HVF124" s="381"/>
      <c r="HVG124" s="381"/>
      <c r="HVH124" s="381"/>
      <c r="HVI124" s="381"/>
      <c r="HVJ124" s="381"/>
      <c r="HVK124" s="381"/>
      <c r="HVL124" s="381"/>
      <c r="HVM124" s="381"/>
      <c r="HVN124" s="381"/>
      <c r="HVO124" s="381"/>
      <c r="HVP124" s="381"/>
      <c r="HVQ124" s="381"/>
      <c r="HVR124" s="381"/>
      <c r="HVS124" s="381"/>
      <c r="HVT124" s="381"/>
      <c r="HVU124" s="381"/>
      <c r="HVV124" s="381"/>
      <c r="HVW124" s="381"/>
      <c r="HVX124" s="381"/>
      <c r="HVY124" s="381"/>
      <c r="HVZ124" s="381"/>
      <c r="HWA124" s="381"/>
      <c r="HWB124" s="381"/>
      <c r="HWC124" s="381"/>
      <c r="HWD124" s="381"/>
      <c r="HWE124" s="381"/>
      <c r="HWF124" s="381"/>
      <c r="HWG124" s="381"/>
      <c r="HWH124" s="381"/>
      <c r="HWI124" s="381"/>
      <c r="HWJ124" s="381"/>
      <c r="HWK124" s="381"/>
      <c r="HWL124" s="381"/>
      <c r="HWM124" s="381"/>
      <c r="HWN124" s="381"/>
      <c r="HWO124" s="381"/>
      <c r="HWP124" s="381"/>
      <c r="HWQ124" s="381"/>
      <c r="HWR124" s="381"/>
      <c r="HWS124" s="381"/>
      <c r="HWT124" s="381"/>
      <c r="HWU124" s="381"/>
      <c r="HWV124" s="381"/>
      <c r="HWW124" s="381"/>
      <c r="HWX124" s="381"/>
      <c r="HWY124" s="381"/>
      <c r="HWZ124" s="381"/>
      <c r="HXA124" s="381"/>
      <c r="HXB124" s="381"/>
      <c r="HXC124" s="381"/>
      <c r="HXD124" s="381"/>
      <c r="HXE124" s="381"/>
      <c r="HXF124" s="381"/>
      <c r="HXG124" s="381"/>
      <c r="HXH124" s="381"/>
      <c r="HXI124" s="381"/>
      <c r="HXJ124" s="381"/>
      <c r="HXK124" s="381"/>
      <c r="HXL124" s="381"/>
      <c r="HXM124" s="381"/>
      <c r="HXN124" s="381"/>
      <c r="HXO124" s="381"/>
      <c r="HXP124" s="381"/>
      <c r="HXQ124" s="381"/>
      <c r="HXR124" s="381"/>
      <c r="HXS124" s="381"/>
      <c r="HXT124" s="381"/>
      <c r="HXU124" s="381"/>
      <c r="HXV124" s="381"/>
      <c r="HXW124" s="381"/>
      <c r="HXX124" s="381"/>
      <c r="HXY124" s="381"/>
      <c r="HXZ124" s="381"/>
      <c r="HYA124" s="381"/>
      <c r="HYB124" s="381"/>
      <c r="HYC124" s="381"/>
      <c r="HYD124" s="381"/>
      <c r="HYE124" s="381"/>
      <c r="HYF124" s="381"/>
      <c r="HYG124" s="381"/>
      <c r="HYH124" s="381"/>
      <c r="HYI124" s="381"/>
      <c r="HYJ124" s="381"/>
      <c r="HYK124" s="381"/>
      <c r="HYL124" s="381"/>
      <c r="HYM124" s="381"/>
      <c r="HYN124" s="381"/>
      <c r="HYO124" s="381"/>
      <c r="HYP124" s="381"/>
      <c r="HYQ124" s="381"/>
      <c r="HYR124" s="381"/>
      <c r="HYS124" s="381"/>
      <c r="HYT124" s="381"/>
      <c r="HYU124" s="381"/>
      <c r="HYV124" s="381"/>
      <c r="HYW124" s="381"/>
      <c r="HYX124" s="381"/>
      <c r="HYY124" s="381"/>
      <c r="HYZ124" s="381"/>
      <c r="HZA124" s="381"/>
      <c r="HZB124" s="381"/>
      <c r="HZC124" s="381"/>
      <c r="HZD124" s="381"/>
      <c r="HZE124" s="381"/>
      <c r="HZF124" s="381"/>
      <c r="HZG124" s="381"/>
      <c r="HZH124" s="381"/>
      <c r="HZI124" s="381"/>
      <c r="HZJ124" s="381"/>
      <c r="HZK124" s="381"/>
      <c r="HZL124" s="381"/>
      <c r="HZM124" s="381"/>
      <c r="HZN124" s="381"/>
      <c r="HZO124" s="381"/>
      <c r="HZP124" s="381"/>
      <c r="HZQ124" s="381"/>
      <c r="HZR124" s="381"/>
      <c r="HZS124" s="381"/>
      <c r="HZT124" s="381"/>
      <c r="HZU124" s="381"/>
      <c r="HZV124" s="381"/>
      <c r="HZW124" s="381"/>
      <c r="HZX124" s="381"/>
      <c r="HZY124" s="381"/>
      <c r="HZZ124" s="381"/>
      <c r="IAA124" s="381"/>
      <c r="IAB124" s="381"/>
      <c r="IAC124" s="381"/>
      <c r="IAD124" s="381"/>
      <c r="IAE124" s="381"/>
      <c r="IAF124" s="381"/>
      <c r="IAG124" s="381"/>
      <c r="IAH124" s="381"/>
      <c r="IAI124" s="381"/>
      <c r="IAJ124" s="381"/>
      <c r="IAK124" s="381"/>
      <c r="IAL124" s="381"/>
      <c r="IAM124" s="381"/>
      <c r="IAN124" s="381"/>
      <c r="IAO124" s="381"/>
      <c r="IAP124" s="381"/>
      <c r="IAQ124" s="381"/>
      <c r="IAR124" s="381"/>
      <c r="IAS124" s="381"/>
      <c r="IAT124" s="381"/>
      <c r="IAU124" s="381"/>
      <c r="IAV124" s="381"/>
      <c r="IAW124" s="381"/>
      <c r="IAX124" s="381"/>
      <c r="IAY124" s="381"/>
      <c r="IAZ124" s="381"/>
      <c r="IBA124" s="381"/>
      <c r="IBB124" s="381"/>
      <c r="IBC124" s="381"/>
      <c r="IBD124" s="381"/>
      <c r="IBE124" s="381"/>
      <c r="IBF124" s="381"/>
      <c r="IBG124" s="381"/>
      <c r="IBH124" s="381"/>
      <c r="IBI124" s="381"/>
      <c r="IBJ124" s="381"/>
      <c r="IBK124" s="381"/>
      <c r="IBL124" s="381"/>
      <c r="IBM124" s="381"/>
      <c r="IBN124" s="381"/>
      <c r="IBO124" s="381"/>
      <c r="IBP124" s="381"/>
      <c r="IBQ124" s="381"/>
      <c r="IBR124" s="381"/>
      <c r="IBS124" s="381"/>
      <c r="IBT124" s="381"/>
      <c r="IBU124" s="381"/>
      <c r="IBV124" s="381"/>
      <c r="IBW124" s="381"/>
      <c r="IBX124" s="381"/>
      <c r="IBY124" s="381"/>
      <c r="IBZ124" s="381"/>
      <c r="ICA124" s="381"/>
      <c r="ICB124" s="381"/>
      <c r="ICC124" s="381"/>
      <c r="ICD124" s="381"/>
      <c r="ICE124" s="381"/>
      <c r="ICF124" s="381"/>
      <c r="ICG124" s="381"/>
      <c r="ICH124" s="381"/>
      <c r="ICI124" s="381"/>
      <c r="ICJ124" s="381"/>
      <c r="ICK124" s="381"/>
      <c r="ICL124" s="381"/>
      <c r="ICM124" s="381"/>
      <c r="ICN124" s="381"/>
      <c r="ICO124" s="381"/>
      <c r="ICP124" s="381"/>
      <c r="ICQ124" s="381"/>
      <c r="ICR124" s="381"/>
      <c r="ICS124" s="381"/>
      <c r="ICT124" s="381"/>
      <c r="ICU124" s="381"/>
      <c r="ICV124" s="381"/>
      <c r="ICW124" s="381"/>
      <c r="ICX124" s="381"/>
      <c r="ICY124" s="381"/>
      <c r="ICZ124" s="381"/>
      <c r="IDA124" s="381"/>
      <c r="IDB124" s="381"/>
      <c r="IDC124" s="381"/>
      <c r="IDD124" s="381"/>
      <c r="IDE124" s="381"/>
      <c r="IDF124" s="381"/>
      <c r="IDG124" s="381"/>
      <c r="IDH124" s="381"/>
      <c r="IDI124" s="381"/>
      <c r="IDJ124" s="381"/>
      <c r="IDK124" s="381"/>
      <c r="IDL124" s="381"/>
      <c r="IDM124" s="381"/>
      <c r="IDN124" s="381"/>
      <c r="IDO124" s="381"/>
      <c r="IDP124" s="381"/>
      <c r="IDQ124" s="381"/>
      <c r="IDR124" s="381"/>
      <c r="IDS124" s="381"/>
      <c r="IDT124" s="381"/>
      <c r="IDU124" s="381"/>
      <c r="IDV124" s="381"/>
      <c r="IDW124" s="381"/>
      <c r="IDX124" s="381"/>
      <c r="IDY124" s="381"/>
      <c r="IDZ124" s="381"/>
      <c r="IEA124" s="381"/>
      <c r="IEB124" s="381"/>
      <c r="IEC124" s="381"/>
      <c r="IED124" s="381"/>
      <c r="IEE124" s="381"/>
      <c r="IEF124" s="381"/>
      <c r="IEG124" s="381"/>
      <c r="IEH124" s="381"/>
      <c r="IEI124" s="381"/>
      <c r="IEJ124" s="381"/>
      <c r="IEK124" s="381"/>
      <c r="IEL124" s="381"/>
      <c r="IEM124" s="381"/>
      <c r="IEN124" s="381"/>
      <c r="IEO124" s="381"/>
      <c r="IEP124" s="381"/>
      <c r="IEQ124" s="381"/>
      <c r="IER124" s="381"/>
      <c r="IES124" s="381"/>
      <c r="IET124" s="381"/>
      <c r="IEU124" s="381"/>
      <c r="IEV124" s="381"/>
      <c r="IEW124" s="381"/>
      <c r="IEX124" s="381"/>
      <c r="IEY124" s="381"/>
      <c r="IEZ124" s="381"/>
      <c r="IFA124" s="381"/>
      <c r="IFB124" s="381"/>
      <c r="IFC124" s="381"/>
      <c r="IFD124" s="381"/>
      <c r="IFE124" s="381"/>
      <c r="IFF124" s="381"/>
      <c r="IFG124" s="381"/>
      <c r="IFH124" s="381"/>
      <c r="IFI124" s="381"/>
      <c r="IFJ124" s="381"/>
      <c r="IFK124" s="381"/>
      <c r="IFL124" s="381"/>
      <c r="IFM124" s="381"/>
      <c r="IFN124" s="381"/>
      <c r="IFO124" s="381"/>
      <c r="IFP124" s="381"/>
      <c r="IFQ124" s="381"/>
      <c r="IFR124" s="381"/>
      <c r="IFS124" s="381"/>
      <c r="IFT124" s="381"/>
      <c r="IFU124" s="381"/>
      <c r="IFV124" s="381"/>
      <c r="IFW124" s="381"/>
      <c r="IFX124" s="381"/>
      <c r="IFY124" s="381"/>
      <c r="IFZ124" s="381"/>
      <c r="IGA124" s="381"/>
      <c r="IGB124" s="381"/>
      <c r="IGC124" s="381"/>
      <c r="IGD124" s="381"/>
      <c r="IGE124" s="381"/>
      <c r="IGF124" s="381"/>
      <c r="IGG124" s="381"/>
      <c r="IGH124" s="381"/>
      <c r="IGI124" s="381"/>
      <c r="IGJ124" s="381"/>
      <c r="IGK124" s="381"/>
      <c r="IGL124" s="381"/>
      <c r="IGM124" s="381"/>
      <c r="IGN124" s="381"/>
      <c r="IGO124" s="381"/>
      <c r="IGP124" s="381"/>
      <c r="IGQ124" s="381"/>
      <c r="IGR124" s="381"/>
      <c r="IGS124" s="381"/>
      <c r="IGT124" s="381"/>
      <c r="IGU124" s="381"/>
      <c r="IGV124" s="381"/>
      <c r="IGW124" s="381"/>
      <c r="IGX124" s="381"/>
      <c r="IGY124" s="381"/>
      <c r="IGZ124" s="381"/>
      <c r="IHA124" s="381"/>
      <c r="IHB124" s="381"/>
      <c r="IHC124" s="381"/>
      <c r="IHD124" s="381"/>
      <c r="IHE124" s="381"/>
      <c r="IHF124" s="381"/>
      <c r="IHG124" s="381"/>
      <c r="IHH124" s="381"/>
      <c r="IHI124" s="381"/>
      <c r="IHJ124" s="381"/>
      <c r="IHK124" s="381"/>
      <c r="IHL124" s="381"/>
      <c r="IHM124" s="381"/>
      <c r="IHN124" s="381"/>
      <c r="IHO124" s="381"/>
      <c r="IHP124" s="381"/>
      <c r="IHQ124" s="381"/>
      <c r="IHR124" s="381"/>
      <c r="IHS124" s="381"/>
      <c r="IHT124" s="381"/>
      <c r="IHU124" s="381"/>
      <c r="IHV124" s="381"/>
      <c r="IHW124" s="381"/>
      <c r="IHX124" s="381"/>
      <c r="IHY124" s="381"/>
      <c r="IHZ124" s="381"/>
      <c r="IIA124" s="381"/>
      <c r="IIB124" s="381"/>
      <c r="IIC124" s="381"/>
      <c r="IID124" s="381"/>
      <c r="IIE124" s="381"/>
      <c r="IIF124" s="381"/>
      <c r="IIG124" s="381"/>
      <c r="IIH124" s="381"/>
      <c r="III124" s="381"/>
      <c r="IIJ124" s="381"/>
      <c r="IIK124" s="381"/>
      <c r="IIL124" s="381"/>
      <c r="IIM124" s="381"/>
      <c r="IIN124" s="381"/>
      <c r="IIO124" s="381"/>
      <c r="IIP124" s="381"/>
      <c r="IIQ124" s="381"/>
      <c r="IIR124" s="381"/>
      <c r="IIS124" s="381"/>
      <c r="IIT124" s="381"/>
      <c r="IIU124" s="381"/>
      <c r="IIV124" s="381"/>
      <c r="IIW124" s="381"/>
      <c r="IIX124" s="381"/>
      <c r="IIY124" s="381"/>
      <c r="IIZ124" s="381"/>
      <c r="IJA124" s="381"/>
      <c r="IJB124" s="381"/>
      <c r="IJC124" s="381"/>
      <c r="IJD124" s="381"/>
      <c r="IJE124" s="381"/>
      <c r="IJF124" s="381"/>
      <c r="IJG124" s="381"/>
      <c r="IJH124" s="381"/>
      <c r="IJI124" s="381"/>
      <c r="IJJ124" s="381"/>
      <c r="IJK124" s="381"/>
      <c r="IJL124" s="381"/>
      <c r="IJM124" s="381"/>
      <c r="IJN124" s="381"/>
      <c r="IJO124" s="381"/>
      <c r="IJP124" s="381"/>
      <c r="IJQ124" s="381"/>
      <c r="IJR124" s="381"/>
      <c r="IJS124" s="381"/>
      <c r="IJT124" s="381"/>
      <c r="IJU124" s="381"/>
      <c r="IJV124" s="381"/>
      <c r="IJW124" s="381"/>
      <c r="IJX124" s="381"/>
      <c r="IJY124" s="381"/>
      <c r="IJZ124" s="381"/>
      <c r="IKA124" s="381"/>
      <c r="IKB124" s="381"/>
      <c r="IKC124" s="381"/>
      <c r="IKD124" s="381"/>
      <c r="IKE124" s="381"/>
      <c r="IKF124" s="381"/>
      <c r="IKG124" s="381"/>
      <c r="IKH124" s="381"/>
      <c r="IKI124" s="381"/>
      <c r="IKJ124" s="381"/>
      <c r="IKK124" s="381"/>
      <c r="IKL124" s="381"/>
      <c r="IKM124" s="381"/>
      <c r="IKN124" s="381"/>
      <c r="IKO124" s="381"/>
      <c r="IKP124" s="381"/>
      <c r="IKQ124" s="381"/>
      <c r="IKR124" s="381"/>
      <c r="IKS124" s="381"/>
      <c r="IKT124" s="381"/>
      <c r="IKU124" s="381"/>
      <c r="IKV124" s="381"/>
      <c r="IKW124" s="381"/>
      <c r="IKX124" s="381"/>
      <c r="IKY124" s="381"/>
      <c r="IKZ124" s="381"/>
      <c r="ILA124" s="381"/>
      <c r="ILB124" s="381"/>
      <c r="ILC124" s="381"/>
      <c r="ILD124" s="381"/>
      <c r="ILE124" s="381"/>
      <c r="ILF124" s="381"/>
      <c r="ILG124" s="381"/>
      <c r="ILH124" s="381"/>
      <c r="ILI124" s="381"/>
      <c r="ILJ124" s="381"/>
      <c r="ILK124" s="381"/>
      <c r="ILL124" s="381"/>
      <c r="ILM124" s="381"/>
      <c r="ILN124" s="381"/>
      <c r="ILO124" s="381"/>
      <c r="ILP124" s="381"/>
      <c r="ILQ124" s="381"/>
      <c r="ILR124" s="381"/>
      <c r="ILS124" s="381"/>
      <c r="ILT124" s="381"/>
      <c r="ILU124" s="381"/>
      <c r="ILV124" s="381"/>
      <c r="ILW124" s="381"/>
      <c r="ILX124" s="381"/>
      <c r="ILY124" s="381"/>
      <c r="ILZ124" s="381"/>
      <c r="IMA124" s="381"/>
      <c r="IMB124" s="381"/>
      <c r="IMC124" s="381"/>
      <c r="IMD124" s="381"/>
      <c r="IME124" s="381"/>
      <c r="IMF124" s="381"/>
      <c r="IMG124" s="381"/>
      <c r="IMH124" s="381"/>
      <c r="IMI124" s="381"/>
      <c r="IMJ124" s="381"/>
      <c r="IMK124" s="381"/>
      <c r="IML124" s="381"/>
      <c r="IMM124" s="381"/>
      <c r="IMN124" s="381"/>
      <c r="IMO124" s="381"/>
      <c r="IMP124" s="381"/>
      <c r="IMQ124" s="381"/>
      <c r="IMR124" s="381"/>
      <c r="IMS124" s="381"/>
      <c r="IMT124" s="381"/>
      <c r="IMU124" s="381"/>
      <c r="IMV124" s="381"/>
      <c r="IMW124" s="381"/>
      <c r="IMX124" s="381"/>
      <c r="IMY124" s="381"/>
      <c r="IMZ124" s="381"/>
      <c r="INA124" s="381"/>
      <c r="INB124" s="381"/>
      <c r="INC124" s="381"/>
      <c r="IND124" s="381"/>
      <c r="INE124" s="381"/>
      <c r="INF124" s="381"/>
      <c r="ING124" s="381"/>
      <c r="INH124" s="381"/>
      <c r="INI124" s="381"/>
      <c r="INJ124" s="381"/>
      <c r="INK124" s="381"/>
      <c r="INL124" s="381"/>
      <c r="INM124" s="381"/>
      <c r="INN124" s="381"/>
      <c r="INO124" s="381"/>
      <c r="INP124" s="381"/>
      <c r="INQ124" s="381"/>
      <c r="INR124" s="381"/>
      <c r="INS124" s="381"/>
      <c r="INT124" s="381"/>
      <c r="INU124" s="381"/>
      <c r="INV124" s="381"/>
      <c r="INW124" s="381"/>
      <c r="INX124" s="381"/>
      <c r="INY124" s="381"/>
      <c r="INZ124" s="381"/>
      <c r="IOA124" s="381"/>
      <c r="IOB124" s="381"/>
      <c r="IOC124" s="381"/>
      <c r="IOD124" s="381"/>
      <c r="IOE124" s="381"/>
      <c r="IOF124" s="381"/>
      <c r="IOG124" s="381"/>
      <c r="IOH124" s="381"/>
      <c r="IOI124" s="381"/>
      <c r="IOJ124" s="381"/>
      <c r="IOK124" s="381"/>
      <c r="IOL124" s="381"/>
      <c r="IOM124" s="381"/>
      <c r="ION124" s="381"/>
      <c r="IOO124" s="381"/>
      <c r="IOP124" s="381"/>
      <c r="IOQ124" s="381"/>
      <c r="IOR124" s="381"/>
      <c r="IOS124" s="381"/>
      <c r="IOT124" s="381"/>
      <c r="IOU124" s="381"/>
      <c r="IOV124" s="381"/>
      <c r="IOW124" s="381"/>
      <c r="IOX124" s="381"/>
      <c r="IOY124" s="381"/>
      <c r="IOZ124" s="381"/>
      <c r="IPA124" s="381"/>
      <c r="IPB124" s="381"/>
      <c r="IPC124" s="381"/>
      <c r="IPD124" s="381"/>
      <c r="IPE124" s="381"/>
      <c r="IPF124" s="381"/>
      <c r="IPG124" s="381"/>
      <c r="IPH124" s="381"/>
      <c r="IPI124" s="381"/>
      <c r="IPJ124" s="381"/>
      <c r="IPK124" s="381"/>
      <c r="IPL124" s="381"/>
      <c r="IPM124" s="381"/>
      <c r="IPN124" s="381"/>
      <c r="IPO124" s="381"/>
      <c r="IPP124" s="381"/>
      <c r="IPQ124" s="381"/>
      <c r="IPR124" s="381"/>
      <c r="IPS124" s="381"/>
      <c r="IPT124" s="381"/>
      <c r="IPU124" s="381"/>
      <c r="IPV124" s="381"/>
      <c r="IPW124" s="381"/>
      <c r="IPX124" s="381"/>
      <c r="IPY124" s="381"/>
      <c r="IPZ124" s="381"/>
      <c r="IQA124" s="381"/>
      <c r="IQB124" s="381"/>
      <c r="IQC124" s="381"/>
      <c r="IQD124" s="381"/>
      <c r="IQE124" s="381"/>
      <c r="IQF124" s="381"/>
      <c r="IQG124" s="381"/>
      <c r="IQH124" s="381"/>
      <c r="IQI124" s="381"/>
      <c r="IQJ124" s="381"/>
      <c r="IQK124" s="381"/>
      <c r="IQL124" s="381"/>
      <c r="IQM124" s="381"/>
      <c r="IQN124" s="381"/>
      <c r="IQO124" s="381"/>
      <c r="IQP124" s="381"/>
      <c r="IQQ124" s="381"/>
      <c r="IQR124" s="381"/>
      <c r="IQS124" s="381"/>
      <c r="IQT124" s="381"/>
      <c r="IQU124" s="381"/>
      <c r="IQV124" s="381"/>
      <c r="IQW124" s="381"/>
      <c r="IQX124" s="381"/>
      <c r="IQY124" s="381"/>
      <c r="IQZ124" s="381"/>
      <c r="IRA124" s="381"/>
      <c r="IRB124" s="381"/>
      <c r="IRC124" s="381"/>
      <c r="IRD124" s="381"/>
      <c r="IRE124" s="381"/>
      <c r="IRF124" s="381"/>
      <c r="IRG124" s="381"/>
      <c r="IRH124" s="381"/>
      <c r="IRI124" s="381"/>
      <c r="IRJ124" s="381"/>
      <c r="IRK124" s="381"/>
      <c r="IRL124" s="381"/>
      <c r="IRM124" s="381"/>
      <c r="IRN124" s="381"/>
      <c r="IRO124" s="381"/>
      <c r="IRP124" s="381"/>
      <c r="IRQ124" s="381"/>
      <c r="IRR124" s="381"/>
      <c r="IRS124" s="381"/>
      <c r="IRT124" s="381"/>
      <c r="IRU124" s="381"/>
      <c r="IRV124" s="381"/>
      <c r="IRW124" s="381"/>
      <c r="IRX124" s="381"/>
      <c r="IRY124" s="381"/>
      <c r="IRZ124" s="381"/>
      <c r="ISA124" s="381"/>
      <c r="ISB124" s="381"/>
      <c r="ISC124" s="381"/>
      <c r="ISD124" s="381"/>
      <c r="ISE124" s="381"/>
      <c r="ISF124" s="381"/>
      <c r="ISG124" s="381"/>
      <c r="ISH124" s="381"/>
      <c r="ISI124" s="381"/>
      <c r="ISJ124" s="381"/>
      <c r="ISK124" s="381"/>
      <c r="ISL124" s="381"/>
      <c r="ISM124" s="381"/>
      <c r="ISN124" s="381"/>
      <c r="ISO124" s="381"/>
      <c r="ISP124" s="381"/>
      <c r="ISQ124" s="381"/>
      <c r="ISR124" s="381"/>
      <c r="ISS124" s="381"/>
      <c r="IST124" s="381"/>
      <c r="ISU124" s="381"/>
      <c r="ISV124" s="381"/>
      <c r="ISW124" s="381"/>
      <c r="ISX124" s="381"/>
      <c r="ISY124" s="381"/>
      <c r="ISZ124" s="381"/>
      <c r="ITA124" s="381"/>
      <c r="ITB124" s="381"/>
      <c r="ITC124" s="381"/>
      <c r="ITD124" s="381"/>
      <c r="ITE124" s="381"/>
      <c r="ITF124" s="381"/>
      <c r="ITG124" s="381"/>
      <c r="ITH124" s="381"/>
      <c r="ITI124" s="381"/>
      <c r="ITJ124" s="381"/>
      <c r="ITK124" s="381"/>
      <c r="ITL124" s="381"/>
      <c r="ITM124" s="381"/>
      <c r="ITN124" s="381"/>
      <c r="ITO124" s="381"/>
      <c r="ITP124" s="381"/>
      <c r="ITQ124" s="381"/>
      <c r="ITR124" s="381"/>
      <c r="ITS124" s="381"/>
      <c r="ITT124" s="381"/>
      <c r="ITU124" s="381"/>
      <c r="ITV124" s="381"/>
      <c r="ITW124" s="381"/>
      <c r="ITX124" s="381"/>
      <c r="ITY124" s="381"/>
      <c r="ITZ124" s="381"/>
      <c r="IUA124" s="381"/>
      <c r="IUB124" s="381"/>
      <c r="IUC124" s="381"/>
      <c r="IUD124" s="381"/>
      <c r="IUE124" s="381"/>
      <c r="IUF124" s="381"/>
      <c r="IUG124" s="381"/>
      <c r="IUH124" s="381"/>
      <c r="IUI124" s="381"/>
      <c r="IUJ124" s="381"/>
      <c r="IUK124" s="381"/>
      <c r="IUL124" s="381"/>
      <c r="IUM124" s="381"/>
      <c r="IUN124" s="381"/>
      <c r="IUO124" s="381"/>
      <c r="IUP124" s="381"/>
      <c r="IUQ124" s="381"/>
      <c r="IUR124" s="381"/>
      <c r="IUS124" s="381"/>
      <c r="IUT124" s="381"/>
      <c r="IUU124" s="381"/>
      <c r="IUV124" s="381"/>
      <c r="IUW124" s="381"/>
      <c r="IUX124" s="381"/>
      <c r="IUY124" s="381"/>
      <c r="IUZ124" s="381"/>
      <c r="IVA124" s="381"/>
      <c r="IVB124" s="381"/>
      <c r="IVC124" s="381"/>
      <c r="IVD124" s="381"/>
      <c r="IVE124" s="381"/>
      <c r="IVF124" s="381"/>
      <c r="IVG124" s="381"/>
      <c r="IVH124" s="381"/>
      <c r="IVI124" s="381"/>
      <c r="IVJ124" s="381"/>
      <c r="IVK124" s="381"/>
      <c r="IVL124" s="381"/>
      <c r="IVM124" s="381"/>
      <c r="IVN124" s="381"/>
      <c r="IVO124" s="381"/>
      <c r="IVP124" s="381"/>
      <c r="IVQ124" s="381"/>
      <c r="IVR124" s="381"/>
      <c r="IVS124" s="381"/>
      <c r="IVT124" s="381"/>
      <c r="IVU124" s="381"/>
      <c r="IVV124" s="381"/>
      <c r="IVW124" s="381"/>
      <c r="IVX124" s="381"/>
      <c r="IVY124" s="381"/>
      <c r="IVZ124" s="381"/>
      <c r="IWA124" s="381"/>
      <c r="IWB124" s="381"/>
      <c r="IWC124" s="381"/>
      <c r="IWD124" s="381"/>
      <c r="IWE124" s="381"/>
      <c r="IWF124" s="381"/>
      <c r="IWG124" s="381"/>
      <c r="IWH124" s="381"/>
      <c r="IWI124" s="381"/>
      <c r="IWJ124" s="381"/>
      <c r="IWK124" s="381"/>
      <c r="IWL124" s="381"/>
      <c r="IWM124" s="381"/>
      <c r="IWN124" s="381"/>
      <c r="IWO124" s="381"/>
      <c r="IWP124" s="381"/>
      <c r="IWQ124" s="381"/>
      <c r="IWR124" s="381"/>
      <c r="IWS124" s="381"/>
      <c r="IWT124" s="381"/>
      <c r="IWU124" s="381"/>
      <c r="IWV124" s="381"/>
      <c r="IWW124" s="381"/>
      <c r="IWX124" s="381"/>
      <c r="IWY124" s="381"/>
      <c r="IWZ124" s="381"/>
      <c r="IXA124" s="381"/>
      <c r="IXB124" s="381"/>
      <c r="IXC124" s="381"/>
      <c r="IXD124" s="381"/>
      <c r="IXE124" s="381"/>
      <c r="IXF124" s="381"/>
      <c r="IXG124" s="381"/>
      <c r="IXH124" s="381"/>
      <c r="IXI124" s="381"/>
      <c r="IXJ124" s="381"/>
      <c r="IXK124" s="381"/>
      <c r="IXL124" s="381"/>
      <c r="IXM124" s="381"/>
      <c r="IXN124" s="381"/>
      <c r="IXO124" s="381"/>
      <c r="IXP124" s="381"/>
      <c r="IXQ124" s="381"/>
      <c r="IXR124" s="381"/>
      <c r="IXS124" s="381"/>
      <c r="IXT124" s="381"/>
      <c r="IXU124" s="381"/>
      <c r="IXV124" s="381"/>
      <c r="IXW124" s="381"/>
      <c r="IXX124" s="381"/>
      <c r="IXY124" s="381"/>
      <c r="IXZ124" s="381"/>
      <c r="IYA124" s="381"/>
      <c r="IYB124" s="381"/>
      <c r="IYC124" s="381"/>
      <c r="IYD124" s="381"/>
      <c r="IYE124" s="381"/>
      <c r="IYF124" s="381"/>
      <c r="IYG124" s="381"/>
      <c r="IYH124" s="381"/>
      <c r="IYI124" s="381"/>
      <c r="IYJ124" s="381"/>
      <c r="IYK124" s="381"/>
      <c r="IYL124" s="381"/>
      <c r="IYM124" s="381"/>
      <c r="IYN124" s="381"/>
      <c r="IYO124" s="381"/>
      <c r="IYP124" s="381"/>
      <c r="IYQ124" s="381"/>
      <c r="IYR124" s="381"/>
      <c r="IYS124" s="381"/>
      <c r="IYT124" s="381"/>
      <c r="IYU124" s="381"/>
      <c r="IYV124" s="381"/>
      <c r="IYW124" s="381"/>
      <c r="IYX124" s="381"/>
      <c r="IYY124" s="381"/>
      <c r="IYZ124" s="381"/>
      <c r="IZA124" s="381"/>
      <c r="IZB124" s="381"/>
      <c r="IZC124" s="381"/>
      <c r="IZD124" s="381"/>
      <c r="IZE124" s="381"/>
      <c r="IZF124" s="381"/>
      <c r="IZG124" s="381"/>
      <c r="IZH124" s="381"/>
      <c r="IZI124" s="381"/>
      <c r="IZJ124" s="381"/>
      <c r="IZK124" s="381"/>
      <c r="IZL124" s="381"/>
      <c r="IZM124" s="381"/>
      <c r="IZN124" s="381"/>
      <c r="IZO124" s="381"/>
      <c r="IZP124" s="381"/>
      <c r="IZQ124" s="381"/>
      <c r="IZR124" s="381"/>
      <c r="IZS124" s="381"/>
      <c r="IZT124" s="381"/>
      <c r="IZU124" s="381"/>
      <c r="IZV124" s="381"/>
      <c r="IZW124" s="381"/>
      <c r="IZX124" s="381"/>
      <c r="IZY124" s="381"/>
      <c r="IZZ124" s="381"/>
      <c r="JAA124" s="381"/>
      <c r="JAB124" s="381"/>
      <c r="JAC124" s="381"/>
      <c r="JAD124" s="381"/>
      <c r="JAE124" s="381"/>
      <c r="JAF124" s="381"/>
      <c r="JAG124" s="381"/>
      <c r="JAH124" s="381"/>
      <c r="JAI124" s="381"/>
      <c r="JAJ124" s="381"/>
      <c r="JAK124" s="381"/>
      <c r="JAL124" s="381"/>
      <c r="JAM124" s="381"/>
      <c r="JAN124" s="381"/>
      <c r="JAO124" s="381"/>
      <c r="JAP124" s="381"/>
      <c r="JAQ124" s="381"/>
      <c r="JAR124" s="381"/>
      <c r="JAS124" s="381"/>
      <c r="JAT124" s="381"/>
      <c r="JAU124" s="381"/>
      <c r="JAV124" s="381"/>
      <c r="JAW124" s="381"/>
      <c r="JAX124" s="381"/>
      <c r="JAY124" s="381"/>
      <c r="JAZ124" s="381"/>
      <c r="JBA124" s="381"/>
      <c r="JBB124" s="381"/>
      <c r="JBC124" s="381"/>
      <c r="JBD124" s="381"/>
      <c r="JBE124" s="381"/>
      <c r="JBF124" s="381"/>
      <c r="JBG124" s="381"/>
      <c r="JBH124" s="381"/>
      <c r="JBI124" s="381"/>
      <c r="JBJ124" s="381"/>
      <c r="JBK124" s="381"/>
      <c r="JBL124" s="381"/>
      <c r="JBM124" s="381"/>
      <c r="JBN124" s="381"/>
      <c r="JBO124" s="381"/>
      <c r="JBP124" s="381"/>
      <c r="JBQ124" s="381"/>
      <c r="JBR124" s="381"/>
      <c r="JBS124" s="381"/>
      <c r="JBT124" s="381"/>
      <c r="JBU124" s="381"/>
      <c r="JBV124" s="381"/>
      <c r="JBW124" s="381"/>
      <c r="JBX124" s="381"/>
      <c r="JBY124" s="381"/>
      <c r="JBZ124" s="381"/>
      <c r="JCA124" s="381"/>
      <c r="JCB124" s="381"/>
      <c r="JCC124" s="381"/>
      <c r="JCD124" s="381"/>
      <c r="JCE124" s="381"/>
      <c r="JCF124" s="381"/>
      <c r="JCG124" s="381"/>
      <c r="JCH124" s="381"/>
      <c r="JCI124" s="381"/>
      <c r="JCJ124" s="381"/>
      <c r="JCK124" s="381"/>
      <c r="JCL124" s="381"/>
      <c r="JCM124" s="381"/>
      <c r="JCN124" s="381"/>
      <c r="JCO124" s="381"/>
      <c r="JCP124" s="381"/>
      <c r="JCQ124" s="381"/>
      <c r="JCR124" s="381"/>
      <c r="JCS124" s="381"/>
      <c r="JCT124" s="381"/>
      <c r="JCU124" s="381"/>
      <c r="JCV124" s="381"/>
      <c r="JCW124" s="381"/>
      <c r="JCX124" s="381"/>
      <c r="JCY124" s="381"/>
      <c r="JCZ124" s="381"/>
      <c r="JDA124" s="381"/>
      <c r="JDB124" s="381"/>
      <c r="JDC124" s="381"/>
      <c r="JDD124" s="381"/>
      <c r="JDE124" s="381"/>
      <c r="JDF124" s="381"/>
      <c r="JDG124" s="381"/>
      <c r="JDH124" s="381"/>
      <c r="JDI124" s="381"/>
      <c r="JDJ124" s="381"/>
      <c r="JDK124" s="381"/>
      <c r="JDL124" s="381"/>
      <c r="JDM124" s="381"/>
      <c r="JDN124" s="381"/>
      <c r="JDO124" s="381"/>
      <c r="JDP124" s="381"/>
      <c r="JDQ124" s="381"/>
      <c r="JDR124" s="381"/>
      <c r="JDS124" s="381"/>
      <c r="JDT124" s="381"/>
      <c r="JDU124" s="381"/>
      <c r="JDV124" s="381"/>
      <c r="JDW124" s="381"/>
      <c r="JDX124" s="381"/>
      <c r="JDY124" s="381"/>
      <c r="JDZ124" s="381"/>
      <c r="JEA124" s="381"/>
      <c r="JEB124" s="381"/>
      <c r="JEC124" s="381"/>
      <c r="JED124" s="381"/>
      <c r="JEE124" s="381"/>
      <c r="JEF124" s="381"/>
      <c r="JEG124" s="381"/>
      <c r="JEH124" s="381"/>
      <c r="JEI124" s="381"/>
      <c r="JEJ124" s="381"/>
      <c r="JEK124" s="381"/>
      <c r="JEL124" s="381"/>
      <c r="JEM124" s="381"/>
      <c r="JEN124" s="381"/>
      <c r="JEO124" s="381"/>
      <c r="JEP124" s="381"/>
      <c r="JEQ124" s="381"/>
      <c r="JER124" s="381"/>
      <c r="JES124" s="381"/>
      <c r="JET124" s="381"/>
      <c r="JEU124" s="381"/>
      <c r="JEV124" s="381"/>
      <c r="JEW124" s="381"/>
      <c r="JEX124" s="381"/>
      <c r="JEY124" s="381"/>
      <c r="JEZ124" s="381"/>
      <c r="JFA124" s="381"/>
      <c r="JFB124" s="381"/>
      <c r="JFC124" s="381"/>
      <c r="JFD124" s="381"/>
      <c r="JFE124" s="381"/>
      <c r="JFF124" s="381"/>
      <c r="JFG124" s="381"/>
      <c r="JFH124" s="381"/>
      <c r="JFI124" s="381"/>
      <c r="JFJ124" s="381"/>
      <c r="JFK124" s="381"/>
      <c r="JFL124" s="381"/>
      <c r="JFM124" s="381"/>
      <c r="JFN124" s="381"/>
      <c r="JFO124" s="381"/>
      <c r="JFP124" s="381"/>
      <c r="JFQ124" s="381"/>
      <c r="JFR124" s="381"/>
      <c r="JFS124" s="381"/>
      <c r="JFT124" s="381"/>
      <c r="JFU124" s="381"/>
      <c r="JFV124" s="381"/>
      <c r="JFW124" s="381"/>
      <c r="JFX124" s="381"/>
      <c r="JFY124" s="381"/>
      <c r="JFZ124" s="381"/>
      <c r="JGA124" s="381"/>
      <c r="JGB124" s="381"/>
      <c r="JGC124" s="381"/>
      <c r="JGD124" s="381"/>
      <c r="JGE124" s="381"/>
      <c r="JGF124" s="381"/>
      <c r="JGG124" s="381"/>
      <c r="JGH124" s="381"/>
      <c r="JGI124" s="381"/>
      <c r="JGJ124" s="381"/>
      <c r="JGK124" s="381"/>
      <c r="JGL124" s="381"/>
      <c r="JGM124" s="381"/>
      <c r="JGN124" s="381"/>
      <c r="JGO124" s="381"/>
      <c r="JGP124" s="381"/>
      <c r="JGQ124" s="381"/>
      <c r="JGR124" s="381"/>
      <c r="JGS124" s="381"/>
      <c r="JGT124" s="381"/>
      <c r="JGU124" s="381"/>
      <c r="JGV124" s="381"/>
      <c r="JGW124" s="381"/>
      <c r="JGX124" s="381"/>
      <c r="JGY124" s="381"/>
      <c r="JGZ124" s="381"/>
      <c r="JHA124" s="381"/>
      <c r="JHB124" s="381"/>
      <c r="JHC124" s="381"/>
      <c r="JHD124" s="381"/>
      <c r="JHE124" s="381"/>
      <c r="JHF124" s="381"/>
      <c r="JHG124" s="381"/>
      <c r="JHH124" s="381"/>
      <c r="JHI124" s="381"/>
      <c r="JHJ124" s="381"/>
      <c r="JHK124" s="381"/>
      <c r="JHL124" s="381"/>
      <c r="JHM124" s="381"/>
      <c r="JHN124" s="381"/>
      <c r="JHO124" s="381"/>
      <c r="JHP124" s="381"/>
      <c r="JHQ124" s="381"/>
      <c r="JHR124" s="381"/>
      <c r="JHS124" s="381"/>
      <c r="JHT124" s="381"/>
      <c r="JHU124" s="381"/>
      <c r="JHV124" s="381"/>
      <c r="JHW124" s="381"/>
      <c r="JHX124" s="381"/>
      <c r="JHY124" s="381"/>
      <c r="JHZ124" s="381"/>
      <c r="JIA124" s="381"/>
      <c r="JIB124" s="381"/>
      <c r="JIC124" s="381"/>
      <c r="JID124" s="381"/>
      <c r="JIE124" s="381"/>
      <c r="JIF124" s="381"/>
      <c r="JIG124" s="381"/>
      <c r="JIH124" s="381"/>
      <c r="JII124" s="381"/>
      <c r="JIJ124" s="381"/>
      <c r="JIK124" s="381"/>
      <c r="JIL124" s="381"/>
      <c r="JIM124" s="381"/>
      <c r="JIN124" s="381"/>
      <c r="JIO124" s="381"/>
      <c r="JIP124" s="381"/>
      <c r="JIQ124" s="381"/>
      <c r="JIR124" s="381"/>
      <c r="JIS124" s="381"/>
      <c r="JIT124" s="381"/>
      <c r="JIU124" s="381"/>
      <c r="JIV124" s="381"/>
      <c r="JIW124" s="381"/>
      <c r="JIX124" s="381"/>
      <c r="JIY124" s="381"/>
      <c r="JIZ124" s="381"/>
      <c r="JJA124" s="381"/>
      <c r="JJB124" s="381"/>
      <c r="JJC124" s="381"/>
      <c r="JJD124" s="381"/>
      <c r="JJE124" s="381"/>
      <c r="JJF124" s="381"/>
      <c r="JJG124" s="381"/>
      <c r="JJH124" s="381"/>
      <c r="JJI124" s="381"/>
      <c r="JJJ124" s="381"/>
      <c r="JJK124" s="381"/>
      <c r="JJL124" s="381"/>
      <c r="JJM124" s="381"/>
      <c r="JJN124" s="381"/>
      <c r="JJO124" s="381"/>
      <c r="JJP124" s="381"/>
      <c r="JJQ124" s="381"/>
      <c r="JJR124" s="381"/>
      <c r="JJS124" s="381"/>
      <c r="JJT124" s="381"/>
      <c r="JJU124" s="381"/>
      <c r="JJV124" s="381"/>
      <c r="JJW124" s="381"/>
      <c r="JJX124" s="381"/>
      <c r="JJY124" s="381"/>
      <c r="JJZ124" s="381"/>
      <c r="JKA124" s="381"/>
      <c r="JKB124" s="381"/>
      <c r="JKC124" s="381"/>
      <c r="JKD124" s="381"/>
      <c r="JKE124" s="381"/>
      <c r="JKF124" s="381"/>
      <c r="JKG124" s="381"/>
      <c r="JKH124" s="381"/>
      <c r="JKI124" s="381"/>
      <c r="JKJ124" s="381"/>
      <c r="JKK124" s="381"/>
      <c r="JKL124" s="381"/>
      <c r="JKM124" s="381"/>
      <c r="JKN124" s="381"/>
      <c r="JKO124" s="381"/>
      <c r="JKP124" s="381"/>
      <c r="JKQ124" s="381"/>
      <c r="JKR124" s="381"/>
      <c r="JKS124" s="381"/>
      <c r="JKT124" s="381"/>
      <c r="JKU124" s="381"/>
      <c r="JKV124" s="381"/>
      <c r="JKW124" s="381"/>
      <c r="JKX124" s="381"/>
      <c r="JKY124" s="381"/>
      <c r="JKZ124" s="381"/>
      <c r="JLA124" s="381"/>
      <c r="JLB124" s="381"/>
      <c r="JLC124" s="381"/>
      <c r="JLD124" s="381"/>
      <c r="JLE124" s="381"/>
      <c r="JLF124" s="381"/>
      <c r="JLG124" s="381"/>
      <c r="JLH124" s="381"/>
      <c r="JLI124" s="381"/>
      <c r="JLJ124" s="381"/>
      <c r="JLK124" s="381"/>
      <c r="JLL124" s="381"/>
      <c r="JLM124" s="381"/>
      <c r="JLN124" s="381"/>
      <c r="JLO124" s="381"/>
      <c r="JLP124" s="381"/>
      <c r="JLQ124" s="381"/>
      <c r="JLR124" s="381"/>
      <c r="JLS124" s="381"/>
      <c r="JLT124" s="381"/>
      <c r="JLU124" s="381"/>
      <c r="JLV124" s="381"/>
      <c r="JLW124" s="381"/>
      <c r="JLX124" s="381"/>
      <c r="JLY124" s="381"/>
      <c r="JLZ124" s="381"/>
      <c r="JMA124" s="381"/>
      <c r="JMB124" s="381"/>
      <c r="JMC124" s="381"/>
      <c r="JMD124" s="381"/>
      <c r="JME124" s="381"/>
      <c r="JMF124" s="381"/>
      <c r="JMG124" s="381"/>
      <c r="JMH124" s="381"/>
      <c r="JMI124" s="381"/>
      <c r="JMJ124" s="381"/>
      <c r="JMK124" s="381"/>
      <c r="JML124" s="381"/>
      <c r="JMM124" s="381"/>
      <c r="JMN124" s="381"/>
      <c r="JMO124" s="381"/>
      <c r="JMP124" s="381"/>
      <c r="JMQ124" s="381"/>
      <c r="JMR124" s="381"/>
      <c r="JMS124" s="381"/>
      <c r="JMT124" s="381"/>
      <c r="JMU124" s="381"/>
      <c r="JMV124" s="381"/>
      <c r="JMW124" s="381"/>
      <c r="JMX124" s="381"/>
      <c r="JMY124" s="381"/>
      <c r="JMZ124" s="381"/>
      <c r="JNA124" s="381"/>
      <c r="JNB124" s="381"/>
      <c r="JNC124" s="381"/>
      <c r="JND124" s="381"/>
      <c r="JNE124" s="381"/>
      <c r="JNF124" s="381"/>
      <c r="JNG124" s="381"/>
      <c r="JNH124" s="381"/>
      <c r="JNI124" s="381"/>
      <c r="JNJ124" s="381"/>
      <c r="JNK124" s="381"/>
      <c r="JNL124" s="381"/>
      <c r="JNM124" s="381"/>
      <c r="JNN124" s="381"/>
      <c r="JNO124" s="381"/>
      <c r="JNP124" s="381"/>
      <c r="JNQ124" s="381"/>
      <c r="JNR124" s="381"/>
      <c r="JNS124" s="381"/>
      <c r="JNT124" s="381"/>
      <c r="JNU124" s="381"/>
      <c r="JNV124" s="381"/>
      <c r="JNW124" s="381"/>
      <c r="JNX124" s="381"/>
      <c r="JNY124" s="381"/>
      <c r="JNZ124" s="381"/>
      <c r="JOA124" s="381"/>
      <c r="JOB124" s="381"/>
      <c r="JOC124" s="381"/>
      <c r="JOD124" s="381"/>
      <c r="JOE124" s="381"/>
      <c r="JOF124" s="381"/>
      <c r="JOG124" s="381"/>
      <c r="JOH124" s="381"/>
      <c r="JOI124" s="381"/>
      <c r="JOJ124" s="381"/>
      <c r="JOK124" s="381"/>
      <c r="JOL124" s="381"/>
      <c r="JOM124" s="381"/>
      <c r="JON124" s="381"/>
      <c r="JOO124" s="381"/>
      <c r="JOP124" s="381"/>
      <c r="JOQ124" s="381"/>
      <c r="JOR124" s="381"/>
      <c r="JOS124" s="381"/>
      <c r="JOT124" s="381"/>
      <c r="JOU124" s="381"/>
      <c r="JOV124" s="381"/>
      <c r="JOW124" s="381"/>
      <c r="JOX124" s="381"/>
      <c r="JOY124" s="381"/>
      <c r="JOZ124" s="381"/>
      <c r="JPA124" s="381"/>
      <c r="JPB124" s="381"/>
      <c r="JPC124" s="381"/>
      <c r="JPD124" s="381"/>
      <c r="JPE124" s="381"/>
      <c r="JPF124" s="381"/>
      <c r="JPG124" s="381"/>
      <c r="JPH124" s="381"/>
      <c r="JPI124" s="381"/>
      <c r="JPJ124" s="381"/>
      <c r="JPK124" s="381"/>
      <c r="JPL124" s="381"/>
      <c r="JPM124" s="381"/>
      <c r="JPN124" s="381"/>
      <c r="JPO124" s="381"/>
      <c r="JPP124" s="381"/>
      <c r="JPQ124" s="381"/>
      <c r="JPR124" s="381"/>
      <c r="JPS124" s="381"/>
      <c r="JPT124" s="381"/>
      <c r="JPU124" s="381"/>
      <c r="JPV124" s="381"/>
      <c r="JPW124" s="381"/>
      <c r="JPX124" s="381"/>
      <c r="JPY124" s="381"/>
      <c r="JPZ124" s="381"/>
      <c r="JQA124" s="381"/>
      <c r="JQB124" s="381"/>
      <c r="JQC124" s="381"/>
      <c r="JQD124" s="381"/>
      <c r="JQE124" s="381"/>
      <c r="JQF124" s="381"/>
      <c r="JQG124" s="381"/>
      <c r="JQH124" s="381"/>
      <c r="JQI124" s="381"/>
      <c r="JQJ124" s="381"/>
      <c r="JQK124" s="381"/>
      <c r="JQL124" s="381"/>
      <c r="JQM124" s="381"/>
      <c r="JQN124" s="381"/>
      <c r="JQO124" s="381"/>
      <c r="JQP124" s="381"/>
      <c r="JQQ124" s="381"/>
      <c r="JQR124" s="381"/>
      <c r="JQS124" s="381"/>
      <c r="JQT124" s="381"/>
      <c r="JQU124" s="381"/>
      <c r="JQV124" s="381"/>
      <c r="JQW124" s="381"/>
      <c r="JQX124" s="381"/>
      <c r="JQY124" s="381"/>
      <c r="JQZ124" s="381"/>
      <c r="JRA124" s="381"/>
      <c r="JRB124" s="381"/>
      <c r="JRC124" s="381"/>
      <c r="JRD124" s="381"/>
      <c r="JRE124" s="381"/>
      <c r="JRF124" s="381"/>
      <c r="JRG124" s="381"/>
      <c r="JRH124" s="381"/>
      <c r="JRI124" s="381"/>
      <c r="JRJ124" s="381"/>
      <c r="JRK124" s="381"/>
      <c r="JRL124" s="381"/>
      <c r="JRM124" s="381"/>
      <c r="JRN124" s="381"/>
      <c r="JRO124" s="381"/>
      <c r="JRP124" s="381"/>
      <c r="JRQ124" s="381"/>
      <c r="JRR124" s="381"/>
      <c r="JRS124" s="381"/>
      <c r="JRT124" s="381"/>
      <c r="JRU124" s="381"/>
      <c r="JRV124" s="381"/>
      <c r="JRW124" s="381"/>
      <c r="JRX124" s="381"/>
      <c r="JRY124" s="381"/>
      <c r="JRZ124" s="381"/>
      <c r="JSA124" s="381"/>
      <c r="JSB124" s="381"/>
      <c r="JSC124" s="381"/>
      <c r="JSD124" s="381"/>
      <c r="JSE124" s="381"/>
      <c r="JSF124" s="381"/>
      <c r="JSG124" s="381"/>
      <c r="JSH124" s="381"/>
      <c r="JSI124" s="381"/>
      <c r="JSJ124" s="381"/>
      <c r="JSK124" s="381"/>
      <c r="JSL124" s="381"/>
      <c r="JSM124" s="381"/>
      <c r="JSN124" s="381"/>
      <c r="JSO124" s="381"/>
      <c r="JSP124" s="381"/>
      <c r="JSQ124" s="381"/>
      <c r="JSR124" s="381"/>
      <c r="JSS124" s="381"/>
      <c r="JST124" s="381"/>
      <c r="JSU124" s="381"/>
      <c r="JSV124" s="381"/>
      <c r="JSW124" s="381"/>
      <c r="JSX124" s="381"/>
      <c r="JSY124" s="381"/>
      <c r="JSZ124" s="381"/>
      <c r="JTA124" s="381"/>
      <c r="JTB124" s="381"/>
      <c r="JTC124" s="381"/>
      <c r="JTD124" s="381"/>
      <c r="JTE124" s="381"/>
      <c r="JTF124" s="381"/>
      <c r="JTG124" s="381"/>
      <c r="JTH124" s="381"/>
      <c r="JTI124" s="381"/>
      <c r="JTJ124" s="381"/>
      <c r="JTK124" s="381"/>
      <c r="JTL124" s="381"/>
      <c r="JTM124" s="381"/>
      <c r="JTN124" s="381"/>
      <c r="JTO124" s="381"/>
      <c r="JTP124" s="381"/>
      <c r="JTQ124" s="381"/>
      <c r="JTR124" s="381"/>
      <c r="JTS124" s="381"/>
      <c r="JTT124" s="381"/>
      <c r="JTU124" s="381"/>
      <c r="JTV124" s="381"/>
      <c r="JTW124" s="381"/>
      <c r="JTX124" s="381"/>
      <c r="JTY124" s="381"/>
      <c r="JTZ124" s="381"/>
      <c r="JUA124" s="381"/>
      <c r="JUB124" s="381"/>
      <c r="JUC124" s="381"/>
      <c r="JUD124" s="381"/>
      <c r="JUE124" s="381"/>
      <c r="JUF124" s="381"/>
      <c r="JUG124" s="381"/>
      <c r="JUH124" s="381"/>
      <c r="JUI124" s="381"/>
      <c r="JUJ124" s="381"/>
      <c r="JUK124" s="381"/>
      <c r="JUL124" s="381"/>
      <c r="JUM124" s="381"/>
      <c r="JUN124" s="381"/>
      <c r="JUO124" s="381"/>
      <c r="JUP124" s="381"/>
      <c r="JUQ124" s="381"/>
      <c r="JUR124" s="381"/>
      <c r="JUS124" s="381"/>
      <c r="JUT124" s="381"/>
      <c r="JUU124" s="381"/>
      <c r="JUV124" s="381"/>
      <c r="JUW124" s="381"/>
      <c r="JUX124" s="381"/>
      <c r="JUY124" s="381"/>
      <c r="JUZ124" s="381"/>
      <c r="JVA124" s="381"/>
      <c r="JVB124" s="381"/>
      <c r="JVC124" s="381"/>
      <c r="JVD124" s="381"/>
      <c r="JVE124" s="381"/>
      <c r="JVF124" s="381"/>
      <c r="JVG124" s="381"/>
      <c r="JVH124" s="381"/>
      <c r="JVI124" s="381"/>
      <c r="JVJ124" s="381"/>
      <c r="JVK124" s="381"/>
      <c r="JVL124" s="381"/>
      <c r="JVM124" s="381"/>
      <c r="JVN124" s="381"/>
      <c r="JVO124" s="381"/>
      <c r="JVP124" s="381"/>
      <c r="JVQ124" s="381"/>
      <c r="JVR124" s="381"/>
      <c r="JVS124" s="381"/>
      <c r="JVT124" s="381"/>
      <c r="JVU124" s="381"/>
      <c r="JVV124" s="381"/>
      <c r="JVW124" s="381"/>
      <c r="JVX124" s="381"/>
      <c r="JVY124" s="381"/>
      <c r="JVZ124" s="381"/>
      <c r="JWA124" s="381"/>
      <c r="JWB124" s="381"/>
      <c r="JWC124" s="381"/>
      <c r="JWD124" s="381"/>
      <c r="JWE124" s="381"/>
      <c r="JWF124" s="381"/>
      <c r="JWG124" s="381"/>
      <c r="JWH124" s="381"/>
      <c r="JWI124" s="381"/>
      <c r="JWJ124" s="381"/>
      <c r="JWK124" s="381"/>
      <c r="JWL124" s="381"/>
      <c r="JWM124" s="381"/>
      <c r="JWN124" s="381"/>
      <c r="JWO124" s="381"/>
      <c r="JWP124" s="381"/>
      <c r="JWQ124" s="381"/>
      <c r="JWR124" s="381"/>
      <c r="JWS124" s="381"/>
      <c r="JWT124" s="381"/>
      <c r="JWU124" s="381"/>
      <c r="JWV124" s="381"/>
      <c r="JWW124" s="381"/>
      <c r="JWX124" s="381"/>
      <c r="JWY124" s="381"/>
      <c r="JWZ124" s="381"/>
      <c r="JXA124" s="381"/>
      <c r="JXB124" s="381"/>
      <c r="JXC124" s="381"/>
      <c r="JXD124" s="381"/>
      <c r="JXE124" s="381"/>
      <c r="JXF124" s="381"/>
      <c r="JXG124" s="381"/>
      <c r="JXH124" s="381"/>
      <c r="JXI124" s="381"/>
      <c r="JXJ124" s="381"/>
      <c r="JXK124" s="381"/>
      <c r="JXL124" s="381"/>
      <c r="JXM124" s="381"/>
      <c r="JXN124" s="381"/>
      <c r="JXO124" s="381"/>
      <c r="JXP124" s="381"/>
      <c r="JXQ124" s="381"/>
      <c r="JXR124" s="381"/>
      <c r="JXS124" s="381"/>
      <c r="JXT124" s="381"/>
      <c r="JXU124" s="381"/>
      <c r="JXV124" s="381"/>
      <c r="JXW124" s="381"/>
      <c r="JXX124" s="381"/>
      <c r="JXY124" s="381"/>
      <c r="JXZ124" s="381"/>
      <c r="JYA124" s="381"/>
      <c r="JYB124" s="381"/>
      <c r="JYC124" s="381"/>
      <c r="JYD124" s="381"/>
      <c r="JYE124" s="381"/>
      <c r="JYF124" s="381"/>
      <c r="JYG124" s="381"/>
      <c r="JYH124" s="381"/>
      <c r="JYI124" s="381"/>
      <c r="JYJ124" s="381"/>
      <c r="JYK124" s="381"/>
      <c r="JYL124" s="381"/>
      <c r="JYM124" s="381"/>
      <c r="JYN124" s="381"/>
      <c r="JYO124" s="381"/>
      <c r="JYP124" s="381"/>
      <c r="JYQ124" s="381"/>
      <c r="JYR124" s="381"/>
      <c r="JYS124" s="381"/>
      <c r="JYT124" s="381"/>
      <c r="JYU124" s="381"/>
      <c r="JYV124" s="381"/>
      <c r="JYW124" s="381"/>
      <c r="JYX124" s="381"/>
      <c r="JYY124" s="381"/>
      <c r="JYZ124" s="381"/>
      <c r="JZA124" s="381"/>
      <c r="JZB124" s="381"/>
      <c r="JZC124" s="381"/>
      <c r="JZD124" s="381"/>
      <c r="JZE124" s="381"/>
      <c r="JZF124" s="381"/>
      <c r="JZG124" s="381"/>
      <c r="JZH124" s="381"/>
      <c r="JZI124" s="381"/>
      <c r="JZJ124" s="381"/>
      <c r="JZK124" s="381"/>
      <c r="JZL124" s="381"/>
      <c r="JZM124" s="381"/>
      <c r="JZN124" s="381"/>
      <c r="JZO124" s="381"/>
      <c r="JZP124" s="381"/>
      <c r="JZQ124" s="381"/>
      <c r="JZR124" s="381"/>
      <c r="JZS124" s="381"/>
      <c r="JZT124" s="381"/>
      <c r="JZU124" s="381"/>
      <c r="JZV124" s="381"/>
      <c r="JZW124" s="381"/>
      <c r="JZX124" s="381"/>
      <c r="JZY124" s="381"/>
      <c r="JZZ124" s="381"/>
      <c r="KAA124" s="381"/>
      <c r="KAB124" s="381"/>
      <c r="KAC124" s="381"/>
      <c r="KAD124" s="381"/>
      <c r="KAE124" s="381"/>
      <c r="KAF124" s="381"/>
      <c r="KAG124" s="381"/>
      <c r="KAH124" s="381"/>
      <c r="KAI124" s="381"/>
      <c r="KAJ124" s="381"/>
      <c r="KAK124" s="381"/>
      <c r="KAL124" s="381"/>
      <c r="KAM124" s="381"/>
      <c r="KAN124" s="381"/>
      <c r="KAO124" s="381"/>
      <c r="KAP124" s="381"/>
      <c r="KAQ124" s="381"/>
      <c r="KAR124" s="381"/>
      <c r="KAS124" s="381"/>
      <c r="KAT124" s="381"/>
      <c r="KAU124" s="381"/>
      <c r="KAV124" s="381"/>
      <c r="KAW124" s="381"/>
      <c r="KAX124" s="381"/>
      <c r="KAY124" s="381"/>
      <c r="KAZ124" s="381"/>
      <c r="KBA124" s="381"/>
      <c r="KBB124" s="381"/>
      <c r="KBC124" s="381"/>
      <c r="KBD124" s="381"/>
      <c r="KBE124" s="381"/>
      <c r="KBF124" s="381"/>
      <c r="KBG124" s="381"/>
      <c r="KBH124" s="381"/>
      <c r="KBI124" s="381"/>
      <c r="KBJ124" s="381"/>
      <c r="KBK124" s="381"/>
      <c r="KBL124" s="381"/>
      <c r="KBM124" s="381"/>
      <c r="KBN124" s="381"/>
      <c r="KBO124" s="381"/>
      <c r="KBP124" s="381"/>
      <c r="KBQ124" s="381"/>
      <c r="KBR124" s="381"/>
      <c r="KBS124" s="381"/>
      <c r="KBT124" s="381"/>
      <c r="KBU124" s="381"/>
      <c r="KBV124" s="381"/>
      <c r="KBW124" s="381"/>
      <c r="KBX124" s="381"/>
      <c r="KBY124" s="381"/>
      <c r="KBZ124" s="381"/>
      <c r="KCA124" s="381"/>
      <c r="KCB124" s="381"/>
      <c r="KCC124" s="381"/>
      <c r="KCD124" s="381"/>
      <c r="KCE124" s="381"/>
      <c r="KCF124" s="381"/>
      <c r="KCG124" s="381"/>
      <c r="KCH124" s="381"/>
      <c r="KCI124" s="381"/>
      <c r="KCJ124" s="381"/>
      <c r="KCK124" s="381"/>
      <c r="KCL124" s="381"/>
      <c r="KCM124" s="381"/>
      <c r="KCN124" s="381"/>
      <c r="KCO124" s="381"/>
      <c r="KCP124" s="381"/>
      <c r="KCQ124" s="381"/>
      <c r="KCR124" s="381"/>
      <c r="KCS124" s="381"/>
      <c r="KCT124" s="381"/>
      <c r="KCU124" s="381"/>
      <c r="KCV124" s="381"/>
      <c r="KCW124" s="381"/>
      <c r="KCX124" s="381"/>
      <c r="KCY124" s="381"/>
      <c r="KCZ124" s="381"/>
      <c r="KDA124" s="381"/>
      <c r="KDB124" s="381"/>
      <c r="KDC124" s="381"/>
      <c r="KDD124" s="381"/>
      <c r="KDE124" s="381"/>
      <c r="KDF124" s="381"/>
      <c r="KDG124" s="381"/>
      <c r="KDH124" s="381"/>
      <c r="KDI124" s="381"/>
      <c r="KDJ124" s="381"/>
      <c r="KDK124" s="381"/>
      <c r="KDL124" s="381"/>
      <c r="KDM124" s="381"/>
      <c r="KDN124" s="381"/>
      <c r="KDO124" s="381"/>
      <c r="KDP124" s="381"/>
      <c r="KDQ124" s="381"/>
      <c r="KDR124" s="381"/>
      <c r="KDS124" s="381"/>
      <c r="KDT124" s="381"/>
      <c r="KDU124" s="381"/>
      <c r="KDV124" s="381"/>
      <c r="KDW124" s="381"/>
      <c r="KDX124" s="381"/>
      <c r="KDY124" s="381"/>
      <c r="KDZ124" s="381"/>
      <c r="KEA124" s="381"/>
      <c r="KEB124" s="381"/>
      <c r="KEC124" s="381"/>
      <c r="KED124" s="381"/>
      <c r="KEE124" s="381"/>
      <c r="KEF124" s="381"/>
      <c r="KEG124" s="381"/>
      <c r="KEH124" s="381"/>
      <c r="KEI124" s="381"/>
      <c r="KEJ124" s="381"/>
      <c r="KEK124" s="381"/>
      <c r="KEL124" s="381"/>
      <c r="KEM124" s="381"/>
      <c r="KEN124" s="381"/>
      <c r="KEO124" s="381"/>
      <c r="KEP124" s="381"/>
      <c r="KEQ124" s="381"/>
      <c r="KER124" s="381"/>
      <c r="KES124" s="381"/>
      <c r="KET124" s="381"/>
      <c r="KEU124" s="381"/>
      <c r="KEV124" s="381"/>
      <c r="KEW124" s="381"/>
      <c r="KEX124" s="381"/>
      <c r="KEY124" s="381"/>
      <c r="KEZ124" s="381"/>
      <c r="KFA124" s="381"/>
      <c r="KFB124" s="381"/>
      <c r="KFC124" s="381"/>
      <c r="KFD124" s="381"/>
      <c r="KFE124" s="381"/>
      <c r="KFF124" s="381"/>
      <c r="KFG124" s="381"/>
      <c r="KFH124" s="381"/>
      <c r="KFI124" s="381"/>
      <c r="KFJ124" s="381"/>
      <c r="KFK124" s="381"/>
      <c r="KFL124" s="381"/>
      <c r="KFM124" s="381"/>
      <c r="KFN124" s="381"/>
      <c r="KFO124" s="381"/>
      <c r="KFP124" s="381"/>
      <c r="KFQ124" s="381"/>
      <c r="KFR124" s="381"/>
      <c r="KFS124" s="381"/>
      <c r="KFT124" s="381"/>
      <c r="KFU124" s="381"/>
      <c r="KFV124" s="381"/>
      <c r="KFW124" s="381"/>
      <c r="KFX124" s="381"/>
      <c r="KFY124" s="381"/>
      <c r="KFZ124" s="381"/>
      <c r="KGA124" s="381"/>
      <c r="KGB124" s="381"/>
      <c r="KGC124" s="381"/>
      <c r="KGD124" s="381"/>
      <c r="KGE124" s="381"/>
      <c r="KGF124" s="381"/>
      <c r="KGG124" s="381"/>
      <c r="KGH124" s="381"/>
      <c r="KGI124" s="381"/>
      <c r="KGJ124" s="381"/>
      <c r="KGK124" s="381"/>
      <c r="KGL124" s="381"/>
      <c r="KGM124" s="381"/>
      <c r="KGN124" s="381"/>
      <c r="KGO124" s="381"/>
      <c r="KGP124" s="381"/>
      <c r="KGQ124" s="381"/>
      <c r="KGR124" s="381"/>
      <c r="KGS124" s="381"/>
      <c r="KGT124" s="381"/>
      <c r="KGU124" s="381"/>
      <c r="KGV124" s="381"/>
      <c r="KGW124" s="381"/>
      <c r="KGX124" s="381"/>
      <c r="KGY124" s="381"/>
      <c r="KGZ124" s="381"/>
      <c r="KHA124" s="381"/>
      <c r="KHB124" s="381"/>
      <c r="KHC124" s="381"/>
      <c r="KHD124" s="381"/>
      <c r="KHE124" s="381"/>
      <c r="KHF124" s="381"/>
      <c r="KHG124" s="381"/>
      <c r="KHH124" s="381"/>
      <c r="KHI124" s="381"/>
      <c r="KHJ124" s="381"/>
      <c r="KHK124" s="381"/>
      <c r="KHL124" s="381"/>
      <c r="KHM124" s="381"/>
      <c r="KHN124" s="381"/>
      <c r="KHO124" s="381"/>
      <c r="KHP124" s="381"/>
      <c r="KHQ124" s="381"/>
      <c r="KHR124" s="381"/>
      <c r="KHS124" s="381"/>
      <c r="KHT124" s="381"/>
      <c r="KHU124" s="381"/>
      <c r="KHV124" s="381"/>
      <c r="KHW124" s="381"/>
      <c r="KHX124" s="381"/>
      <c r="KHY124" s="381"/>
      <c r="KHZ124" s="381"/>
      <c r="KIA124" s="381"/>
      <c r="KIB124" s="381"/>
      <c r="KIC124" s="381"/>
      <c r="KID124" s="381"/>
      <c r="KIE124" s="381"/>
      <c r="KIF124" s="381"/>
      <c r="KIG124" s="381"/>
      <c r="KIH124" s="381"/>
      <c r="KII124" s="381"/>
      <c r="KIJ124" s="381"/>
      <c r="KIK124" s="381"/>
      <c r="KIL124" s="381"/>
      <c r="KIM124" s="381"/>
      <c r="KIN124" s="381"/>
      <c r="KIO124" s="381"/>
      <c r="KIP124" s="381"/>
      <c r="KIQ124" s="381"/>
      <c r="KIR124" s="381"/>
      <c r="KIS124" s="381"/>
      <c r="KIT124" s="381"/>
      <c r="KIU124" s="381"/>
      <c r="KIV124" s="381"/>
      <c r="KIW124" s="381"/>
      <c r="KIX124" s="381"/>
      <c r="KIY124" s="381"/>
      <c r="KIZ124" s="381"/>
      <c r="KJA124" s="381"/>
      <c r="KJB124" s="381"/>
      <c r="KJC124" s="381"/>
      <c r="KJD124" s="381"/>
      <c r="KJE124" s="381"/>
      <c r="KJF124" s="381"/>
      <c r="KJG124" s="381"/>
      <c r="KJH124" s="381"/>
      <c r="KJI124" s="381"/>
      <c r="KJJ124" s="381"/>
      <c r="KJK124" s="381"/>
      <c r="KJL124" s="381"/>
      <c r="KJM124" s="381"/>
      <c r="KJN124" s="381"/>
      <c r="KJO124" s="381"/>
      <c r="KJP124" s="381"/>
      <c r="KJQ124" s="381"/>
      <c r="KJR124" s="381"/>
      <c r="KJS124" s="381"/>
      <c r="KJT124" s="381"/>
      <c r="KJU124" s="381"/>
      <c r="KJV124" s="381"/>
      <c r="KJW124" s="381"/>
      <c r="KJX124" s="381"/>
      <c r="KJY124" s="381"/>
      <c r="KJZ124" s="381"/>
      <c r="KKA124" s="381"/>
      <c r="KKB124" s="381"/>
      <c r="KKC124" s="381"/>
      <c r="KKD124" s="381"/>
      <c r="KKE124" s="381"/>
      <c r="KKF124" s="381"/>
      <c r="KKG124" s="381"/>
      <c r="KKH124" s="381"/>
      <c r="KKI124" s="381"/>
      <c r="KKJ124" s="381"/>
      <c r="KKK124" s="381"/>
      <c r="KKL124" s="381"/>
      <c r="KKM124" s="381"/>
      <c r="KKN124" s="381"/>
      <c r="KKO124" s="381"/>
      <c r="KKP124" s="381"/>
      <c r="KKQ124" s="381"/>
      <c r="KKR124" s="381"/>
      <c r="KKS124" s="381"/>
      <c r="KKT124" s="381"/>
      <c r="KKU124" s="381"/>
      <c r="KKV124" s="381"/>
      <c r="KKW124" s="381"/>
      <c r="KKX124" s="381"/>
      <c r="KKY124" s="381"/>
      <c r="KKZ124" s="381"/>
      <c r="KLA124" s="381"/>
      <c r="KLB124" s="381"/>
      <c r="KLC124" s="381"/>
      <c r="KLD124" s="381"/>
      <c r="KLE124" s="381"/>
      <c r="KLF124" s="381"/>
      <c r="KLG124" s="381"/>
      <c r="KLH124" s="381"/>
      <c r="KLI124" s="381"/>
      <c r="KLJ124" s="381"/>
      <c r="KLK124" s="381"/>
      <c r="KLL124" s="381"/>
      <c r="KLM124" s="381"/>
      <c r="KLN124" s="381"/>
      <c r="KLO124" s="381"/>
      <c r="KLP124" s="381"/>
      <c r="KLQ124" s="381"/>
      <c r="KLR124" s="381"/>
      <c r="KLS124" s="381"/>
      <c r="KLT124" s="381"/>
      <c r="KLU124" s="381"/>
      <c r="KLV124" s="381"/>
      <c r="KLW124" s="381"/>
      <c r="KLX124" s="381"/>
      <c r="KLY124" s="381"/>
      <c r="KLZ124" s="381"/>
      <c r="KMA124" s="381"/>
      <c r="KMB124" s="381"/>
      <c r="KMC124" s="381"/>
      <c r="KMD124" s="381"/>
      <c r="KME124" s="381"/>
      <c r="KMF124" s="381"/>
      <c r="KMG124" s="381"/>
      <c r="KMH124" s="381"/>
      <c r="KMI124" s="381"/>
      <c r="KMJ124" s="381"/>
      <c r="KMK124" s="381"/>
      <c r="KML124" s="381"/>
      <c r="KMM124" s="381"/>
      <c r="KMN124" s="381"/>
      <c r="KMO124" s="381"/>
      <c r="KMP124" s="381"/>
      <c r="KMQ124" s="381"/>
      <c r="KMR124" s="381"/>
      <c r="KMS124" s="381"/>
      <c r="KMT124" s="381"/>
      <c r="KMU124" s="381"/>
      <c r="KMV124" s="381"/>
      <c r="KMW124" s="381"/>
      <c r="KMX124" s="381"/>
      <c r="KMY124" s="381"/>
      <c r="KMZ124" s="381"/>
      <c r="KNA124" s="381"/>
      <c r="KNB124" s="381"/>
      <c r="KNC124" s="381"/>
      <c r="KND124" s="381"/>
      <c r="KNE124" s="381"/>
      <c r="KNF124" s="381"/>
      <c r="KNG124" s="381"/>
      <c r="KNH124" s="381"/>
      <c r="KNI124" s="381"/>
      <c r="KNJ124" s="381"/>
      <c r="KNK124" s="381"/>
      <c r="KNL124" s="381"/>
      <c r="KNM124" s="381"/>
      <c r="KNN124" s="381"/>
      <c r="KNO124" s="381"/>
      <c r="KNP124" s="381"/>
      <c r="KNQ124" s="381"/>
      <c r="KNR124" s="381"/>
      <c r="KNS124" s="381"/>
      <c r="KNT124" s="381"/>
      <c r="KNU124" s="381"/>
      <c r="KNV124" s="381"/>
      <c r="KNW124" s="381"/>
      <c r="KNX124" s="381"/>
      <c r="KNY124" s="381"/>
      <c r="KNZ124" s="381"/>
      <c r="KOA124" s="381"/>
      <c r="KOB124" s="381"/>
      <c r="KOC124" s="381"/>
      <c r="KOD124" s="381"/>
      <c r="KOE124" s="381"/>
      <c r="KOF124" s="381"/>
      <c r="KOG124" s="381"/>
      <c r="KOH124" s="381"/>
      <c r="KOI124" s="381"/>
      <c r="KOJ124" s="381"/>
      <c r="KOK124" s="381"/>
      <c r="KOL124" s="381"/>
      <c r="KOM124" s="381"/>
      <c r="KON124" s="381"/>
      <c r="KOO124" s="381"/>
      <c r="KOP124" s="381"/>
      <c r="KOQ124" s="381"/>
      <c r="KOR124" s="381"/>
      <c r="KOS124" s="381"/>
      <c r="KOT124" s="381"/>
      <c r="KOU124" s="381"/>
      <c r="KOV124" s="381"/>
      <c r="KOW124" s="381"/>
      <c r="KOX124" s="381"/>
      <c r="KOY124" s="381"/>
      <c r="KOZ124" s="381"/>
      <c r="KPA124" s="381"/>
      <c r="KPB124" s="381"/>
      <c r="KPC124" s="381"/>
      <c r="KPD124" s="381"/>
      <c r="KPE124" s="381"/>
      <c r="KPF124" s="381"/>
      <c r="KPG124" s="381"/>
      <c r="KPH124" s="381"/>
      <c r="KPI124" s="381"/>
      <c r="KPJ124" s="381"/>
      <c r="KPK124" s="381"/>
      <c r="KPL124" s="381"/>
      <c r="KPM124" s="381"/>
      <c r="KPN124" s="381"/>
      <c r="KPO124" s="381"/>
      <c r="KPP124" s="381"/>
      <c r="KPQ124" s="381"/>
      <c r="KPR124" s="381"/>
      <c r="KPS124" s="381"/>
      <c r="KPT124" s="381"/>
      <c r="KPU124" s="381"/>
      <c r="KPV124" s="381"/>
      <c r="KPW124" s="381"/>
      <c r="KPX124" s="381"/>
      <c r="KPY124" s="381"/>
      <c r="KPZ124" s="381"/>
      <c r="KQA124" s="381"/>
      <c r="KQB124" s="381"/>
      <c r="KQC124" s="381"/>
      <c r="KQD124" s="381"/>
      <c r="KQE124" s="381"/>
      <c r="KQF124" s="381"/>
      <c r="KQG124" s="381"/>
      <c r="KQH124" s="381"/>
      <c r="KQI124" s="381"/>
      <c r="KQJ124" s="381"/>
      <c r="KQK124" s="381"/>
      <c r="KQL124" s="381"/>
      <c r="KQM124" s="381"/>
      <c r="KQN124" s="381"/>
      <c r="KQO124" s="381"/>
      <c r="KQP124" s="381"/>
      <c r="KQQ124" s="381"/>
      <c r="KQR124" s="381"/>
      <c r="KQS124" s="381"/>
      <c r="KQT124" s="381"/>
      <c r="KQU124" s="381"/>
      <c r="KQV124" s="381"/>
      <c r="KQW124" s="381"/>
      <c r="KQX124" s="381"/>
      <c r="KQY124" s="381"/>
      <c r="KQZ124" s="381"/>
      <c r="KRA124" s="381"/>
      <c r="KRB124" s="381"/>
      <c r="KRC124" s="381"/>
      <c r="KRD124" s="381"/>
      <c r="KRE124" s="381"/>
      <c r="KRF124" s="381"/>
      <c r="KRG124" s="381"/>
      <c r="KRH124" s="381"/>
      <c r="KRI124" s="381"/>
      <c r="KRJ124" s="381"/>
      <c r="KRK124" s="381"/>
      <c r="KRL124" s="381"/>
      <c r="KRM124" s="381"/>
      <c r="KRN124" s="381"/>
      <c r="KRO124" s="381"/>
      <c r="KRP124" s="381"/>
      <c r="KRQ124" s="381"/>
      <c r="KRR124" s="381"/>
      <c r="KRS124" s="381"/>
      <c r="KRT124" s="381"/>
      <c r="KRU124" s="381"/>
      <c r="KRV124" s="381"/>
      <c r="KRW124" s="381"/>
      <c r="KRX124" s="381"/>
      <c r="KRY124" s="381"/>
      <c r="KRZ124" s="381"/>
      <c r="KSA124" s="381"/>
      <c r="KSB124" s="381"/>
      <c r="KSC124" s="381"/>
      <c r="KSD124" s="381"/>
      <c r="KSE124" s="381"/>
      <c r="KSF124" s="381"/>
      <c r="KSG124" s="381"/>
      <c r="KSH124" s="381"/>
      <c r="KSI124" s="381"/>
      <c r="KSJ124" s="381"/>
      <c r="KSK124" s="381"/>
      <c r="KSL124" s="381"/>
      <c r="KSM124" s="381"/>
      <c r="KSN124" s="381"/>
      <c r="KSO124" s="381"/>
      <c r="KSP124" s="381"/>
      <c r="KSQ124" s="381"/>
      <c r="KSR124" s="381"/>
      <c r="KSS124" s="381"/>
      <c r="KST124" s="381"/>
      <c r="KSU124" s="381"/>
      <c r="KSV124" s="381"/>
      <c r="KSW124" s="381"/>
      <c r="KSX124" s="381"/>
      <c r="KSY124" s="381"/>
      <c r="KSZ124" s="381"/>
      <c r="KTA124" s="381"/>
      <c r="KTB124" s="381"/>
      <c r="KTC124" s="381"/>
      <c r="KTD124" s="381"/>
      <c r="KTE124" s="381"/>
      <c r="KTF124" s="381"/>
      <c r="KTG124" s="381"/>
      <c r="KTH124" s="381"/>
      <c r="KTI124" s="381"/>
      <c r="KTJ124" s="381"/>
      <c r="KTK124" s="381"/>
      <c r="KTL124" s="381"/>
      <c r="KTM124" s="381"/>
      <c r="KTN124" s="381"/>
      <c r="KTO124" s="381"/>
      <c r="KTP124" s="381"/>
      <c r="KTQ124" s="381"/>
      <c r="KTR124" s="381"/>
      <c r="KTS124" s="381"/>
      <c r="KTT124" s="381"/>
      <c r="KTU124" s="381"/>
      <c r="KTV124" s="381"/>
      <c r="KTW124" s="381"/>
      <c r="KTX124" s="381"/>
      <c r="KTY124" s="381"/>
      <c r="KTZ124" s="381"/>
      <c r="KUA124" s="381"/>
      <c r="KUB124" s="381"/>
      <c r="KUC124" s="381"/>
      <c r="KUD124" s="381"/>
      <c r="KUE124" s="381"/>
      <c r="KUF124" s="381"/>
      <c r="KUG124" s="381"/>
      <c r="KUH124" s="381"/>
      <c r="KUI124" s="381"/>
      <c r="KUJ124" s="381"/>
      <c r="KUK124" s="381"/>
      <c r="KUL124" s="381"/>
      <c r="KUM124" s="381"/>
      <c r="KUN124" s="381"/>
      <c r="KUO124" s="381"/>
      <c r="KUP124" s="381"/>
      <c r="KUQ124" s="381"/>
      <c r="KUR124" s="381"/>
      <c r="KUS124" s="381"/>
      <c r="KUT124" s="381"/>
      <c r="KUU124" s="381"/>
      <c r="KUV124" s="381"/>
      <c r="KUW124" s="381"/>
      <c r="KUX124" s="381"/>
      <c r="KUY124" s="381"/>
      <c r="KUZ124" s="381"/>
      <c r="KVA124" s="381"/>
      <c r="KVB124" s="381"/>
      <c r="KVC124" s="381"/>
      <c r="KVD124" s="381"/>
      <c r="KVE124" s="381"/>
      <c r="KVF124" s="381"/>
      <c r="KVG124" s="381"/>
      <c r="KVH124" s="381"/>
      <c r="KVI124" s="381"/>
      <c r="KVJ124" s="381"/>
      <c r="KVK124" s="381"/>
      <c r="KVL124" s="381"/>
      <c r="KVM124" s="381"/>
      <c r="KVN124" s="381"/>
      <c r="KVO124" s="381"/>
      <c r="KVP124" s="381"/>
      <c r="KVQ124" s="381"/>
      <c r="KVR124" s="381"/>
      <c r="KVS124" s="381"/>
      <c r="KVT124" s="381"/>
      <c r="KVU124" s="381"/>
      <c r="KVV124" s="381"/>
      <c r="KVW124" s="381"/>
      <c r="KVX124" s="381"/>
      <c r="KVY124" s="381"/>
      <c r="KVZ124" s="381"/>
      <c r="KWA124" s="381"/>
      <c r="KWB124" s="381"/>
      <c r="KWC124" s="381"/>
      <c r="KWD124" s="381"/>
      <c r="KWE124" s="381"/>
      <c r="KWF124" s="381"/>
      <c r="KWG124" s="381"/>
      <c r="KWH124" s="381"/>
      <c r="KWI124" s="381"/>
      <c r="KWJ124" s="381"/>
      <c r="KWK124" s="381"/>
      <c r="KWL124" s="381"/>
      <c r="KWM124" s="381"/>
      <c r="KWN124" s="381"/>
      <c r="KWO124" s="381"/>
      <c r="KWP124" s="381"/>
      <c r="KWQ124" s="381"/>
      <c r="KWR124" s="381"/>
      <c r="KWS124" s="381"/>
      <c r="KWT124" s="381"/>
      <c r="KWU124" s="381"/>
      <c r="KWV124" s="381"/>
      <c r="KWW124" s="381"/>
      <c r="KWX124" s="381"/>
      <c r="KWY124" s="381"/>
      <c r="KWZ124" s="381"/>
      <c r="KXA124" s="381"/>
      <c r="KXB124" s="381"/>
      <c r="KXC124" s="381"/>
      <c r="KXD124" s="381"/>
      <c r="KXE124" s="381"/>
      <c r="KXF124" s="381"/>
      <c r="KXG124" s="381"/>
      <c r="KXH124" s="381"/>
      <c r="KXI124" s="381"/>
      <c r="KXJ124" s="381"/>
      <c r="KXK124" s="381"/>
      <c r="KXL124" s="381"/>
      <c r="KXM124" s="381"/>
      <c r="KXN124" s="381"/>
      <c r="KXO124" s="381"/>
      <c r="KXP124" s="381"/>
      <c r="KXQ124" s="381"/>
      <c r="KXR124" s="381"/>
      <c r="KXS124" s="381"/>
      <c r="KXT124" s="381"/>
      <c r="KXU124" s="381"/>
      <c r="KXV124" s="381"/>
      <c r="KXW124" s="381"/>
      <c r="KXX124" s="381"/>
      <c r="KXY124" s="381"/>
      <c r="KXZ124" s="381"/>
      <c r="KYA124" s="381"/>
      <c r="KYB124" s="381"/>
      <c r="KYC124" s="381"/>
      <c r="KYD124" s="381"/>
      <c r="KYE124" s="381"/>
      <c r="KYF124" s="381"/>
      <c r="KYG124" s="381"/>
      <c r="KYH124" s="381"/>
      <c r="KYI124" s="381"/>
      <c r="KYJ124" s="381"/>
      <c r="KYK124" s="381"/>
      <c r="KYL124" s="381"/>
      <c r="KYM124" s="381"/>
      <c r="KYN124" s="381"/>
      <c r="KYO124" s="381"/>
      <c r="KYP124" s="381"/>
      <c r="KYQ124" s="381"/>
      <c r="KYR124" s="381"/>
      <c r="KYS124" s="381"/>
      <c r="KYT124" s="381"/>
      <c r="KYU124" s="381"/>
      <c r="KYV124" s="381"/>
      <c r="KYW124" s="381"/>
      <c r="KYX124" s="381"/>
      <c r="KYY124" s="381"/>
      <c r="KYZ124" s="381"/>
      <c r="KZA124" s="381"/>
      <c r="KZB124" s="381"/>
      <c r="KZC124" s="381"/>
      <c r="KZD124" s="381"/>
      <c r="KZE124" s="381"/>
      <c r="KZF124" s="381"/>
      <c r="KZG124" s="381"/>
      <c r="KZH124" s="381"/>
      <c r="KZI124" s="381"/>
      <c r="KZJ124" s="381"/>
      <c r="KZK124" s="381"/>
      <c r="KZL124" s="381"/>
      <c r="KZM124" s="381"/>
      <c r="KZN124" s="381"/>
      <c r="KZO124" s="381"/>
      <c r="KZP124" s="381"/>
      <c r="KZQ124" s="381"/>
      <c r="KZR124" s="381"/>
      <c r="KZS124" s="381"/>
      <c r="KZT124" s="381"/>
      <c r="KZU124" s="381"/>
      <c r="KZV124" s="381"/>
      <c r="KZW124" s="381"/>
      <c r="KZX124" s="381"/>
      <c r="KZY124" s="381"/>
      <c r="KZZ124" s="381"/>
      <c r="LAA124" s="381"/>
      <c r="LAB124" s="381"/>
      <c r="LAC124" s="381"/>
      <c r="LAD124" s="381"/>
      <c r="LAE124" s="381"/>
      <c r="LAF124" s="381"/>
      <c r="LAG124" s="381"/>
      <c r="LAH124" s="381"/>
      <c r="LAI124" s="381"/>
      <c r="LAJ124" s="381"/>
      <c r="LAK124" s="381"/>
      <c r="LAL124" s="381"/>
      <c r="LAM124" s="381"/>
      <c r="LAN124" s="381"/>
      <c r="LAO124" s="381"/>
      <c r="LAP124" s="381"/>
      <c r="LAQ124" s="381"/>
      <c r="LAR124" s="381"/>
      <c r="LAS124" s="381"/>
      <c r="LAT124" s="381"/>
      <c r="LAU124" s="381"/>
      <c r="LAV124" s="381"/>
      <c r="LAW124" s="381"/>
      <c r="LAX124" s="381"/>
      <c r="LAY124" s="381"/>
      <c r="LAZ124" s="381"/>
      <c r="LBA124" s="381"/>
      <c r="LBB124" s="381"/>
      <c r="LBC124" s="381"/>
      <c r="LBD124" s="381"/>
      <c r="LBE124" s="381"/>
      <c r="LBF124" s="381"/>
      <c r="LBG124" s="381"/>
      <c r="LBH124" s="381"/>
      <c r="LBI124" s="381"/>
      <c r="LBJ124" s="381"/>
      <c r="LBK124" s="381"/>
      <c r="LBL124" s="381"/>
      <c r="LBM124" s="381"/>
      <c r="LBN124" s="381"/>
      <c r="LBO124" s="381"/>
      <c r="LBP124" s="381"/>
      <c r="LBQ124" s="381"/>
      <c r="LBR124" s="381"/>
      <c r="LBS124" s="381"/>
      <c r="LBT124" s="381"/>
      <c r="LBU124" s="381"/>
      <c r="LBV124" s="381"/>
      <c r="LBW124" s="381"/>
      <c r="LBX124" s="381"/>
      <c r="LBY124" s="381"/>
      <c r="LBZ124" s="381"/>
      <c r="LCA124" s="381"/>
      <c r="LCB124" s="381"/>
      <c r="LCC124" s="381"/>
      <c r="LCD124" s="381"/>
      <c r="LCE124" s="381"/>
      <c r="LCF124" s="381"/>
      <c r="LCG124" s="381"/>
      <c r="LCH124" s="381"/>
      <c r="LCI124" s="381"/>
      <c r="LCJ124" s="381"/>
      <c r="LCK124" s="381"/>
      <c r="LCL124" s="381"/>
      <c r="LCM124" s="381"/>
      <c r="LCN124" s="381"/>
      <c r="LCO124" s="381"/>
      <c r="LCP124" s="381"/>
      <c r="LCQ124" s="381"/>
      <c r="LCR124" s="381"/>
      <c r="LCS124" s="381"/>
      <c r="LCT124" s="381"/>
      <c r="LCU124" s="381"/>
      <c r="LCV124" s="381"/>
      <c r="LCW124" s="381"/>
      <c r="LCX124" s="381"/>
      <c r="LCY124" s="381"/>
      <c r="LCZ124" s="381"/>
      <c r="LDA124" s="381"/>
      <c r="LDB124" s="381"/>
      <c r="LDC124" s="381"/>
      <c r="LDD124" s="381"/>
      <c r="LDE124" s="381"/>
      <c r="LDF124" s="381"/>
      <c r="LDG124" s="381"/>
      <c r="LDH124" s="381"/>
      <c r="LDI124" s="381"/>
      <c r="LDJ124" s="381"/>
      <c r="LDK124" s="381"/>
      <c r="LDL124" s="381"/>
      <c r="LDM124" s="381"/>
      <c r="LDN124" s="381"/>
      <c r="LDO124" s="381"/>
      <c r="LDP124" s="381"/>
      <c r="LDQ124" s="381"/>
      <c r="LDR124" s="381"/>
      <c r="LDS124" s="381"/>
      <c r="LDT124" s="381"/>
      <c r="LDU124" s="381"/>
      <c r="LDV124" s="381"/>
      <c r="LDW124" s="381"/>
      <c r="LDX124" s="381"/>
      <c r="LDY124" s="381"/>
      <c r="LDZ124" s="381"/>
      <c r="LEA124" s="381"/>
      <c r="LEB124" s="381"/>
      <c r="LEC124" s="381"/>
      <c r="LED124" s="381"/>
      <c r="LEE124" s="381"/>
      <c r="LEF124" s="381"/>
      <c r="LEG124" s="381"/>
      <c r="LEH124" s="381"/>
      <c r="LEI124" s="381"/>
      <c r="LEJ124" s="381"/>
      <c r="LEK124" s="381"/>
      <c r="LEL124" s="381"/>
      <c r="LEM124" s="381"/>
      <c r="LEN124" s="381"/>
      <c r="LEO124" s="381"/>
      <c r="LEP124" s="381"/>
      <c r="LEQ124" s="381"/>
      <c r="LER124" s="381"/>
      <c r="LES124" s="381"/>
      <c r="LET124" s="381"/>
      <c r="LEU124" s="381"/>
      <c r="LEV124" s="381"/>
      <c r="LEW124" s="381"/>
      <c r="LEX124" s="381"/>
      <c r="LEY124" s="381"/>
      <c r="LEZ124" s="381"/>
      <c r="LFA124" s="381"/>
      <c r="LFB124" s="381"/>
      <c r="LFC124" s="381"/>
      <c r="LFD124" s="381"/>
      <c r="LFE124" s="381"/>
      <c r="LFF124" s="381"/>
      <c r="LFG124" s="381"/>
      <c r="LFH124" s="381"/>
      <c r="LFI124" s="381"/>
      <c r="LFJ124" s="381"/>
      <c r="LFK124" s="381"/>
      <c r="LFL124" s="381"/>
      <c r="LFM124" s="381"/>
      <c r="LFN124" s="381"/>
      <c r="LFO124" s="381"/>
      <c r="LFP124" s="381"/>
      <c r="LFQ124" s="381"/>
      <c r="LFR124" s="381"/>
      <c r="LFS124" s="381"/>
      <c r="LFT124" s="381"/>
      <c r="LFU124" s="381"/>
      <c r="LFV124" s="381"/>
      <c r="LFW124" s="381"/>
      <c r="LFX124" s="381"/>
      <c r="LFY124" s="381"/>
      <c r="LFZ124" s="381"/>
      <c r="LGA124" s="381"/>
      <c r="LGB124" s="381"/>
      <c r="LGC124" s="381"/>
      <c r="LGD124" s="381"/>
      <c r="LGE124" s="381"/>
      <c r="LGF124" s="381"/>
      <c r="LGG124" s="381"/>
      <c r="LGH124" s="381"/>
      <c r="LGI124" s="381"/>
      <c r="LGJ124" s="381"/>
      <c r="LGK124" s="381"/>
      <c r="LGL124" s="381"/>
      <c r="LGM124" s="381"/>
      <c r="LGN124" s="381"/>
      <c r="LGO124" s="381"/>
      <c r="LGP124" s="381"/>
      <c r="LGQ124" s="381"/>
      <c r="LGR124" s="381"/>
      <c r="LGS124" s="381"/>
      <c r="LGT124" s="381"/>
      <c r="LGU124" s="381"/>
      <c r="LGV124" s="381"/>
      <c r="LGW124" s="381"/>
      <c r="LGX124" s="381"/>
      <c r="LGY124" s="381"/>
      <c r="LGZ124" s="381"/>
      <c r="LHA124" s="381"/>
      <c r="LHB124" s="381"/>
      <c r="LHC124" s="381"/>
      <c r="LHD124" s="381"/>
      <c r="LHE124" s="381"/>
      <c r="LHF124" s="381"/>
      <c r="LHG124" s="381"/>
      <c r="LHH124" s="381"/>
      <c r="LHI124" s="381"/>
      <c r="LHJ124" s="381"/>
      <c r="LHK124" s="381"/>
      <c r="LHL124" s="381"/>
      <c r="LHM124" s="381"/>
      <c r="LHN124" s="381"/>
      <c r="LHO124" s="381"/>
      <c r="LHP124" s="381"/>
      <c r="LHQ124" s="381"/>
      <c r="LHR124" s="381"/>
      <c r="LHS124" s="381"/>
      <c r="LHT124" s="381"/>
      <c r="LHU124" s="381"/>
      <c r="LHV124" s="381"/>
      <c r="LHW124" s="381"/>
      <c r="LHX124" s="381"/>
      <c r="LHY124" s="381"/>
      <c r="LHZ124" s="381"/>
      <c r="LIA124" s="381"/>
      <c r="LIB124" s="381"/>
      <c r="LIC124" s="381"/>
      <c r="LID124" s="381"/>
      <c r="LIE124" s="381"/>
      <c r="LIF124" s="381"/>
      <c r="LIG124" s="381"/>
      <c r="LIH124" s="381"/>
      <c r="LII124" s="381"/>
      <c r="LIJ124" s="381"/>
      <c r="LIK124" s="381"/>
      <c r="LIL124" s="381"/>
      <c r="LIM124" s="381"/>
      <c r="LIN124" s="381"/>
      <c r="LIO124" s="381"/>
      <c r="LIP124" s="381"/>
      <c r="LIQ124" s="381"/>
      <c r="LIR124" s="381"/>
      <c r="LIS124" s="381"/>
      <c r="LIT124" s="381"/>
      <c r="LIU124" s="381"/>
      <c r="LIV124" s="381"/>
      <c r="LIW124" s="381"/>
      <c r="LIX124" s="381"/>
      <c r="LIY124" s="381"/>
      <c r="LIZ124" s="381"/>
      <c r="LJA124" s="381"/>
      <c r="LJB124" s="381"/>
      <c r="LJC124" s="381"/>
      <c r="LJD124" s="381"/>
      <c r="LJE124" s="381"/>
      <c r="LJF124" s="381"/>
      <c r="LJG124" s="381"/>
      <c r="LJH124" s="381"/>
      <c r="LJI124" s="381"/>
      <c r="LJJ124" s="381"/>
      <c r="LJK124" s="381"/>
      <c r="LJL124" s="381"/>
      <c r="LJM124" s="381"/>
      <c r="LJN124" s="381"/>
      <c r="LJO124" s="381"/>
      <c r="LJP124" s="381"/>
      <c r="LJQ124" s="381"/>
      <c r="LJR124" s="381"/>
      <c r="LJS124" s="381"/>
      <c r="LJT124" s="381"/>
      <c r="LJU124" s="381"/>
      <c r="LJV124" s="381"/>
      <c r="LJW124" s="381"/>
      <c r="LJX124" s="381"/>
      <c r="LJY124" s="381"/>
      <c r="LJZ124" s="381"/>
      <c r="LKA124" s="381"/>
      <c r="LKB124" s="381"/>
      <c r="LKC124" s="381"/>
      <c r="LKD124" s="381"/>
      <c r="LKE124" s="381"/>
      <c r="LKF124" s="381"/>
      <c r="LKG124" s="381"/>
      <c r="LKH124" s="381"/>
      <c r="LKI124" s="381"/>
      <c r="LKJ124" s="381"/>
      <c r="LKK124" s="381"/>
      <c r="LKL124" s="381"/>
      <c r="LKM124" s="381"/>
      <c r="LKN124" s="381"/>
      <c r="LKO124" s="381"/>
      <c r="LKP124" s="381"/>
      <c r="LKQ124" s="381"/>
      <c r="LKR124" s="381"/>
      <c r="LKS124" s="381"/>
      <c r="LKT124" s="381"/>
      <c r="LKU124" s="381"/>
      <c r="LKV124" s="381"/>
      <c r="LKW124" s="381"/>
      <c r="LKX124" s="381"/>
      <c r="LKY124" s="381"/>
      <c r="LKZ124" s="381"/>
      <c r="LLA124" s="381"/>
      <c r="LLB124" s="381"/>
      <c r="LLC124" s="381"/>
      <c r="LLD124" s="381"/>
      <c r="LLE124" s="381"/>
      <c r="LLF124" s="381"/>
      <c r="LLG124" s="381"/>
      <c r="LLH124" s="381"/>
      <c r="LLI124" s="381"/>
      <c r="LLJ124" s="381"/>
      <c r="LLK124" s="381"/>
      <c r="LLL124" s="381"/>
      <c r="LLM124" s="381"/>
      <c r="LLN124" s="381"/>
      <c r="LLO124" s="381"/>
      <c r="LLP124" s="381"/>
      <c r="LLQ124" s="381"/>
      <c r="LLR124" s="381"/>
      <c r="LLS124" s="381"/>
      <c r="LLT124" s="381"/>
      <c r="LLU124" s="381"/>
      <c r="LLV124" s="381"/>
      <c r="LLW124" s="381"/>
      <c r="LLX124" s="381"/>
      <c r="LLY124" s="381"/>
      <c r="LLZ124" s="381"/>
      <c r="LMA124" s="381"/>
      <c r="LMB124" s="381"/>
      <c r="LMC124" s="381"/>
      <c r="LMD124" s="381"/>
      <c r="LME124" s="381"/>
      <c r="LMF124" s="381"/>
      <c r="LMG124" s="381"/>
      <c r="LMH124" s="381"/>
      <c r="LMI124" s="381"/>
      <c r="LMJ124" s="381"/>
      <c r="LMK124" s="381"/>
      <c r="LML124" s="381"/>
      <c r="LMM124" s="381"/>
      <c r="LMN124" s="381"/>
      <c r="LMO124" s="381"/>
      <c r="LMP124" s="381"/>
      <c r="LMQ124" s="381"/>
      <c r="LMR124" s="381"/>
      <c r="LMS124" s="381"/>
      <c r="LMT124" s="381"/>
      <c r="LMU124" s="381"/>
      <c r="LMV124" s="381"/>
      <c r="LMW124" s="381"/>
      <c r="LMX124" s="381"/>
      <c r="LMY124" s="381"/>
      <c r="LMZ124" s="381"/>
      <c r="LNA124" s="381"/>
      <c r="LNB124" s="381"/>
      <c r="LNC124" s="381"/>
      <c r="LND124" s="381"/>
      <c r="LNE124" s="381"/>
      <c r="LNF124" s="381"/>
      <c r="LNG124" s="381"/>
      <c r="LNH124" s="381"/>
      <c r="LNI124" s="381"/>
      <c r="LNJ124" s="381"/>
      <c r="LNK124" s="381"/>
      <c r="LNL124" s="381"/>
      <c r="LNM124" s="381"/>
      <c r="LNN124" s="381"/>
      <c r="LNO124" s="381"/>
      <c r="LNP124" s="381"/>
      <c r="LNQ124" s="381"/>
      <c r="LNR124" s="381"/>
      <c r="LNS124" s="381"/>
      <c r="LNT124" s="381"/>
      <c r="LNU124" s="381"/>
      <c r="LNV124" s="381"/>
      <c r="LNW124" s="381"/>
      <c r="LNX124" s="381"/>
      <c r="LNY124" s="381"/>
      <c r="LNZ124" s="381"/>
      <c r="LOA124" s="381"/>
      <c r="LOB124" s="381"/>
      <c r="LOC124" s="381"/>
      <c r="LOD124" s="381"/>
      <c r="LOE124" s="381"/>
      <c r="LOF124" s="381"/>
      <c r="LOG124" s="381"/>
      <c r="LOH124" s="381"/>
      <c r="LOI124" s="381"/>
      <c r="LOJ124" s="381"/>
      <c r="LOK124" s="381"/>
      <c r="LOL124" s="381"/>
      <c r="LOM124" s="381"/>
      <c r="LON124" s="381"/>
      <c r="LOO124" s="381"/>
      <c r="LOP124" s="381"/>
      <c r="LOQ124" s="381"/>
      <c r="LOR124" s="381"/>
      <c r="LOS124" s="381"/>
      <c r="LOT124" s="381"/>
      <c r="LOU124" s="381"/>
      <c r="LOV124" s="381"/>
      <c r="LOW124" s="381"/>
      <c r="LOX124" s="381"/>
      <c r="LOY124" s="381"/>
      <c r="LOZ124" s="381"/>
      <c r="LPA124" s="381"/>
      <c r="LPB124" s="381"/>
      <c r="LPC124" s="381"/>
      <c r="LPD124" s="381"/>
      <c r="LPE124" s="381"/>
      <c r="LPF124" s="381"/>
      <c r="LPG124" s="381"/>
      <c r="LPH124" s="381"/>
      <c r="LPI124" s="381"/>
      <c r="LPJ124" s="381"/>
      <c r="LPK124" s="381"/>
      <c r="LPL124" s="381"/>
      <c r="LPM124" s="381"/>
      <c r="LPN124" s="381"/>
      <c r="LPO124" s="381"/>
      <c r="LPP124" s="381"/>
      <c r="LPQ124" s="381"/>
      <c r="LPR124" s="381"/>
      <c r="LPS124" s="381"/>
      <c r="LPT124" s="381"/>
      <c r="LPU124" s="381"/>
      <c r="LPV124" s="381"/>
      <c r="LPW124" s="381"/>
      <c r="LPX124" s="381"/>
      <c r="LPY124" s="381"/>
      <c r="LPZ124" s="381"/>
      <c r="LQA124" s="381"/>
      <c r="LQB124" s="381"/>
      <c r="LQC124" s="381"/>
      <c r="LQD124" s="381"/>
      <c r="LQE124" s="381"/>
      <c r="LQF124" s="381"/>
      <c r="LQG124" s="381"/>
      <c r="LQH124" s="381"/>
      <c r="LQI124" s="381"/>
      <c r="LQJ124" s="381"/>
      <c r="LQK124" s="381"/>
      <c r="LQL124" s="381"/>
      <c r="LQM124" s="381"/>
      <c r="LQN124" s="381"/>
      <c r="LQO124" s="381"/>
      <c r="LQP124" s="381"/>
      <c r="LQQ124" s="381"/>
      <c r="LQR124" s="381"/>
      <c r="LQS124" s="381"/>
      <c r="LQT124" s="381"/>
      <c r="LQU124" s="381"/>
      <c r="LQV124" s="381"/>
      <c r="LQW124" s="381"/>
      <c r="LQX124" s="381"/>
      <c r="LQY124" s="381"/>
      <c r="LQZ124" s="381"/>
      <c r="LRA124" s="381"/>
      <c r="LRB124" s="381"/>
      <c r="LRC124" s="381"/>
      <c r="LRD124" s="381"/>
      <c r="LRE124" s="381"/>
      <c r="LRF124" s="381"/>
      <c r="LRG124" s="381"/>
      <c r="LRH124" s="381"/>
      <c r="LRI124" s="381"/>
      <c r="LRJ124" s="381"/>
      <c r="LRK124" s="381"/>
      <c r="LRL124" s="381"/>
      <c r="LRM124" s="381"/>
      <c r="LRN124" s="381"/>
      <c r="LRO124" s="381"/>
      <c r="LRP124" s="381"/>
      <c r="LRQ124" s="381"/>
      <c r="LRR124" s="381"/>
      <c r="LRS124" s="381"/>
      <c r="LRT124" s="381"/>
      <c r="LRU124" s="381"/>
      <c r="LRV124" s="381"/>
      <c r="LRW124" s="381"/>
      <c r="LRX124" s="381"/>
      <c r="LRY124" s="381"/>
      <c r="LRZ124" s="381"/>
      <c r="LSA124" s="381"/>
      <c r="LSB124" s="381"/>
      <c r="LSC124" s="381"/>
      <c r="LSD124" s="381"/>
      <c r="LSE124" s="381"/>
      <c r="LSF124" s="381"/>
      <c r="LSG124" s="381"/>
      <c r="LSH124" s="381"/>
      <c r="LSI124" s="381"/>
      <c r="LSJ124" s="381"/>
      <c r="LSK124" s="381"/>
      <c r="LSL124" s="381"/>
      <c r="LSM124" s="381"/>
      <c r="LSN124" s="381"/>
      <c r="LSO124" s="381"/>
      <c r="LSP124" s="381"/>
      <c r="LSQ124" s="381"/>
      <c r="LSR124" s="381"/>
      <c r="LSS124" s="381"/>
      <c r="LST124" s="381"/>
      <c r="LSU124" s="381"/>
      <c r="LSV124" s="381"/>
      <c r="LSW124" s="381"/>
      <c r="LSX124" s="381"/>
      <c r="LSY124" s="381"/>
      <c r="LSZ124" s="381"/>
      <c r="LTA124" s="381"/>
      <c r="LTB124" s="381"/>
      <c r="LTC124" s="381"/>
      <c r="LTD124" s="381"/>
      <c r="LTE124" s="381"/>
      <c r="LTF124" s="381"/>
      <c r="LTG124" s="381"/>
      <c r="LTH124" s="381"/>
      <c r="LTI124" s="381"/>
      <c r="LTJ124" s="381"/>
      <c r="LTK124" s="381"/>
      <c r="LTL124" s="381"/>
      <c r="LTM124" s="381"/>
      <c r="LTN124" s="381"/>
      <c r="LTO124" s="381"/>
      <c r="LTP124" s="381"/>
      <c r="LTQ124" s="381"/>
      <c r="LTR124" s="381"/>
      <c r="LTS124" s="381"/>
      <c r="LTT124" s="381"/>
      <c r="LTU124" s="381"/>
      <c r="LTV124" s="381"/>
      <c r="LTW124" s="381"/>
      <c r="LTX124" s="381"/>
      <c r="LTY124" s="381"/>
      <c r="LTZ124" s="381"/>
      <c r="LUA124" s="381"/>
      <c r="LUB124" s="381"/>
      <c r="LUC124" s="381"/>
      <c r="LUD124" s="381"/>
      <c r="LUE124" s="381"/>
      <c r="LUF124" s="381"/>
      <c r="LUG124" s="381"/>
      <c r="LUH124" s="381"/>
      <c r="LUI124" s="381"/>
      <c r="LUJ124" s="381"/>
      <c r="LUK124" s="381"/>
      <c r="LUL124" s="381"/>
      <c r="LUM124" s="381"/>
      <c r="LUN124" s="381"/>
      <c r="LUO124" s="381"/>
      <c r="LUP124" s="381"/>
      <c r="LUQ124" s="381"/>
      <c r="LUR124" s="381"/>
      <c r="LUS124" s="381"/>
      <c r="LUT124" s="381"/>
      <c r="LUU124" s="381"/>
      <c r="LUV124" s="381"/>
      <c r="LUW124" s="381"/>
      <c r="LUX124" s="381"/>
      <c r="LUY124" s="381"/>
      <c r="LUZ124" s="381"/>
      <c r="LVA124" s="381"/>
      <c r="LVB124" s="381"/>
      <c r="LVC124" s="381"/>
      <c r="LVD124" s="381"/>
      <c r="LVE124" s="381"/>
      <c r="LVF124" s="381"/>
      <c r="LVG124" s="381"/>
      <c r="LVH124" s="381"/>
      <c r="LVI124" s="381"/>
      <c r="LVJ124" s="381"/>
      <c r="LVK124" s="381"/>
      <c r="LVL124" s="381"/>
      <c r="LVM124" s="381"/>
      <c r="LVN124" s="381"/>
      <c r="LVO124" s="381"/>
      <c r="LVP124" s="381"/>
      <c r="LVQ124" s="381"/>
      <c r="LVR124" s="381"/>
      <c r="LVS124" s="381"/>
      <c r="LVT124" s="381"/>
      <c r="LVU124" s="381"/>
      <c r="LVV124" s="381"/>
      <c r="LVW124" s="381"/>
      <c r="LVX124" s="381"/>
      <c r="LVY124" s="381"/>
      <c r="LVZ124" s="381"/>
      <c r="LWA124" s="381"/>
      <c r="LWB124" s="381"/>
      <c r="LWC124" s="381"/>
      <c r="LWD124" s="381"/>
      <c r="LWE124" s="381"/>
      <c r="LWF124" s="381"/>
      <c r="LWG124" s="381"/>
      <c r="LWH124" s="381"/>
      <c r="LWI124" s="381"/>
      <c r="LWJ124" s="381"/>
      <c r="LWK124" s="381"/>
      <c r="LWL124" s="381"/>
      <c r="LWM124" s="381"/>
      <c r="LWN124" s="381"/>
      <c r="LWO124" s="381"/>
      <c r="LWP124" s="381"/>
      <c r="LWQ124" s="381"/>
      <c r="LWR124" s="381"/>
      <c r="LWS124" s="381"/>
      <c r="LWT124" s="381"/>
      <c r="LWU124" s="381"/>
      <c r="LWV124" s="381"/>
      <c r="LWW124" s="381"/>
      <c r="LWX124" s="381"/>
      <c r="LWY124" s="381"/>
      <c r="LWZ124" s="381"/>
      <c r="LXA124" s="381"/>
      <c r="LXB124" s="381"/>
      <c r="LXC124" s="381"/>
      <c r="LXD124" s="381"/>
      <c r="LXE124" s="381"/>
      <c r="LXF124" s="381"/>
      <c r="LXG124" s="381"/>
      <c r="LXH124" s="381"/>
      <c r="LXI124" s="381"/>
      <c r="LXJ124" s="381"/>
      <c r="LXK124" s="381"/>
      <c r="LXL124" s="381"/>
      <c r="LXM124" s="381"/>
      <c r="LXN124" s="381"/>
      <c r="LXO124" s="381"/>
      <c r="LXP124" s="381"/>
      <c r="LXQ124" s="381"/>
      <c r="LXR124" s="381"/>
      <c r="LXS124" s="381"/>
      <c r="LXT124" s="381"/>
      <c r="LXU124" s="381"/>
      <c r="LXV124" s="381"/>
      <c r="LXW124" s="381"/>
      <c r="LXX124" s="381"/>
      <c r="LXY124" s="381"/>
      <c r="LXZ124" s="381"/>
      <c r="LYA124" s="381"/>
      <c r="LYB124" s="381"/>
      <c r="LYC124" s="381"/>
      <c r="LYD124" s="381"/>
      <c r="LYE124" s="381"/>
      <c r="LYF124" s="381"/>
      <c r="LYG124" s="381"/>
      <c r="LYH124" s="381"/>
      <c r="LYI124" s="381"/>
      <c r="LYJ124" s="381"/>
      <c r="LYK124" s="381"/>
      <c r="LYL124" s="381"/>
      <c r="LYM124" s="381"/>
      <c r="LYN124" s="381"/>
      <c r="LYO124" s="381"/>
      <c r="LYP124" s="381"/>
      <c r="LYQ124" s="381"/>
      <c r="LYR124" s="381"/>
      <c r="LYS124" s="381"/>
      <c r="LYT124" s="381"/>
      <c r="LYU124" s="381"/>
      <c r="LYV124" s="381"/>
      <c r="LYW124" s="381"/>
      <c r="LYX124" s="381"/>
      <c r="LYY124" s="381"/>
      <c r="LYZ124" s="381"/>
      <c r="LZA124" s="381"/>
      <c r="LZB124" s="381"/>
      <c r="LZC124" s="381"/>
      <c r="LZD124" s="381"/>
      <c r="LZE124" s="381"/>
      <c r="LZF124" s="381"/>
      <c r="LZG124" s="381"/>
      <c r="LZH124" s="381"/>
      <c r="LZI124" s="381"/>
      <c r="LZJ124" s="381"/>
      <c r="LZK124" s="381"/>
      <c r="LZL124" s="381"/>
      <c r="LZM124" s="381"/>
      <c r="LZN124" s="381"/>
      <c r="LZO124" s="381"/>
      <c r="LZP124" s="381"/>
      <c r="LZQ124" s="381"/>
      <c r="LZR124" s="381"/>
      <c r="LZS124" s="381"/>
      <c r="LZT124" s="381"/>
      <c r="LZU124" s="381"/>
      <c r="LZV124" s="381"/>
      <c r="LZW124" s="381"/>
      <c r="LZX124" s="381"/>
      <c r="LZY124" s="381"/>
      <c r="LZZ124" s="381"/>
      <c r="MAA124" s="381"/>
      <c r="MAB124" s="381"/>
      <c r="MAC124" s="381"/>
      <c r="MAD124" s="381"/>
      <c r="MAE124" s="381"/>
      <c r="MAF124" s="381"/>
      <c r="MAG124" s="381"/>
      <c r="MAH124" s="381"/>
      <c r="MAI124" s="381"/>
      <c r="MAJ124" s="381"/>
      <c r="MAK124" s="381"/>
      <c r="MAL124" s="381"/>
      <c r="MAM124" s="381"/>
      <c r="MAN124" s="381"/>
      <c r="MAO124" s="381"/>
      <c r="MAP124" s="381"/>
      <c r="MAQ124" s="381"/>
      <c r="MAR124" s="381"/>
      <c r="MAS124" s="381"/>
      <c r="MAT124" s="381"/>
      <c r="MAU124" s="381"/>
      <c r="MAV124" s="381"/>
      <c r="MAW124" s="381"/>
      <c r="MAX124" s="381"/>
      <c r="MAY124" s="381"/>
      <c r="MAZ124" s="381"/>
      <c r="MBA124" s="381"/>
      <c r="MBB124" s="381"/>
      <c r="MBC124" s="381"/>
      <c r="MBD124" s="381"/>
      <c r="MBE124" s="381"/>
      <c r="MBF124" s="381"/>
      <c r="MBG124" s="381"/>
      <c r="MBH124" s="381"/>
      <c r="MBI124" s="381"/>
      <c r="MBJ124" s="381"/>
      <c r="MBK124" s="381"/>
      <c r="MBL124" s="381"/>
      <c r="MBM124" s="381"/>
      <c r="MBN124" s="381"/>
      <c r="MBO124" s="381"/>
      <c r="MBP124" s="381"/>
      <c r="MBQ124" s="381"/>
      <c r="MBR124" s="381"/>
      <c r="MBS124" s="381"/>
      <c r="MBT124" s="381"/>
      <c r="MBU124" s="381"/>
      <c r="MBV124" s="381"/>
      <c r="MBW124" s="381"/>
      <c r="MBX124" s="381"/>
      <c r="MBY124" s="381"/>
      <c r="MBZ124" s="381"/>
      <c r="MCA124" s="381"/>
      <c r="MCB124" s="381"/>
      <c r="MCC124" s="381"/>
      <c r="MCD124" s="381"/>
      <c r="MCE124" s="381"/>
      <c r="MCF124" s="381"/>
      <c r="MCG124" s="381"/>
      <c r="MCH124" s="381"/>
      <c r="MCI124" s="381"/>
      <c r="MCJ124" s="381"/>
      <c r="MCK124" s="381"/>
      <c r="MCL124" s="381"/>
      <c r="MCM124" s="381"/>
      <c r="MCN124" s="381"/>
      <c r="MCO124" s="381"/>
      <c r="MCP124" s="381"/>
      <c r="MCQ124" s="381"/>
      <c r="MCR124" s="381"/>
      <c r="MCS124" s="381"/>
      <c r="MCT124" s="381"/>
      <c r="MCU124" s="381"/>
      <c r="MCV124" s="381"/>
      <c r="MCW124" s="381"/>
      <c r="MCX124" s="381"/>
      <c r="MCY124" s="381"/>
      <c r="MCZ124" s="381"/>
      <c r="MDA124" s="381"/>
      <c r="MDB124" s="381"/>
      <c r="MDC124" s="381"/>
      <c r="MDD124" s="381"/>
      <c r="MDE124" s="381"/>
      <c r="MDF124" s="381"/>
      <c r="MDG124" s="381"/>
      <c r="MDH124" s="381"/>
      <c r="MDI124" s="381"/>
      <c r="MDJ124" s="381"/>
      <c r="MDK124" s="381"/>
      <c r="MDL124" s="381"/>
      <c r="MDM124" s="381"/>
      <c r="MDN124" s="381"/>
      <c r="MDO124" s="381"/>
      <c r="MDP124" s="381"/>
      <c r="MDQ124" s="381"/>
      <c r="MDR124" s="381"/>
      <c r="MDS124" s="381"/>
      <c r="MDT124" s="381"/>
      <c r="MDU124" s="381"/>
      <c r="MDV124" s="381"/>
      <c r="MDW124" s="381"/>
      <c r="MDX124" s="381"/>
      <c r="MDY124" s="381"/>
      <c r="MDZ124" s="381"/>
      <c r="MEA124" s="381"/>
      <c r="MEB124" s="381"/>
      <c r="MEC124" s="381"/>
      <c r="MED124" s="381"/>
      <c r="MEE124" s="381"/>
      <c r="MEF124" s="381"/>
      <c r="MEG124" s="381"/>
      <c r="MEH124" s="381"/>
      <c r="MEI124" s="381"/>
      <c r="MEJ124" s="381"/>
      <c r="MEK124" s="381"/>
      <c r="MEL124" s="381"/>
      <c r="MEM124" s="381"/>
      <c r="MEN124" s="381"/>
      <c r="MEO124" s="381"/>
      <c r="MEP124" s="381"/>
      <c r="MEQ124" s="381"/>
      <c r="MER124" s="381"/>
      <c r="MES124" s="381"/>
      <c r="MET124" s="381"/>
      <c r="MEU124" s="381"/>
      <c r="MEV124" s="381"/>
      <c r="MEW124" s="381"/>
      <c r="MEX124" s="381"/>
      <c r="MEY124" s="381"/>
      <c r="MEZ124" s="381"/>
      <c r="MFA124" s="381"/>
      <c r="MFB124" s="381"/>
      <c r="MFC124" s="381"/>
      <c r="MFD124" s="381"/>
      <c r="MFE124" s="381"/>
      <c r="MFF124" s="381"/>
      <c r="MFG124" s="381"/>
      <c r="MFH124" s="381"/>
      <c r="MFI124" s="381"/>
      <c r="MFJ124" s="381"/>
      <c r="MFK124" s="381"/>
      <c r="MFL124" s="381"/>
      <c r="MFM124" s="381"/>
      <c r="MFN124" s="381"/>
      <c r="MFO124" s="381"/>
      <c r="MFP124" s="381"/>
      <c r="MFQ124" s="381"/>
      <c r="MFR124" s="381"/>
      <c r="MFS124" s="381"/>
      <c r="MFT124" s="381"/>
      <c r="MFU124" s="381"/>
      <c r="MFV124" s="381"/>
      <c r="MFW124" s="381"/>
      <c r="MFX124" s="381"/>
      <c r="MFY124" s="381"/>
      <c r="MFZ124" s="381"/>
      <c r="MGA124" s="381"/>
      <c r="MGB124" s="381"/>
      <c r="MGC124" s="381"/>
      <c r="MGD124" s="381"/>
      <c r="MGE124" s="381"/>
      <c r="MGF124" s="381"/>
      <c r="MGG124" s="381"/>
      <c r="MGH124" s="381"/>
      <c r="MGI124" s="381"/>
      <c r="MGJ124" s="381"/>
      <c r="MGK124" s="381"/>
      <c r="MGL124" s="381"/>
      <c r="MGM124" s="381"/>
      <c r="MGN124" s="381"/>
      <c r="MGO124" s="381"/>
      <c r="MGP124" s="381"/>
      <c r="MGQ124" s="381"/>
      <c r="MGR124" s="381"/>
      <c r="MGS124" s="381"/>
      <c r="MGT124" s="381"/>
      <c r="MGU124" s="381"/>
      <c r="MGV124" s="381"/>
      <c r="MGW124" s="381"/>
      <c r="MGX124" s="381"/>
      <c r="MGY124" s="381"/>
      <c r="MGZ124" s="381"/>
      <c r="MHA124" s="381"/>
      <c r="MHB124" s="381"/>
      <c r="MHC124" s="381"/>
      <c r="MHD124" s="381"/>
      <c r="MHE124" s="381"/>
      <c r="MHF124" s="381"/>
      <c r="MHG124" s="381"/>
      <c r="MHH124" s="381"/>
      <c r="MHI124" s="381"/>
      <c r="MHJ124" s="381"/>
      <c r="MHK124" s="381"/>
      <c r="MHL124" s="381"/>
      <c r="MHM124" s="381"/>
      <c r="MHN124" s="381"/>
      <c r="MHO124" s="381"/>
      <c r="MHP124" s="381"/>
      <c r="MHQ124" s="381"/>
      <c r="MHR124" s="381"/>
      <c r="MHS124" s="381"/>
      <c r="MHT124" s="381"/>
      <c r="MHU124" s="381"/>
      <c r="MHV124" s="381"/>
      <c r="MHW124" s="381"/>
      <c r="MHX124" s="381"/>
      <c r="MHY124" s="381"/>
      <c r="MHZ124" s="381"/>
      <c r="MIA124" s="381"/>
      <c r="MIB124" s="381"/>
      <c r="MIC124" s="381"/>
      <c r="MID124" s="381"/>
      <c r="MIE124" s="381"/>
      <c r="MIF124" s="381"/>
      <c r="MIG124" s="381"/>
      <c r="MIH124" s="381"/>
      <c r="MII124" s="381"/>
      <c r="MIJ124" s="381"/>
      <c r="MIK124" s="381"/>
      <c r="MIL124" s="381"/>
      <c r="MIM124" s="381"/>
      <c r="MIN124" s="381"/>
      <c r="MIO124" s="381"/>
      <c r="MIP124" s="381"/>
      <c r="MIQ124" s="381"/>
      <c r="MIR124" s="381"/>
      <c r="MIS124" s="381"/>
      <c r="MIT124" s="381"/>
      <c r="MIU124" s="381"/>
      <c r="MIV124" s="381"/>
      <c r="MIW124" s="381"/>
      <c r="MIX124" s="381"/>
      <c r="MIY124" s="381"/>
      <c r="MIZ124" s="381"/>
      <c r="MJA124" s="381"/>
      <c r="MJB124" s="381"/>
      <c r="MJC124" s="381"/>
      <c r="MJD124" s="381"/>
      <c r="MJE124" s="381"/>
      <c r="MJF124" s="381"/>
      <c r="MJG124" s="381"/>
      <c r="MJH124" s="381"/>
      <c r="MJI124" s="381"/>
      <c r="MJJ124" s="381"/>
      <c r="MJK124" s="381"/>
      <c r="MJL124" s="381"/>
      <c r="MJM124" s="381"/>
      <c r="MJN124" s="381"/>
      <c r="MJO124" s="381"/>
      <c r="MJP124" s="381"/>
      <c r="MJQ124" s="381"/>
      <c r="MJR124" s="381"/>
      <c r="MJS124" s="381"/>
      <c r="MJT124" s="381"/>
      <c r="MJU124" s="381"/>
      <c r="MJV124" s="381"/>
      <c r="MJW124" s="381"/>
      <c r="MJX124" s="381"/>
      <c r="MJY124" s="381"/>
      <c r="MJZ124" s="381"/>
      <c r="MKA124" s="381"/>
      <c r="MKB124" s="381"/>
      <c r="MKC124" s="381"/>
      <c r="MKD124" s="381"/>
      <c r="MKE124" s="381"/>
      <c r="MKF124" s="381"/>
      <c r="MKG124" s="381"/>
      <c r="MKH124" s="381"/>
      <c r="MKI124" s="381"/>
      <c r="MKJ124" s="381"/>
      <c r="MKK124" s="381"/>
      <c r="MKL124" s="381"/>
      <c r="MKM124" s="381"/>
      <c r="MKN124" s="381"/>
      <c r="MKO124" s="381"/>
      <c r="MKP124" s="381"/>
      <c r="MKQ124" s="381"/>
      <c r="MKR124" s="381"/>
      <c r="MKS124" s="381"/>
      <c r="MKT124" s="381"/>
      <c r="MKU124" s="381"/>
      <c r="MKV124" s="381"/>
      <c r="MKW124" s="381"/>
      <c r="MKX124" s="381"/>
      <c r="MKY124" s="381"/>
      <c r="MKZ124" s="381"/>
      <c r="MLA124" s="381"/>
      <c r="MLB124" s="381"/>
      <c r="MLC124" s="381"/>
      <c r="MLD124" s="381"/>
      <c r="MLE124" s="381"/>
      <c r="MLF124" s="381"/>
      <c r="MLG124" s="381"/>
      <c r="MLH124" s="381"/>
      <c r="MLI124" s="381"/>
      <c r="MLJ124" s="381"/>
      <c r="MLK124" s="381"/>
      <c r="MLL124" s="381"/>
      <c r="MLM124" s="381"/>
      <c r="MLN124" s="381"/>
      <c r="MLO124" s="381"/>
      <c r="MLP124" s="381"/>
      <c r="MLQ124" s="381"/>
      <c r="MLR124" s="381"/>
      <c r="MLS124" s="381"/>
      <c r="MLT124" s="381"/>
      <c r="MLU124" s="381"/>
      <c r="MLV124" s="381"/>
      <c r="MLW124" s="381"/>
      <c r="MLX124" s="381"/>
      <c r="MLY124" s="381"/>
      <c r="MLZ124" s="381"/>
      <c r="MMA124" s="381"/>
      <c r="MMB124" s="381"/>
      <c r="MMC124" s="381"/>
      <c r="MMD124" s="381"/>
      <c r="MME124" s="381"/>
      <c r="MMF124" s="381"/>
      <c r="MMG124" s="381"/>
      <c r="MMH124" s="381"/>
      <c r="MMI124" s="381"/>
      <c r="MMJ124" s="381"/>
      <c r="MMK124" s="381"/>
      <c r="MML124" s="381"/>
      <c r="MMM124" s="381"/>
      <c r="MMN124" s="381"/>
      <c r="MMO124" s="381"/>
      <c r="MMP124" s="381"/>
      <c r="MMQ124" s="381"/>
      <c r="MMR124" s="381"/>
      <c r="MMS124" s="381"/>
      <c r="MMT124" s="381"/>
      <c r="MMU124" s="381"/>
      <c r="MMV124" s="381"/>
      <c r="MMW124" s="381"/>
      <c r="MMX124" s="381"/>
      <c r="MMY124" s="381"/>
      <c r="MMZ124" s="381"/>
      <c r="MNA124" s="381"/>
      <c r="MNB124" s="381"/>
      <c r="MNC124" s="381"/>
      <c r="MND124" s="381"/>
      <c r="MNE124" s="381"/>
      <c r="MNF124" s="381"/>
      <c r="MNG124" s="381"/>
      <c r="MNH124" s="381"/>
      <c r="MNI124" s="381"/>
      <c r="MNJ124" s="381"/>
      <c r="MNK124" s="381"/>
      <c r="MNL124" s="381"/>
      <c r="MNM124" s="381"/>
      <c r="MNN124" s="381"/>
      <c r="MNO124" s="381"/>
      <c r="MNP124" s="381"/>
      <c r="MNQ124" s="381"/>
      <c r="MNR124" s="381"/>
      <c r="MNS124" s="381"/>
      <c r="MNT124" s="381"/>
      <c r="MNU124" s="381"/>
      <c r="MNV124" s="381"/>
      <c r="MNW124" s="381"/>
      <c r="MNX124" s="381"/>
      <c r="MNY124" s="381"/>
      <c r="MNZ124" s="381"/>
      <c r="MOA124" s="381"/>
      <c r="MOB124" s="381"/>
      <c r="MOC124" s="381"/>
      <c r="MOD124" s="381"/>
      <c r="MOE124" s="381"/>
      <c r="MOF124" s="381"/>
      <c r="MOG124" s="381"/>
      <c r="MOH124" s="381"/>
      <c r="MOI124" s="381"/>
      <c r="MOJ124" s="381"/>
      <c r="MOK124" s="381"/>
      <c r="MOL124" s="381"/>
      <c r="MOM124" s="381"/>
      <c r="MON124" s="381"/>
      <c r="MOO124" s="381"/>
      <c r="MOP124" s="381"/>
      <c r="MOQ124" s="381"/>
      <c r="MOR124" s="381"/>
      <c r="MOS124" s="381"/>
      <c r="MOT124" s="381"/>
      <c r="MOU124" s="381"/>
      <c r="MOV124" s="381"/>
      <c r="MOW124" s="381"/>
      <c r="MOX124" s="381"/>
      <c r="MOY124" s="381"/>
      <c r="MOZ124" s="381"/>
      <c r="MPA124" s="381"/>
      <c r="MPB124" s="381"/>
      <c r="MPC124" s="381"/>
      <c r="MPD124" s="381"/>
      <c r="MPE124" s="381"/>
      <c r="MPF124" s="381"/>
      <c r="MPG124" s="381"/>
      <c r="MPH124" s="381"/>
      <c r="MPI124" s="381"/>
      <c r="MPJ124" s="381"/>
      <c r="MPK124" s="381"/>
      <c r="MPL124" s="381"/>
      <c r="MPM124" s="381"/>
      <c r="MPN124" s="381"/>
      <c r="MPO124" s="381"/>
      <c r="MPP124" s="381"/>
      <c r="MPQ124" s="381"/>
      <c r="MPR124" s="381"/>
      <c r="MPS124" s="381"/>
      <c r="MPT124" s="381"/>
      <c r="MPU124" s="381"/>
      <c r="MPV124" s="381"/>
      <c r="MPW124" s="381"/>
      <c r="MPX124" s="381"/>
      <c r="MPY124" s="381"/>
      <c r="MPZ124" s="381"/>
      <c r="MQA124" s="381"/>
      <c r="MQB124" s="381"/>
      <c r="MQC124" s="381"/>
      <c r="MQD124" s="381"/>
      <c r="MQE124" s="381"/>
      <c r="MQF124" s="381"/>
      <c r="MQG124" s="381"/>
      <c r="MQH124" s="381"/>
      <c r="MQI124" s="381"/>
      <c r="MQJ124" s="381"/>
      <c r="MQK124" s="381"/>
      <c r="MQL124" s="381"/>
      <c r="MQM124" s="381"/>
      <c r="MQN124" s="381"/>
      <c r="MQO124" s="381"/>
      <c r="MQP124" s="381"/>
      <c r="MQQ124" s="381"/>
      <c r="MQR124" s="381"/>
      <c r="MQS124" s="381"/>
      <c r="MQT124" s="381"/>
      <c r="MQU124" s="381"/>
      <c r="MQV124" s="381"/>
      <c r="MQW124" s="381"/>
      <c r="MQX124" s="381"/>
      <c r="MQY124" s="381"/>
      <c r="MQZ124" s="381"/>
      <c r="MRA124" s="381"/>
      <c r="MRB124" s="381"/>
      <c r="MRC124" s="381"/>
      <c r="MRD124" s="381"/>
      <c r="MRE124" s="381"/>
      <c r="MRF124" s="381"/>
      <c r="MRG124" s="381"/>
      <c r="MRH124" s="381"/>
      <c r="MRI124" s="381"/>
      <c r="MRJ124" s="381"/>
      <c r="MRK124" s="381"/>
      <c r="MRL124" s="381"/>
      <c r="MRM124" s="381"/>
      <c r="MRN124" s="381"/>
      <c r="MRO124" s="381"/>
      <c r="MRP124" s="381"/>
      <c r="MRQ124" s="381"/>
      <c r="MRR124" s="381"/>
      <c r="MRS124" s="381"/>
      <c r="MRT124" s="381"/>
      <c r="MRU124" s="381"/>
      <c r="MRV124" s="381"/>
      <c r="MRW124" s="381"/>
      <c r="MRX124" s="381"/>
      <c r="MRY124" s="381"/>
      <c r="MRZ124" s="381"/>
      <c r="MSA124" s="381"/>
      <c r="MSB124" s="381"/>
      <c r="MSC124" s="381"/>
      <c r="MSD124" s="381"/>
      <c r="MSE124" s="381"/>
      <c r="MSF124" s="381"/>
      <c r="MSG124" s="381"/>
      <c r="MSH124" s="381"/>
      <c r="MSI124" s="381"/>
      <c r="MSJ124" s="381"/>
      <c r="MSK124" s="381"/>
      <c r="MSL124" s="381"/>
      <c r="MSM124" s="381"/>
      <c r="MSN124" s="381"/>
      <c r="MSO124" s="381"/>
      <c r="MSP124" s="381"/>
      <c r="MSQ124" s="381"/>
      <c r="MSR124" s="381"/>
      <c r="MSS124" s="381"/>
      <c r="MST124" s="381"/>
      <c r="MSU124" s="381"/>
      <c r="MSV124" s="381"/>
      <c r="MSW124" s="381"/>
      <c r="MSX124" s="381"/>
      <c r="MSY124" s="381"/>
      <c r="MSZ124" s="381"/>
      <c r="MTA124" s="381"/>
      <c r="MTB124" s="381"/>
      <c r="MTC124" s="381"/>
      <c r="MTD124" s="381"/>
      <c r="MTE124" s="381"/>
      <c r="MTF124" s="381"/>
      <c r="MTG124" s="381"/>
      <c r="MTH124" s="381"/>
      <c r="MTI124" s="381"/>
      <c r="MTJ124" s="381"/>
      <c r="MTK124" s="381"/>
      <c r="MTL124" s="381"/>
      <c r="MTM124" s="381"/>
      <c r="MTN124" s="381"/>
      <c r="MTO124" s="381"/>
      <c r="MTP124" s="381"/>
      <c r="MTQ124" s="381"/>
      <c r="MTR124" s="381"/>
      <c r="MTS124" s="381"/>
      <c r="MTT124" s="381"/>
      <c r="MTU124" s="381"/>
      <c r="MTV124" s="381"/>
      <c r="MTW124" s="381"/>
      <c r="MTX124" s="381"/>
      <c r="MTY124" s="381"/>
      <c r="MTZ124" s="381"/>
      <c r="MUA124" s="381"/>
      <c r="MUB124" s="381"/>
      <c r="MUC124" s="381"/>
      <c r="MUD124" s="381"/>
      <c r="MUE124" s="381"/>
      <c r="MUF124" s="381"/>
      <c r="MUG124" s="381"/>
      <c r="MUH124" s="381"/>
      <c r="MUI124" s="381"/>
      <c r="MUJ124" s="381"/>
      <c r="MUK124" s="381"/>
      <c r="MUL124" s="381"/>
      <c r="MUM124" s="381"/>
      <c r="MUN124" s="381"/>
      <c r="MUO124" s="381"/>
      <c r="MUP124" s="381"/>
      <c r="MUQ124" s="381"/>
      <c r="MUR124" s="381"/>
      <c r="MUS124" s="381"/>
      <c r="MUT124" s="381"/>
      <c r="MUU124" s="381"/>
      <c r="MUV124" s="381"/>
      <c r="MUW124" s="381"/>
      <c r="MUX124" s="381"/>
      <c r="MUY124" s="381"/>
      <c r="MUZ124" s="381"/>
      <c r="MVA124" s="381"/>
      <c r="MVB124" s="381"/>
      <c r="MVC124" s="381"/>
      <c r="MVD124" s="381"/>
      <c r="MVE124" s="381"/>
      <c r="MVF124" s="381"/>
      <c r="MVG124" s="381"/>
      <c r="MVH124" s="381"/>
      <c r="MVI124" s="381"/>
      <c r="MVJ124" s="381"/>
      <c r="MVK124" s="381"/>
      <c r="MVL124" s="381"/>
      <c r="MVM124" s="381"/>
      <c r="MVN124" s="381"/>
      <c r="MVO124" s="381"/>
      <c r="MVP124" s="381"/>
      <c r="MVQ124" s="381"/>
      <c r="MVR124" s="381"/>
      <c r="MVS124" s="381"/>
      <c r="MVT124" s="381"/>
      <c r="MVU124" s="381"/>
      <c r="MVV124" s="381"/>
      <c r="MVW124" s="381"/>
      <c r="MVX124" s="381"/>
      <c r="MVY124" s="381"/>
      <c r="MVZ124" s="381"/>
      <c r="MWA124" s="381"/>
      <c r="MWB124" s="381"/>
      <c r="MWC124" s="381"/>
      <c r="MWD124" s="381"/>
      <c r="MWE124" s="381"/>
      <c r="MWF124" s="381"/>
      <c r="MWG124" s="381"/>
      <c r="MWH124" s="381"/>
      <c r="MWI124" s="381"/>
      <c r="MWJ124" s="381"/>
      <c r="MWK124" s="381"/>
      <c r="MWL124" s="381"/>
      <c r="MWM124" s="381"/>
      <c r="MWN124" s="381"/>
      <c r="MWO124" s="381"/>
      <c r="MWP124" s="381"/>
      <c r="MWQ124" s="381"/>
      <c r="MWR124" s="381"/>
      <c r="MWS124" s="381"/>
      <c r="MWT124" s="381"/>
      <c r="MWU124" s="381"/>
      <c r="MWV124" s="381"/>
      <c r="MWW124" s="381"/>
      <c r="MWX124" s="381"/>
      <c r="MWY124" s="381"/>
      <c r="MWZ124" s="381"/>
      <c r="MXA124" s="381"/>
      <c r="MXB124" s="381"/>
      <c r="MXC124" s="381"/>
      <c r="MXD124" s="381"/>
      <c r="MXE124" s="381"/>
      <c r="MXF124" s="381"/>
      <c r="MXG124" s="381"/>
      <c r="MXH124" s="381"/>
      <c r="MXI124" s="381"/>
      <c r="MXJ124" s="381"/>
      <c r="MXK124" s="381"/>
      <c r="MXL124" s="381"/>
      <c r="MXM124" s="381"/>
      <c r="MXN124" s="381"/>
      <c r="MXO124" s="381"/>
      <c r="MXP124" s="381"/>
      <c r="MXQ124" s="381"/>
      <c r="MXR124" s="381"/>
      <c r="MXS124" s="381"/>
      <c r="MXT124" s="381"/>
      <c r="MXU124" s="381"/>
      <c r="MXV124" s="381"/>
      <c r="MXW124" s="381"/>
      <c r="MXX124" s="381"/>
      <c r="MXY124" s="381"/>
      <c r="MXZ124" s="381"/>
      <c r="MYA124" s="381"/>
      <c r="MYB124" s="381"/>
      <c r="MYC124" s="381"/>
      <c r="MYD124" s="381"/>
      <c r="MYE124" s="381"/>
      <c r="MYF124" s="381"/>
      <c r="MYG124" s="381"/>
      <c r="MYH124" s="381"/>
      <c r="MYI124" s="381"/>
      <c r="MYJ124" s="381"/>
      <c r="MYK124" s="381"/>
      <c r="MYL124" s="381"/>
      <c r="MYM124" s="381"/>
      <c r="MYN124" s="381"/>
      <c r="MYO124" s="381"/>
      <c r="MYP124" s="381"/>
      <c r="MYQ124" s="381"/>
      <c r="MYR124" s="381"/>
      <c r="MYS124" s="381"/>
      <c r="MYT124" s="381"/>
      <c r="MYU124" s="381"/>
      <c r="MYV124" s="381"/>
      <c r="MYW124" s="381"/>
      <c r="MYX124" s="381"/>
      <c r="MYY124" s="381"/>
      <c r="MYZ124" s="381"/>
      <c r="MZA124" s="381"/>
      <c r="MZB124" s="381"/>
      <c r="MZC124" s="381"/>
      <c r="MZD124" s="381"/>
      <c r="MZE124" s="381"/>
      <c r="MZF124" s="381"/>
      <c r="MZG124" s="381"/>
      <c r="MZH124" s="381"/>
      <c r="MZI124" s="381"/>
      <c r="MZJ124" s="381"/>
      <c r="MZK124" s="381"/>
      <c r="MZL124" s="381"/>
      <c r="MZM124" s="381"/>
      <c r="MZN124" s="381"/>
      <c r="MZO124" s="381"/>
      <c r="MZP124" s="381"/>
      <c r="MZQ124" s="381"/>
      <c r="MZR124" s="381"/>
      <c r="MZS124" s="381"/>
      <c r="MZT124" s="381"/>
      <c r="MZU124" s="381"/>
      <c r="MZV124" s="381"/>
      <c r="MZW124" s="381"/>
      <c r="MZX124" s="381"/>
      <c r="MZY124" s="381"/>
      <c r="MZZ124" s="381"/>
      <c r="NAA124" s="381"/>
      <c r="NAB124" s="381"/>
      <c r="NAC124" s="381"/>
      <c r="NAD124" s="381"/>
      <c r="NAE124" s="381"/>
      <c r="NAF124" s="381"/>
      <c r="NAG124" s="381"/>
      <c r="NAH124" s="381"/>
      <c r="NAI124" s="381"/>
      <c r="NAJ124" s="381"/>
      <c r="NAK124" s="381"/>
      <c r="NAL124" s="381"/>
      <c r="NAM124" s="381"/>
      <c r="NAN124" s="381"/>
      <c r="NAO124" s="381"/>
      <c r="NAP124" s="381"/>
      <c r="NAQ124" s="381"/>
      <c r="NAR124" s="381"/>
      <c r="NAS124" s="381"/>
      <c r="NAT124" s="381"/>
      <c r="NAU124" s="381"/>
      <c r="NAV124" s="381"/>
      <c r="NAW124" s="381"/>
      <c r="NAX124" s="381"/>
      <c r="NAY124" s="381"/>
      <c r="NAZ124" s="381"/>
      <c r="NBA124" s="381"/>
      <c r="NBB124" s="381"/>
      <c r="NBC124" s="381"/>
      <c r="NBD124" s="381"/>
      <c r="NBE124" s="381"/>
      <c r="NBF124" s="381"/>
      <c r="NBG124" s="381"/>
      <c r="NBH124" s="381"/>
      <c r="NBI124" s="381"/>
      <c r="NBJ124" s="381"/>
      <c r="NBK124" s="381"/>
      <c r="NBL124" s="381"/>
      <c r="NBM124" s="381"/>
      <c r="NBN124" s="381"/>
      <c r="NBO124" s="381"/>
      <c r="NBP124" s="381"/>
      <c r="NBQ124" s="381"/>
      <c r="NBR124" s="381"/>
      <c r="NBS124" s="381"/>
      <c r="NBT124" s="381"/>
      <c r="NBU124" s="381"/>
      <c r="NBV124" s="381"/>
      <c r="NBW124" s="381"/>
      <c r="NBX124" s="381"/>
      <c r="NBY124" s="381"/>
      <c r="NBZ124" s="381"/>
      <c r="NCA124" s="381"/>
      <c r="NCB124" s="381"/>
      <c r="NCC124" s="381"/>
      <c r="NCD124" s="381"/>
      <c r="NCE124" s="381"/>
      <c r="NCF124" s="381"/>
      <c r="NCG124" s="381"/>
      <c r="NCH124" s="381"/>
      <c r="NCI124" s="381"/>
      <c r="NCJ124" s="381"/>
      <c r="NCK124" s="381"/>
      <c r="NCL124" s="381"/>
      <c r="NCM124" s="381"/>
      <c r="NCN124" s="381"/>
      <c r="NCO124" s="381"/>
      <c r="NCP124" s="381"/>
      <c r="NCQ124" s="381"/>
      <c r="NCR124" s="381"/>
      <c r="NCS124" s="381"/>
      <c r="NCT124" s="381"/>
      <c r="NCU124" s="381"/>
      <c r="NCV124" s="381"/>
      <c r="NCW124" s="381"/>
      <c r="NCX124" s="381"/>
      <c r="NCY124" s="381"/>
      <c r="NCZ124" s="381"/>
      <c r="NDA124" s="381"/>
      <c r="NDB124" s="381"/>
      <c r="NDC124" s="381"/>
      <c r="NDD124" s="381"/>
      <c r="NDE124" s="381"/>
      <c r="NDF124" s="381"/>
      <c r="NDG124" s="381"/>
      <c r="NDH124" s="381"/>
      <c r="NDI124" s="381"/>
      <c r="NDJ124" s="381"/>
      <c r="NDK124" s="381"/>
      <c r="NDL124" s="381"/>
      <c r="NDM124" s="381"/>
      <c r="NDN124" s="381"/>
      <c r="NDO124" s="381"/>
      <c r="NDP124" s="381"/>
      <c r="NDQ124" s="381"/>
      <c r="NDR124" s="381"/>
      <c r="NDS124" s="381"/>
      <c r="NDT124" s="381"/>
      <c r="NDU124" s="381"/>
      <c r="NDV124" s="381"/>
      <c r="NDW124" s="381"/>
      <c r="NDX124" s="381"/>
      <c r="NDY124" s="381"/>
      <c r="NDZ124" s="381"/>
      <c r="NEA124" s="381"/>
      <c r="NEB124" s="381"/>
      <c r="NEC124" s="381"/>
      <c r="NED124" s="381"/>
      <c r="NEE124" s="381"/>
      <c r="NEF124" s="381"/>
      <c r="NEG124" s="381"/>
      <c r="NEH124" s="381"/>
      <c r="NEI124" s="381"/>
      <c r="NEJ124" s="381"/>
      <c r="NEK124" s="381"/>
      <c r="NEL124" s="381"/>
      <c r="NEM124" s="381"/>
      <c r="NEN124" s="381"/>
      <c r="NEO124" s="381"/>
      <c r="NEP124" s="381"/>
      <c r="NEQ124" s="381"/>
      <c r="NER124" s="381"/>
      <c r="NES124" s="381"/>
      <c r="NET124" s="381"/>
      <c r="NEU124" s="381"/>
      <c r="NEV124" s="381"/>
      <c r="NEW124" s="381"/>
      <c r="NEX124" s="381"/>
      <c r="NEY124" s="381"/>
      <c r="NEZ124" s="381"/>
      <c r="NFA124" s="381"/>
      <c r="NFB124" s="381"/>
      <c r="NFC124" s="381"/>
      <c r="NFD124" s="381"/>
      <c r="NFE124" s="381"/>
      <c r="NFF124" s="381"/>
      <c r="NFG124" s="381"/>
      <c r="NFH124" s="381"/>
      <c r="NFI124" s="381"/>
      <c r="NFJ124" s="381"/>
      <c r="NFK124" s="381"/>
      <c r="NFL124" s="381"/>
      <c r="NFM124" s="381"/>
      <c r="NFN124" s="381"/>
      <c r="NFO124" s="381"/>
      <c r="NFP124" s="381"/>
      <c r="NFQ124" s="381"/>
      <c r="NFR124" s="381"/>
      <c r="NFS124" s="381"/>
      <c r="NFT124" s="381"/>
      <c r="NFU124" s="381"/>
      <c r="NFV124" s="381"/>
      <c r="NFW124" s="381"/>
      <c r="NFX124" s="381"/>
      <c r="NFY124" s="381"/>
      <c r="NFZ124" s="381"/>
      <c r="NGA124" s="381"/>
      <c r="NGB124" s="381"/>
      <c r="NGC124" s="381"/>
      <c r="NGD124" s="381"/>
      <c r="NGE124" s="381"/>
      <c r="NGF124" s="381"/>
      <c r="NGG124" s="381"/>
      <c r="NGH124" s="381"/>
      <c r="NGI124" s="381"/>
      <c r="NGJ124" s="381"/>
      <c r="NGK124" s="381"/>
      <c r="NGL124" s="381"/>
      <c r="NGM124" s="381"/>
      <c r="NGN124" s="381"/>
      <c r="NGO124" s="381"/>
      <c r="NGP124" s="381"/>
      <c r="NGQ124" s="381"/>
      <c r="NGR124" s="381"/>
      <c r="NGS124" s="381"/>
      <c r="NGT124" s="381"/>
      <c r="NGU124" s="381"/>
      <c r="NGV124" s="381"/>
      <c r="NGW124" s="381"/>
      <c r="NGX124" s="381"/>
      <c r="NGY124" s="381"/>
      <c r="NGZ124" s="381"/>
      <c r="NHA124" s="381"/>
      <c r="NHB124" s="381"/>
      <c r="NHC124" s="381"/>
      <c r="NHD124" s="381"/>
      <c r="NHE124" s="381"/>
      <c r="NHF124" s="381"/>
      <c r="NHG124" s="381"/>
      <c r="NHH124" s="381"/>
      <c r="NHI124" s="381"/>
      <c r="NHJ124" s="381"/>
      <c r="NHK124" s="381"/>
      <c r="NHL124" s="381"/>
      <c r="NHM124" s="381"/>
      <c r="NHN124" s="381"/>
      <c r="NHO124" s="381"/>
      <c r="NHP124" s="381"/>
      <c r="NHQ124" s="381"/>
      <c r="NHR124" s="381"/>
      <c r="NHS124" s="381"/>
      <c r="NHT124" s="381"/>
      <c r="NHU124" s="381"/>
      <c r="NHV124" s="381"/>
      <c r="NHW124" s="381"/>
      <c r="NHX124" s="381"/>
      <c r="NHY124" s="381"/>
      <c r="NHZ124" s="381"/>
      <c r="NIA124" s="381"/>
      <c r="NIB124" s="381"/>
      <c r="NIC124" s="381"/>
      <c r="NID124" s="381"/>
      <c r="NIE124" s="381"/>
      <c r="NIF124" s="381"/>
      <c r="NIG124" s="381"/>
      <c r="NIH124" s="381"/>
      <c r="NII124" s="381"/>
      <c r="NIJ124" s="381"/>
      <c r="NIK124" s="381"/>
      <c r="NIL124" s="381"/>
      <c r="NIM124" s="381"/>
      <c r="NIN124" s="381"/>
      <c r="NIO124" s="381"/>
      <c r="NIP124" s="381"/>
      <c r="NIQ124" s="381"/>
      <c r="NIR124" s="381"/>
      <c r="NIS124" s="381"/>
      <c r="NIT124" s="381"/>
      <c r="NIU124" s="381"/>
      <c r="NIV124" s="381"/>
      <c r="NIW124" s="381"/>
      <c r="NIX124" s="381"/>
      <c r="NIY124" s="381"/>
      <c r="NIZ124" s="381"/>
      <c r="NJA124" s="381"/>
      <c r="NJB124" s="381"/>
      <c r="NJC124" s="381"/>
      <c r="NJD124" s="381"/>
      <c r="NJE124" s="381"/>
      <c r="NJF124" s="381"/>
      <c r="NJG124" s="381"/>
      <c r="NJH124" s="381"/>
      <c r="NJI124" s="381"/>
      <c r="NJJ124" s="381"/>
      <c r="NJK124" s="381"/>
      <c r="NJL124" s="381"/>
      <c r="NJM124" s="381"/>
      <c r="NJN124" s="381"/>
      <c r="NJO124" s="381"/>
      <c r="NJP124" s="381"/>
      <c r="NJQ124" s="381"/>
      <c r="NJR124" s="381"/>
      <c r="NJS124" s="381"/>
      <c r="NJT124" s="381"/>
      <c r="NJU124" s="381"/>
      <c r="NJV124" s="381"/>
      <c r="NJW124" s="381"/>
      <c r="NJX124" s="381"/>
      <c r="NJY124" s="381"/>
      <c r="NJZ124" s="381"/>
      <c r="NKA124" s="381"/>
      <c r="NKB124" s="381"/>
      <c r="NKC124" s="381"/>
      <c r="NKD124" s="381"/>
      <c r="NKE124" s="381"/>
      <c r="NKF124" s="381"/>
      <c r="NKG124" s="381"/>
      <c r="NKH124" s="381"/>
      <c r="NKI124" s="381"/>
      <c r="NKJ124" s="381"/>
      <c r="NKK124" s="381"/>
      <c r="NKL124" s="381"/>
      <c r="NKM124" s="381"/>
      <c r="NKN124" s="381"/>
      <c r="NKO124" s="381"/>
      <c r="NKP124" s="381"/>
      <c r="NKQ124" s="381"/>
      <c r="NKR124" s="381"/>
      <c r="NKS124" s="381"/>
      <c r="NKT124" s="381"/>
      <c r="NKU124" s="381"/>
      <c r="NKV124" s="381"/>
      <c r="NKW124" s="381"/>
      <c r="NKX124" s="381"/>
      <c r="NKY124" s="381"/>
      <c r="NKZ124" s="381"/>
      <c r="NLA124" s="381"/>
      <c r="NLB124" s="381"/>
      <c r="NLC124" s="381"/>
      <c r="NLD124" s="381"/>
      <c r="NLE124" s="381"/>
      <c r="NLF124" s="381"/>
      <c r="NLG124" s="381"/>
      <c r="NLH124" s="381"/>
      <c r="NLI124" s="381"/>
      <c r="NLJ124" s="381"/>
      <c r="NLK124" s="381"/>
      <c r="NLL124" s="381"/>
      <c r="NLM124" s="381"/>
      <c r="NLN124" s="381"/>
      <c r="NLO124" s="381"/>
      <c r="NLP124" s="381"/>
      <c r="NLQ124" s="381"/>
      <c r="NLR124" s="381"/>
      <c r="NLS124" s="381"/>
      <c r="NLT124" s="381"/>
      <c r="NLU124" s="381"/>
      <c r="NLV124" s="381"/>
      <c r="NLW124" s="381"/>
      <c r="NLX124" s="381"/>
      <c r="NLY124" s="381"/>
      <c r="NLZ124" s="381"/>
      <c r="NMA124" s="381"/>
      <c r="NMB124" s="381"/>
      <c r="NMC124" s="381"/>
      <c r="NMD124" s="381"/>
      <c r="NME124" s="381"/>
      <c r="NMF124" s="381"/>
      <c r="NMG124" s="381"/>
      <c r="NMH124" s="381"/>
      <c r="NMI124" s="381"/>
      <c r="NMJ124" s="381"/>
      <c r="NMK124" s="381"/>
      <c r="NML124" s="381"/>
      <c r="NMM124" s="381"/>
      <c r="NMN124" s="381"/>
      <c r="NMO124" s="381"/>
      <c r="NMP124" s="381"/>
      <c r="NMQ124" s="381"/>
      <c r="NMR124" s="381"/>
      <c r="NMS124" s="381"/>
      <c r="NMT124" s="381"/>
      <c r="NMU124" s="381"/>
      <c r="NMV124" s="381"/>
      <c r="NMW124" s="381"/>
      <c r="NMX124" s="381"/>
      <c r="NMY124" s="381"/>
      <c r="NMZ124" s="381"/>
      <c r="NNA124" s="381"/>
      <c r="NNB124" s="381"/>
      <c r="NNC124" s="381"/>
      <c r="NND124" s="381"/>
      <c r="NNE124" s="381"/>
      <c r="NNF124" s="381"/>
      <c r="NNG124" s="381"/>
      <c r="NNH124" s="381"/>
      <c r="NNI124" s="381"/>
      <c r="NNJ124" s="381"/>
      <c r="NNK124" s="381"/>
      <c r="NNL124" s="381"/>
      <c r="NNM124" s="381"/>
      <c r="NNN124" s="381"/>
      <c r="NNO124" s="381"/>
      <c r="NNP124" s="381"/>
      <c r="NNQ124" s="381"/>
      <c r="NNR124" s="381"/>
      <c r="NNS124" s="381"/>
      <c r="NNT124" s="381"/>
      <c r="NNU124" s="381"/>
      <c r="NNV124" s="381"/>
      <c r="NNW124" s="381"/>
      <c r="NNX124" s="381"/>
      <c r="NNY124" s="381"/>
      <c r="NNZ124" s="381"/>
      <c r="NOA124" s="381"/>
      <c r="NOB124" s="381"/>
      <c r="NOC124" s="381"/>
      <c r="NOD124" s="381"/>
      <c r="NOE124" s="381"/>
      <c r="NOF124" s="381"/>
      <c r="NOG124" s="381"/>
      <c r="NOH124" s="381"/>
      <c r="NOI124" s="381"/>
      <c r="NOJ124" s="381"/>
      <c r="NOK124" s="381"/>
      <c r="NOL124" s="381"/>
      <c r="NOM124" s="381"/>
      <c r="NON124" s="381"/>
      <c r="NOO124" s="381"/>
      <c r="NOP124" s="381"/>
      <c r="NOQ124" s="381"/>
      <c r="NOR124" s="381"/>
      <c r="NOS124" s="381"/>
      <c r="NOT124" s="381"/>
      <c r="NOU124" s="381"/>
      <c r="NOV124" s="381"/>
      <c r="NOW124" s="381"/>
      <c r="NOX124" s="381"/>
      <c r="NOY124" s="381"/>
      <c r="NOZ124" s="381"/>
      <c r="NPA124" s="381"/>
      <c r="NPB124" s="381"/>
      <c r="NPC124" s="381"/>
      <c r="NPD124" s="381"/>
      <c r="NPE124" s="381"/>
      <c r="NPF124" s="381"/>
      <c r="NPG124" s="381"/>
      <c r="NPH124" s="381"/>
      <c r="NPI124" s="381"/>
      <c r="NPJ124" s="381"/>
      <c r="NPK124" s="381"/>
      <c r="NPL124" s="381"/>
      <c r="NPM124" s="381"/>
      <c r="NPN124" s="381"/>
      <c r="NPO124" s="381"/>
      <c r="NPP124" s="381"/>
      <c r="NPQ124" s="381"/>
      <c r="NPR124" s="381"/>
      <c r="NPS124" s="381"/>
      <c r="NPT124" s="381"/>
      <c r="NPU124" s="381"/>
      <c r="NPV124" s="381"/>
      <c r="NPW124" s="381"/>
      <c r="NPX124" s="381"/>
      <c r="NPY124" s="381"/>
      <c r="NPZ124" s="381"/>
      <c r="NQA124" s="381"/>
      <c r="NQB124" s="381"/>
      <c r="NQC124" s="381"/>
      <c r="NQD124" s="381"/>
      <c r="NQE124" s="381"/>
      <c r="NQF124" s="381"/>
      <c r="NQG124" s="381"/>
      <c r="NQH124" s="381"/>
      <c r="NQI124" s="381"/>
      <c r="NQJ124" s="381"/>
      <c r="NQK124" s="381"/>
      <c r="NQL124" s="381"/>
      <c r="NQM124" s="381"/>
      <c r="NQN124" s="381"/>
      <c r="NQO124" s="381"/>
      <c r="NQP124" s="381"/>
      <c r="NQQ124" s="381"/>
      <c r="NQR124" s="381"/>
      <c r="NQS124" s="381"/>
      <c r="NQT124" s="381"/>
      <c r="NQU124" s="381"/>
      <c r="NQV124" s="381"/>
      <c r="NQW124" s="381"/>
      <c r="NQX124" s="381"/>
      <c r="NQY124" s="381"/>
      <c r="NQZ124" s="381"/>
      <c r="NRA124" s="381"/>
      <c r="NRB124" s="381"/>
      <c r="NRC124" s="381"/>
      <c r="NRD124" s="381"/>
      <c r="NRE124" s="381"/>
      <c r="NRF124" s="381"/>
      <c r="NRG124" s="381"/>
      <c r="NRH124" s="381"/>
      <c r="NRI124" s="381"/>
      <c r="NRJ124" s="381"/>
      <c r="NRK124" s="381"/>
      <c r="NRL124" s="381"/>
      <c r="NRM124" s="381"/>
      <c r="NRN124" s="381"/>
      <c r="NRO124" s="381"/>
      <c r="NRP124" s="381"/>
      <c r="NRQ124" s="381"/>
      <c r="NRR124" s="381"/>
      <c r="NRS124" s="381"/>
      <c r="NRT124" s="381"/>
      <c r="NRU124" s="381"/>
      <c r="NRV124" s="381"/>
      <c r="NRW124" s="381"/>
      <c r="NRX124" s="381"/>
      <c r="NRY124" s="381"/>
      <c r="NRZ124" s="381"/>
      <c r="NSA124" s="381"/>
      <c r="NSB124" s="381"/>
      <c r="NSC124" s="381"/>
      <c r="NSD124" s="381"/>
      <c r="NSE124" s="381"/>
      <c r="NSF124" s="381"/>
      <c r="NSG124" s="381"/>
      <c r="NSH124" s="381"/>
      <c r="NSI124" s="381"/>
      <c r="NSJ124" s="381"/>
      <c r="NSK124" s="381"/>
      <c r="NSL124" s="381"/>
      <c r="NSM124" s="381"/>
      <c r="NSN124" s="381"/>
      <c r="NSO124" s="381"/>
      <c r="NSP124" s="381"/>
      <c r="NSQ124" s="381"/>
      <c r="NSR124" s="381"/>
      <c r="NSS124" s="381"/>
      <c r="NST124" s="381"/>
      <c r="NSU124" s="381"/>
      <c r="NSV124" s="381"/>
      <c r="NSW124" s="381"/>
      <c r="NSX124" s="381"/>
      <c r="NSY124" s="381"/>
      <c r="NSZ124" s="381"/>
      <c r="NTA124" s="381"/>
      <c r="NTB124" s="381"/>
      <c r="NTC124" s="381"/>
      <c r="NTD124" s="381"/>
      <c r="NTE124" s="381"/>
      <c r="NTF124" s="381"/>
      <c r="NTG124" s="381"/>
      <c r="NTH124" s="381"/>
      <c r="NTI124" s="381"/>
      <c r="NTJ124" s="381"/>
      <c r="NTK124" s="381"/>
      <c r="NTL124" s="381"/>
      <c r="NTM124" s="381"/>
      <c r="NTN124" s="381"/>
      <c r="NTO124" s="381"/>
      <c r="NTP124" s="381"/>
      <c r="NTQ124" s="381"/>
      <c r="NTR124" s="381"/>
      <c r="NTS124" s="381"/>
      <c r="NTT124" s="381"/>
      <c r="NTU124" s="381"/>
      <c r="NTV124" s="381"/>
      <c r="NTW124" s="381"/>
      <c r="NTX124" s="381"/>
      <c r="NTY124" s="381"/>
      <c r="NTZ124" s="381"/>
      <c r="NUA124" s="381"/>
      <c r="NUB124" s="381"/>
      <c r="NUC124" s="381"/>
      <c r="NUD124" s="381"/>
      <c r="NUE124" s="381"/>
      <c r="NUF124" s="381"/>
      <c r="NUG124" s="381"/>
      <c r="NUH124" s="381"/>
      <c r="NUI124" s="381"/>
      <c r="NUJ124" s="381"/>
      <c r="NUK124" s="381"/>
      <c r="NUL124" s="381"/>
      <c r="NUM124" s="381"/>
      <c r="NUN124" s="381"/>
      <c r="NUO124" s="381"/>
      <c r="NUP124" s="381"/>
      <c r="NUQ124" s="381"/>
      <c r="NUR124" s="381"/>
      <c r="NUS124" s="381"/>
      <c r="NUT124" s="381"/>
      <c r="NUU124" s="381"/>
      <c r="NUV124" s="381"/>
      <c r="NUW124" s="381"/>
      <c r="NUX124" s="381"/>
      <c r="NUY124" s="381"/>
      <c r="NUZ124" s="381"/>
      <c r="NVA124" s="381"/>
      <c r="NVB124" s="381"/>
      <c r="NVC124" s="381"/>
      <c r="NVD124" s="381"/>
      <c r="NVE124" s="381"/>
      <c r="NVF124" s="381"/>
      <c r="NVG124" s="381"/>
      <c r="NVH124" s="381"/>
      <c r="NVI124" s="381"/>
      <c r="NVJ124" s="381"/>
      <c r="NVK124" s="381"/>
      <c r="NVL124" s="381"/>
      <c r="NVM124" s="381"/>
      <c r="NVN124" s="381"/>
      <c r="NVO124" s="381"/>
      <c r="NVP124" s="381"/>
      <c r="NVQ124" s="381"/>
      <c r="NVR124" s="381"/>
      <c r="NVS124" s="381"/>
      <c r="NVT124" s="381"/>
      <c r="NVU124" s="381"/>
      <c r="NVV124" s="381"/>
      <c r="NVW124" s="381"/>
      <c r="NVX124" s="381"/>
      <c r="NVY124" s="381"/>
      <c r="NVZ124" s="381"/>
      <c r="NWA124" s="381"/>
      <c r="NWB124" s="381"/>
      <c r="NWC124" s="381"/>
      <c r="NWD124" s="381"/>
      <c r="NWE124" s="381"/>
      <c r="NWF124" s="381"/>
      <c r="NWG124" s="381"/>
      <c r="NWH124" s="381"/>
      <c r="NWI124" s="381"/>
      <c r="NWJ124" s="381"/>
      <c r="NWK124" s="381"/>
      <c r="NWL124" s="381"/>
      <c r="NWM124" s="381"/>
      <c r="NWN124" s="381"/>
      <c r="NWO124" s="381"/>
      <c r="NWP124" s="381"/>
      <c r="NWQ124" s="381"/>
      <c r="NWR124" s="381"/>
      <c r="NWS124" s="381"/>
      <c r="NWT124" s="381"/>
      <c r="NWU124" s="381"/>
      <c r="NWV124" s="381"/>
      <c r="NWW124" s="381"/>
      <c r="NWX124" s="381"/>
      <c r="NWY124" s="381"/>
      <c r="NWZ124" s="381"/>
      <c r="NXA124" s="381"/>
      <c r="NXB124" s="381"/>
      <c r="NXC124" s="381"/>
      <c r="NXD124" s="381"/>
      <c r="NXE124" s="381"/>
      <c r="NXF124" s="381"/>
      <c r="NXG124" s="381"/>
      <c r="NXH124" s="381"/>
      <c r="NXI124" s="381"/>
      <c r="NXJ124" s="381"/>
      <c r="NXK124" s="381"/>
      <c r="NXL124" s="381"/>
      <c r="NXM124" s="381"/>
      <c r="NXN124" s="381"/>
      <c r="NXO124" s="381"/>
      <c r="NXP124" s="381"/>
      <c r="NXQ124" s="381"/>
      <c r="NXR124" s="381"/>
      <c r="NXS124" s="381"/>
      <c r="NXT124" s="381"/>
      <c r="NXU124" s="381"/>
      <c r="NXV124" s="381"/>
      <c r="NXW124" s="381"/>
      <c r="NXX124" s="381"/>
      <c r="NXY124" s="381"/>
      <c r="NXZ124" s="381"/>
      <c r="NYA124" s="381"/>
      <c r="NYB124" s="381"/>
      <c r="NYC124" s="381"/>
      <c r="NYD124" s="381"/>
      <c r="NYE124" s="381"/>
      <c r="NYF124" s="381"/>
      <c r="NYG124" s="381"/>
      <c r="NYH124" s="381"/>
      <c r="NYI124" s="381"/>
      <c r="NYJ124" s="381"/>
      <c r="NYK124" s="381"/>
      <c r="NYL124" s="381"/>
      <c r="NYM124" s="381"/>
      <c r="NYN124" s="381"/>
      <c r="NYO124" s="381"/>
      <c r="NYP124" s="381"/>
      <c r="NYQ124" s="381"/>
      <c r="NYR124" s="381"/>
      <c r="NYS124" s="381"/>
      <c r="NYT124" s="381"/>
      <c r="NYU124" s="381"/>
      <c r="NYV124" s="381"/>
      <c r="NYW124" s="381"/>
      <c r="NYX124" s="381"/>
      <c r="NYY124" s="381"/>
      <c r="NYZ124" s="381"/>
      <c r="NZA124" s="381"/>
      <c r="NZB124" s="381"/>
      <c r="NZC124" s="381"/>
      <c r="NZD124" s="381"/>
      <c r="NZE124" s="381"/>
      <c r="NZF124" s="381"/>
      <c r="NZG124" s="381"/>
      <c r="NZH124" s="381"/>
      <c r="NZI124" s="381"/>
      <c r="NZJ124" s="381"/>
      <c r="NZK124" s="381"/>
      <c r="NZL124" s="381"/>
      <c r="NZM124" s="381"/>
      <c r="NZN124" s="381"/>
      <c r="NZO124" s="381"/>
      <c r="NZP124" s="381"/>
      <c r="NZQ124" s="381"/>
      <c r="NZR124" s="381"/>
      <c r="NZS124" s="381"/>
      <c r="NZT124" s="381"/>
      <c r="NZU124" s="381"/>
      <c r="NZV124" s="381"/>
      <c r="NZW124" s="381"/>
      <c r="NZX124" s="381"/>
      <c r="NZY124" s="381"/>
      <c r="NZZ124" s="381"/>
      <c r="OAA124" s="381"/>
      <c r="OAB124" s="381"/>
      <c r="OAC124" s="381"/>
      <c r="OAD124" s="381"/>
      <c r="OAE124" s="381"/>
      <c r="OAF124" s="381"/>
      <c r="OAG124" s="381"/>
      <c r="OAH124" s="381"/>
      <c r="OAI124" s="381"/>
      <c r="OAJ124" s="381"/>
      <c r="OAK124" s="381"/>
      <c r="OAL124" s="381"/>
      <c r="OAM124" s="381"/>
      <c r="OAN124" s="381"/>
      <c r="OAO124" s="381"/>
      <c r="OAP124" s="381"/>
      <c r="OAQ124" s="381"/>
      <c r="OAR124" s="381"/>
      <c r="OAS124" s="381"/>
      <c r="OAT124" s="381"/>
      <c r="OAU124" s="381"/>
      <c r="OAV124" s="381"/>
      <c r="OAW124" s="381"/>
      <c r="OAX124" s="381"/>
      <c r="OAY124" s="381"/>
      <c r="OAZ124" s="381"/>
      <c r="OBA124" s="381"/>
      <c r="OBB124" s="381"/>
      <c r="OBC124" s="381"/>
      <c r="OBD124" s="381"/>
      <c r="OBE124" s="381"/>
      <c r="OBF124" s="381"/>
      <c r="OBG124" s="381"/>
      <c r="OBH124" s="381"/>
      <c r="OBI124" s="381"/>
      <c r="OBJ124" s="381"/>
      <c r="OBK124" s="381"/>
      <c r="OBL124" s="381"/>
      <c r="OBM124" s="381"/>
      <c r="OBN124" s="381"/>
      <c r="OBO124" s="381"/>
      <c r="OBP124" s="381"/>
      <c r="OBQ124" s="381"/>
      <c r="OBR124" s="381"/>
      <c r="OBS124" s="381"/>
      <c r="OBT124" s="381"/>
      <c r="OBU124" s="381"/>
      <c r="OBV124" s="381"/>
      <c r="OBW124" s="381"/>
      <c r="OBX124" s="381"/>
      <c r="OBY124" s="381"/>
      <c r="OBZ124" s="381"/>
      <c r="OCA124" s="381"/>
      <c r="OCB124" s="381"/>
      <c r="OCC124" s="381"/>
      <c r="OCD124" s="381"/>
      <c r="OCE124" s="381"/>
      <c r="OCF124" s="381"/>
      <c r="OCG124" s="381"/>
      <c r="OCH124" s="381"/>
      <c r="OCI124" s="381"/>
      <c r="OCJ124" s="381"/>
      <c r="OCK124" s="381"/>
      <c r="OCL124" s="381"/>
      <c r="OCM124" s="381"/>
      <c r="OCN124" s="381"/>
      <c r="OCO124" s="381"/>
      <c r="OCP124" s="381"/>
      <c r="OCQ124" s="381"/>
      <c r="OCR124" s="381"/>
      <c r="OCS124" s="381"/>
      <c r="OCT124" s="381"/>
      <c r="OCU124" s="381"/>
      <c r="OCV124" s="381"/>
      <c r="OCW124" s="381"/>
      <c r="OCX124" s="381"/>
      <c r="OCY124" s="381"/>
      <c r="OCZ124" s="381"/>
      <c r="ODA124" s="381"/>
      <c r="ODB124" s="381"/>
      <c r="ODC124" s="381"/>
      <c r="ODD124" s="381"/>
      <c r="ODE124" s="381"/>
      <c r="ODF124" s="381"/>
      <c r="ODG124" s="381"/>
      <c r="ODH124" s="381"/>
      <c r="ODI124" s="381"/>
      <c r="ODJ124" s="381"/>
      <c r="ODK124" s="381"/>
      <c r="ODL124" s="381"/>
      <c r="ODM124" s="381"/>
      <c r="ODN124" s="381"/>
      <c r="ODO124" s="381"/>
      <c r="ODP124" s="381"/>
      <c r="ODQ124" s="381"/>
      <c r="ODR124" s="381"/>
      <c r="ODS124" s="381"/>
      <c r="ODT124" s="381"/>
      <c r="ODU124" s="381"/>
      <c r="ODV124" s="381"/>
      <c r="ODW124" s="381"/>
      <c r="ODX124" s="381"/>
      <c r="ODY124" s="381"/>
      <c r="ODZ124" s="381"/>
      <c r="OEA124" s="381"/>
      <c r="OEB124" s="381"/>
      <c r="OEC124" s="381"/>
      <c r="OED124" s="381"/>
      <c r="OEE124" s="381"/>
      <c r="OEF124" s="381"/>
      <c r="OEG124" s="381"/>
      <c r="OEH124" s="381"/>
      <c r="OEI124" s="381"/>
      <c r="OEJ124" s="381"/>
      <c r="OEK124" s="381"/>
      <c r="OEL124" s="381"/>
      <c r="OEM124" s="381"/>
      <c r="OEN124" s="381"/>
      <c r="OEO124" s="381"/>
      <c r="OEP124" s="381"/>
      <c r="OEQ124" s="381"/>
      <c r="OER124" s="381"/>
      <c r="OES124" s="381"/>
      <c r="OET124" s="381"/>
      <c r="OEU124" s="381"/>
      <c r="OEV124" s="381"/>
      <c r="OEW124" s="381"/>
      <c r="OEX124" s="381"/>
      <c r="OEY124" s="381"/>
      <c r="OEZ124" s="381"/>
      <c r="OFA124" s="381"/>
      <c r="OFB124" s="381"/>
      <c r="OFC124" s="381"/>
      <c r="OFD124" s="381"/>
      <c r="OFE124" s="381"/>
      <c r="OFF124" s="381"/>
      <c r="OFG124" s="381"/>
      <c r="OFH124" s="381"/>
      <c r="OFI124" s="381"/>
      <c r="OFJ124" s="381"/>
      <c r="OFK124" s="381"/>
      <c r="OFL124" s="381"/>
      <c r="OFM124" s="381"/>
      <c r="OFN124" s="381"/>
      <c r="OFO124" s="381"/>
      <c r="OFP124" s="381"/>
      <c r="OFQ124" s="381"/>
      <c r="OFR124" s="381"/>
      <c r="OFS124" s="381"/>
      <c r="OFT124" s="381"/>
      <c r="OFU124" s="381"/>
      <c r="OFV124" s="381"/>
      <c r="OFW124" s="381"/>
      <c r="OFX124" s="381"/>
      <c r="OFY124" s="381"/>
      <c r="OFZ124" s="381"/>
      <c r="OGA124" s="381"/>
      <c r="OGB124" s="381"/>
      <c r="OGC124" s="381"/>
      <c r="OGD124" s="381"/>
      <c r="OGE124" s="381"/>
      <c r="OGF124" s="381"/>
      <c r="OGG124" s="381"/>
      <c r="OGH124" s="381"/>
      <c r="OGI124" s="381"/>
      <c r="OGJ124" s="381"/>
      <c r="OGK124" s="381"/>
      <c r="OGL124" s="381"/>
      <c r="OGM124" s="381"/>
      <c r="OGN124" s="381"/>
      <c r="OGO124" s="381"/>
      <c r="OGP124" s="381"/>
      <c r="OGQ124" s="381"/>
      <c r="OGR124" s="381"/>
      <c r="OGS124" s="381"/>
      <c r="OGT124" s="381"/>
      <c r="OGU124" s="381"/>
      <c r="OGV124" s="381"/>
      <c r="OGW124" s="381"/>
      <c r="OGX124" s="381"/>
      <c r="OGY124" s="381"/>
      <c r="OGZ124" s="381"/>
      <c r="OHA124" s="381"/>
      <c r="OHB124" s="381"/>
      <c r="OHC124" s="381"/>
      <c r="OHD124" s="381"/>
      <c r="OHE124" s="381"/>
      <c r="OHF124" s="381"/>
      <c r="OHG124" s="381"/>
      <c r="OHH124" s="381"/>
      <c r="OHI124" s="381"/>
      <c r="OHJ124" s="381"/>
      <c r="OHK124" s="381"/>
      <c r="OHL124" s="381"/>
      <c r="OHM124" s="381"/>
      <c r="OHN124" s="381"/>
      <c r="OHO124" s="381"/>
      <c r="OHP124" s="381"/>
      <c r="OHQ124" s="381"/>
      <c r="OHR124" s="381"/>
      <c r="OHS124" s="381"/>
      <c r="OHT124" s="381"/>
      <c r="OHU124" s="381"/>
      <c r="OHV124" s="381"/>
      <c r="OHW124" s="381"/>
      <c r="OHX124" s="381"/>
      <c r="OHY124" s="381"/>
      <c r="OHZ124" s="381"/>
      <c r="OIA124" s="381"/>
      <c r="OIB124" s="381"/>
      <c r="OIC124" s="381"/>
      <c r="OID124" s="381"/>
      <c r="OIE124" s="381"/>
      <c r="OIF124" s="381"/>
      <c r="OIG124" s="381"/>
      <c r="OIH124" s="381"/>
      <c r="OII124" s="381"/>
      <c r="OIJ124" s="381"/>
      <c r="OIK124" s="381"/>
      <c r="OIL124" s="381"/>
      <c r="OIM124" s="381"/>
      <c r="OIN124" s="381"/>
      <c r="OIO124" s="381"/>
      <c r="OIP124" s="381"/>
      <c r="OIQ124" s="381"/>
      <c r="OIR124" s="381"/>
      <c r="OIS124" s="381"/>
      <c r="OIT124" s="381"/>
      <c r="OIU124" s="381"/>
      <c r="OIV124" s="381"/>
      <c r="OIW124" s="381"/>
      <c r="OIX124" s="381"/>
      <c r="OIY124" s="381"/>
      <c r="OIZ124" s="381"/>
      <c r="OJA124" s="381"/>
      <c r="OJB124" s="381"/>
      <c r="OJC124" s="381"/>
      <c r="OJD124" s="381"/>
      <c r="OJE124" s="381"/>
      <c r="OJF124" s="381"/>
      <c r="OJG124" s="381"/>
      <c r="OJH124" s="381"/>
      <c r="OJI124" s="381"/>
      <c r="OJJ124" s="381"/>
      <c r="OJK124" s="381"/>
      <c r="OJL124" s="381"/>
      <c r="OJM124" s="381"/>
      <c r="OJN124" s="381"/>
      <c r="OJO124" s="381"/>
      <c r="OJP124" s="381"/>
      <c r="OJQ124" s="381"/>
      <c r="OJR124" s="381"/>
      <c r="OJS124" s="381"/>
      <c r="OJT124" s="381"/>
      <c r="OJU124" s="381"/>
      <c r="OJV124" s="381"/>
      <c r="OJW124" s="381"/>
      <c r="OJX124" s="381"/>
      <c r="OJY124" s="381"/>
      <c r="OJZ124" s="381"/>
      <c r="OKA124" s="381"/>
      <c r="OKB124" s="381"/>
      <c r="OKC124" s="381"/>
      <c r="OKD124" s="381"/>
      <c r="OKE124" s="381"/>
      <c r="OKF124" s="381"/>
      <c r="OKG124" s="381"/>
      <c r="OKH124" s="381"/>
      <c r="OKI124" s="381"/>
      <c r="OKJ124" s="381"/>
      <c r="OKK124" s="381"/>
      <c r="OKL124" s="381"/>
      <c r="OKM124" s="381"/>
      <c r="OKN124" s="381"/>
      <c r="OKO124" s="381"/>
      <c r="OKP124" s="381"/>
      <c r="OKQ124" s="381"/>
      <c r="OKR124" s="381"/>
      <c r="OKS124" s="381"/>
      <c r="OKT124" s="381"/>
      <c r="OKU124" s="381"/>
      <c r="OKV124" s="381"/>
      <c r="OKW124" s="381"/>
      <c r="OKX124" s="381"/>
      <c r="OKY124" s="381"/>
      <c r="OKZ124" s="381"/>
      <c r="OLA124" s="381"/>
      <c r="OLB124" s="381"/>
      <c r="OLC124" s="381"/>
      <c r="OLD124" s="381"/>
      <c r="OLE124" s="381"/>
      <c r="OLF124" s="381"/>
      <c r="OLG124" s="381"/>
      <c r="OLH124" s="381"/>
      <c r="OLI124" s="381"/>
      <c r="OLJ124" s="381"/>
      <c r="OLK124" s="381"/>
      <c r="OLL124" s="381"/>
      <c r="OLM124" s="381"/>
      <c r="OLN124" s="381"/>
      <c r="OLO124" s="381"/>
      <c r="OLP124" s="381"/>
      <c r="OLQ124" s="381"/>
      <c r="OLR124" s="381"/>
      <c r="OLS124" s="381"/>
      <c r="OLT124" s="381"/>
      <c r="OLU124" s="381"/>
      <c r="OLV124" s="381"/>
      <c r="OLW124" s="381"/>
      <c r="OLX124" s="381"/>
      <c r="OLY124" s="381"/>
      <c r="OLZ124" s="381"/>
      <c r="OMA124" s="381"/>
      <c r="OMB124" s="381"/>
      <c r="OMC124" s="381"/>
      <c r="OMD124" s="381"/>
      <c r="OME124" s="381"/>
      <c r="OMF124" s="381"/>
      <c r="OMG124" s="381"/>
      <c r="OMH124" s="381"/>
      <c r="OMI124" s="381"/>
      <c r="OMJ124" s="381"/>
      <c r="OMK124" s="381"/>
      <c r="OML124" s="381"/>
      <c r="OMM124" s="381"/>
      <c r="OMN124" s="381"/>
      <c r="OMO124" s="381"/>
      <c r="OMP124" s="381"/>
      <c r="OMQ124" s="381"/>
      <c r="OMR124" s="381"/>
      <c r="OMS124" s="381"/>
      <c r="OMT124" s="381"/>
      <c r="OMU124" s="381"/>
      <c r="OMV124" s="381"/>
      <c r="OMW124" s="381"/>
      <c r="OMX124" s="381"/>
      <c r="OMY124" s="381"/>
      <c r="OMZ124" s="381"/>
      <c r="ONA124" s="381"/>
      <c r="ONB124" s="381"/>
      <c r="ONC124" s="381"/>
      <c r="OND124" s="381"/>
      <c r="ONE124" s="381"/>
      <c r="ONF124" s="381"/>
      <c r="ONG124" s="381"/>
      <c r="ONH124" s="381"/>
      <c r="ONI124" s="381"/>
      <c r="ONJ124" s="381"/>
      <c r="ONK124" s="381"/>
      <c r="ONL124" s="381"/>
      <c r="ONM124" s="381"/>
      <c r="ONN124" s="381"/>
      <c r="ONO124" s="381"/>
      <c r="ONP124" s="381"/>
      <c r="ONQ124" s="381"/>
      <c r="ONR124" s="381"/>
      <c r="ONS124" s="381"/>
      <c r="ONT124" s="381"/>
      <c r="ONU124" s="381"/>
      <c r="ONV124" s="381"/>
      <c r="ONW124" s="381"/>
      <c r="ONX124" s="381"/>
      <c r="ONY124" s="381"/>
      <c r="ONZ124" s="381"/>
      <c r="OOA124" s="381"/>
      <c r="OOB124" s="381"/>
      <c r="OOC124" s="381"/>
      <c r="OOD124" s="381"/>
      <c r="OOE124" s="381"/>
      <c r="OOF124" s="381"/>
      <c r="OOG124" s="381"/>
      <c r="OOH124" s="381"/>
      <c r="OOI124" s="381"/>
      <c r="OOJ124" s="381"/>
      <c r="OOK124" s="381"/>
      <c r="OOL124" s="381"/>
      <c r="OOM124" s="381"/>
      <c r="OON124" s="381"/>
      <c r="OOO124" s="381"/>
      <c r="OOP124" s="381"/>
      <c r="OOQ124" s="381"/>
      <c r="OOR124" s="381"/>
      <c r="OOS124" s="381"/>
      <c r="OOT124" s="381"/>
      <c r="OOU124" s="381"/>
      <c r="OOV124" s="381"/>
      <c r="OOW124" s="381"/>
      <c r="OOX124" s="381"/>
      <c r="OOY124" s="381"/>
      <c r="OOZ124" s="381"/>
      <c r="OPA124" s="381"/>
      <c r="OPB124" s="381"/>
      <c r="OPC124" s="381"/>
      <c r="OPD124" s="381"/>
      <c r="OPE124" s="381"/>
      <c r="OPF124" s="381"/>
      <c r="OPG124" s="381"/>
      <c r="OPH124" s="381"/>
      <c r="OPI124" s="381"/>
      <c r="OPJ124" s="381"/>
      <c r="OPK124" s="381"/>
      <c r="OPL124" s="381"/>
      <c r="OPM124" s="381"/>
      <c r="OPN124" s="381"/>
      <c r="OPO124" s="381"/>
      <c r="OPP124" s="381"/>
      <c r="OPQ124" s="381"/>
      <c r="OPR124" s="381"/>
      <c r="OPS124" s="381"/>
      <c r="OPT124" s="381"/>
      <c r="OPU124" s="381"/>
      <c r="OPV124" s="381"/>
      <c r="OPW124" s="381"/>
      <c r="OPX124" s="381"/>
      <c r="OPY124" s="381"/>
      <c r="OPZ124" s="381"/>
      <c r="OQA124" s="381"/>
      <c r="OQB124" s="381"/>
      <c r="OQC124" s="381"/>
      <c r="OQD124" s="381"/>
      <c r="OQE124" s="381"/>
      <c r="OQF124" s="381"/>
      <c r="OQG124" s="381"/>
      <c r="OQH124" s="381"/>
      <c r="OQI124" s="381"/>
      <c r="OQJ124" s="381"/>
      <c r="OQK124" s="381"/>
      <c r="OQL124" s="381"/>
      <c r="OQM124" s="381"/>
      <c r="OQN124" s="381"/>
      <c r="OQO124" s="381"/>
      <c r="OQP124" s="381"/>
      <c r="OQQ124" s="381"/>
      <c r="OQR124" s="381"/>
      <c r="OQS124" s="381"/>
      <c r="OQT124" s="381"/>
      <c r="OQU124" s="381"/>
      <c r="OQV124" s="381"/>
      <c r="OQW124" s="381"/>
      <c r="OQX124" s="381"/>
      <c r="OQY124" s="381"/>
      <c r="OQZ124" s="381"/>
      <c r="ORA124" s="381"/>
      <c r="ORB124" s="381"/>
      <c r="ORC124" s="381"/>
      <c r="ORD124" s="381"/>
      <c r="ORE124" s="381"/>
      <c r="ORF124" s="381"/>
      <c r="ORG124" s="381"/>
      <c r="ORH124" s="381"/>
      <c r="ORI124" s="381"/>
      <c r="ORJ124" s="381"/>
      <c r="ORK124" s="381"/>
      <c r="ORL124" s="381"/>
      <c r="ORM124" s="381"/>
      <c r="ORN124" s="381"/>
      <c r="ORO124" s="381"/>
      <c r="ORP124" s="381"/>
      <c r="ORQ124" s="381"/>
      <c r="ORR124" s="381"/>
      <c r="ORS124" s="381"/>
      <c r="ORT124" s="381"/>
      <c r="ORU124" s="381"/>
      <c r="ORV124" s="381"/>
      <c r="ORW124" s="381"/>
      <c r="ORX124" s="381"/>
      <c r="ORY124" s="381"/>
      <c r="ORZ124" s="381"/>
      <c r="OSA124" s="381"/>
      <c r="OSB124" s="381"/>
      <c r="OSC124" s="381"/>
      <c r="OSD124" s="381"/>
      <c r="OSE124" s="381"/>
      <c r="OSF124" s="381"/>
      <c r="OSG124" s="381"/>
      <c r="OSH124" s="381"/>
      <c r="OSI124" s="381"/>
      <c r="OSJ124" s="381"/>
      <c r="OSK124" s="381"/>
      <c r="OSL124" s="381"/>
      <c r="OSM124" s="381"/>
      <c r="OSN124" s="381"/>
      <c r="OSO124" s="381"/>
      <c r="OSP124" s="381"/>
      <c r="OSQ124" s="381"/>
      <c r="OSR124" s="381"/>
      <c r="OSS124" s="381"/>
      <c r="OST124" s="381"/>
      <c r="OSU124" s="381"/>
      <c r="OSV124" s="381"/>
      <c r="OSW124" s="381"/>
      <c r="OSX124" s="381"/>
      <c r="OSY124" s="381"/>
      <c r="OSZ124" s="381"/>
      <c r="OTA124" s="381"/>
      <c r="OTB124" s="381"/>
      <c r="OTC124" s="381"/>
      <c r="OTD124" s="381"/>
      <c r="OTE124" s="381"/>
      <c r="OTF124" s="381"/>
      <c r="OTG124" s="381"/>
      <c r="OTH124" s="381"/>
      <c r="OTI124" s="381"/>
      <c r="OTJ124" s="381"/>
      <c r="OTK124" s="381"/>
      <c r="OTL124" s="381"/>
      <c r="OTM124" s="381"/>
      <c r="OTN124" s="381"/>
      <c r="OTO124" s="381"/>
      <c r="OTP124" s="381"/>
      <c r="OTQ124" s="381"/>
      <c r="OTR124" s="381"/>
      <c r="OTS124" s="381"/>
      <c r="OTT124" s="381"/>
      <c r="OTU124" s="381"/>
      <c r="OTV124" s="381"/>
      <c r="OTW124" s="381"/>
      <c r="OTX124" s="381"/>
      <c r="OTY124" s="381"/>
      <c r="OTZ124" s="381"/>
      <c r="OUA124" s="381"/>
      <c r="OUB124" s="381"/>
      <c r="OUC124" s="381"/>
      <c r="OUD124" s="381"/>
      <c r="OUE124" s="381"/>
      <c r="OUF124" s="381"/>
      <c r="OUG124" s="381"/>
      <c r="OUH124" s="381"/>
      <c r="OUI124" s="381"/>
      <c r="OUJ124" s="381"/>
      <c r="OUK124" s="381"/>
      <c r="OUL124" s="381"/>
      <c r="OUM124" s="381"/>
      <c r="OUN124" s="381"/>
      <c r="OUO124" s="381"/>
      <c r="OUP124" s="381"/>
      <c r="OUQ124" s="381"/>
      <c r="OUR124" s="381"/>
      <c r="OUS124" s="381"/>
      <c r="OUT124" s="381"/>
      <c r="OUU124" s="381"/>
      <c r="OUV124" s="381"/>
      <c r="OUW124" s="381"/>
      <c r="OUX124" s="381"/>
      <c r="OUY124" s="381"/>
      <c r="OUZ124" s="381"/>
      <c r="OVA124" s="381"/>
      <c r="OVB124" s="381"/>
      <c r="OVC124" s="381"/>
      <c r="OVD124" s="381"/>
      <c r="OVE124" s="381"/>
      <c r="OVF124" s="381"/>
      <c r="OVG124" s="381"/>
      <c r="OVH124" s="381"/>
      <c r="OVI124" s="381"/>
      <c r="OVJ124" s="381"/>
      <c r="OVK124" s="381"/>
      <c r="OVL124" s="381"/>
      <c r="OVM124" s="381"/>
      <c r="OVN124" s="381"/>
      <c r="OVO124" s="381"/>
      <c r="OVP124" s="381"/>
      <c r="OVQ124" s="381"/>
      <c r="OVR124" s="381"/>
      <c r="OVS124" s="381"/>
      <c r="OVT124" s="381"/>
      <c r="OVU124" s="381"/>
      <c r="OVV124" s="381"/>
      <c r="OVW124" s="381"/>
      <c r="OVX124" s="381"/>
      <c r="OVY124" s="381"/>
      <c r="OVZ124" s="381"/>
      <c r="OWA124" s="381"/>
      <c r="OWB124" s="381"/>
      <c r="OWC124" s="381"/>
      <c r="OWD124" s="381"/>
      <c r="OWE124" s="381"/>
      <c r="OWF124" s="381"/>
      <c r="OWG124" s="381"/>
      <c r="OWH124" s="381"/>
      <c r="OWI124" s="381"/>
      <c r="OWJ124" s="381"/>
      <c r="OWK124" s="381"/>
      <c r="OWL124" s="381"/>
      <c r="OWM124" s="381"/>
      <c r="OWN124" s="381"/>
      <c r="OWO124" s="381"/>
      <c r="OWP124" s="381"/>
      <c r="OWQ124" s="381"/>
      <c r="OWR124" s="381"/>
      <c r="OWS124" s="381"/>
      <c r="OWT124" s="381"/>
      <c r="OWU124" s="381"/>
      <c r="OWV124" s="381"/>
      <c r="OWW124" s="381"/>
      <c r="OWX124" s="381"/>
      <c r="OWY124" s="381"/>
      <c r="OWZ124" s="381"/>
      <c r="OXA124" s="381"/>
      <c r="OXB124" s="381"/>
      <c r="OXC124" s="381"/>
      <c r="OXD124" s="381"/>
      <c r="OXE124" s="381"/>
      <c r="OXF124" s="381"/>
      <c r="OXG124" s="381"/>
      <c r="OXH124" s="381"/>
      <c r="OXI124" s="381"/>
      <c r="OXJ124" s="381"/>
      <c r="OXK124" s="381"/>
      <c r="OXL124" s="381"/>
      <c r="OXM124" s="381"/>
      <c r="OXN124" s="381"/>
      <c r="OXO124" s="381"/>
      <c r="OXP124" s="381"/>
      <c r="OXQ124" s="381"/>
      <c r="OXR124" s="381"/>
      <c r="OXS124" s="381"/>
      <c r="OXT124" s="381"/>
      <c r="OXU124" s="381"/>
      <c r="OXV124" s="381"/>
      <c r="OXW124" s="381"/>
      <c r="OXX124" s="381"/>
      <c r="OXY124" s="381"/>
      <c r="OXZ124" s="381"/>
      <c r="OYA124" s="381"/>
      <c r="OYB124" s="381"/>
      <c r="OYC124" s="381"/>
      <c r="OYD124" s="381"/>
      <c r="OYE124" s="381"/>
      <c r="OYF124" s="381"/>
      <c r="OYG124" s="381"/>
      <c r="OYH124" s="381"/>
      <c r="OYI124" s="381"/>
      <c r="OYJ124" s="381"/>
      <c r="OYK124" s="381"/>
      <c r="OYL124" s="381"/>
      <c r="OYM124" s="381"/>
      <c r="OYN124" s="381"/>
      <c r="OYO124" s="381"/>
      <c r="OYP124" s="381"/>
      <c r="OYQ124" s="381"/>
      <c r="OYR124" s="381"/>
      <c r="OYS124" s="381"/>
      <c r="OYT124" s="381"/>
      <c r="OYU124" s="381"/>
      <c r="OYV124" s="381"/>
      <c r="OYW124" s="381"/>
      <c r="OYX124" s="381"/>
      <c r="OYY124" s="381"/>
      <c r="OYZ124" s="381"/>
      <c r="OZA124" s="381"/>
      <c r="OZB124" s="381"/>
      <c r="OZC124" s="381"/>
      <c r="OZD124" s="381"/>
      <c r="OZE124" s="381"/>
      <c r="OZF124" s="381"/>
      <c r="OZG124" s="381"/>
      <c r="OZH124" s="381"/>
      <c r="OZI124" s="381"/>
      <c r="OZJ124" s="381"/>
      <c r="OZK124" s="381"/>
      <c r="OZL124" s="381"/>
      <c r="OZM124" s="381"/>
      <c r="OZN124" s="381"/>
      <c r="OZO124" s="381"/>
      <c r="OZP124" s="381"/>
      <c r="OZQ124" s="381"/>
      <c r="OZR124" s="381"/>
      <c r="OZS124" s="381"/>
      <c r="OZT124" s="381"/>
      <c r="OZU124" s="381"/>
      <c r="OZV124" s="381"/>
      <c r="OZW124" s="381"/>
      <c r="OZX124" s="381"/>
      <c r="OZY124" s="381"/>
      <c r="OZZ124" s="381"/>
      <c r="PAA124" s="381"/>
      <c r="PAB124" s="381"/>
      <c r="PAC124" s="381"/>
      <c r="PAD124" s="381"/>
      <c r="PAE124" s="381"/>
      <c r="PAF124" s="381"/>
      <c r="PAG124" s="381"/>
      <c r="PAH124" s="381"/>
      <c r="PAI124" s="381"/>
      <c r="PAJ124" s="381"/>
      <c r="PAK124" s="381"/>
      <c r="PAL124" s="381"/>
      <c r="PAM124" s="381"/>
      <c r="PAN124" s="381"/>
      <c r="PAO124" s="381"/>
      <c r="PAP124" s="381"/>
      <c r="PAQ124" s="381"/>
      <c r="PAR124" s="381"/>
      <c r="PAS124" s="381"/>
      <c r="PAT124" s="381"/>
      <c r="PAU124" s="381"/>
      <c r="PAV124" s="381"/>
      <c r="PAW124" s="381"/>
      <c r="PAX124" s="381"/>
      <c r="PAY124" s="381"/>
      <c r="PAZ124" s="381"/>
      <c r="PBA124" s="381"/>
      <c r="PBB124" s="381"/>
      <c r="PBC124" s="381"/>
      <c r="PBD124" s="381"/>
      <c r="PBE124" s="381"/>
      <c r="PBF124" s="381"/>
      <c r="PBG124" s="381"/>
      <c r="PBH124" s="381"/>
      <c r="PBI124" s="381"/>
      <c r="PBJ124" s="381"/>
      <c r="PBK124" s="381"/>
      <c r="PBL124" s="381"/>
      <c r="PBM124" s="381"/>
      <c r="PBN124" s="381"/>
      <c r="PBO124" s="381"/>
      <c r="PBP124" s="381"/>
      <c r="PBQ124" s="381"/>
      <c r="PBR124" s="381"/>
      <c r="PBS124" s="381"/>
      <c r="PBT124" s="381"/>
      <c r="PBU124" s="381"/>
      <c r="PBV124" s="381"/>
      <c r="PBW124" s="381"/>
      <c r="PBX124" s="381"/>
      <c r="PBY124" s="381"/>
      <c r="PBZ124" s="381"/>
      <c r="PCA124" s="381"/>
      <c r="PCB124" s="381"/>
      <c r="PCC124" s="381"/>
      <c r="PCD124" s="381"/>
      <c r="PCE124" s="381"/>
      <c r="PCF124" s="381"/>
      <c r="PCG124" s="381"/>
      <c r="PCH124" s="381"/>
      <c r="PCI124" s="381"/>
      <c r="PCJ124" s="381"/>
      <c r="PCK124" s="381"/>
      <c r="PCL124" s="381"/>
      <c r="PCM124" s="381"/>
      <c r="PCN124" s="381"/>
      <c r="PCO124" s="381"/>
      <c r="PCP124" s="381"/>
      <c r="PCQ124" s="381"/>
      <c r="PCR124" s="381"/>
      <c r="PCS124" s="381"/>
      <c r="PCT124" s="381"/>
      <c r="PCU124" s="381"/>
      <c r="PCV124" s="381"/>
      <c r="PCW124" s="381"/>
      <c r="PCX124" s="381"/>
      <c r="PCY124" s="381"/>
      <c r="PCZ124" s="381"/>
      <c r="PDA124" s="381"/>
      <c r="PDB124" s="381"/>
      <c r="PDC124" s="381"/>
      <c r="PDD124" s="381"/>
      <c r="PDE124" s="381"/>
      <c r="PDF124" s="381"/>
      <c r="PDG124" s="381"/>
      <c r="PDH124" s="381"/>
      <c r="PDI124" s="381"/>
      <c r="PDJ124" s="381"/>
      <c r="PDK124" s="381"/>
      <c r="PDL124" s="381"/>
      <c r="PDM124" s="381"/>
      <c r="PDN124" s="381"/>
      <c r="PDO124" s="381"/>
      <c r="PDP124" s="381"/>
      <c r="PDQ124" s="381"/>
      <c r="PDR124" s="381"/>
      <c r="PDS124" s="381"/>
      <c r="PDT124" s="381"/>
      <c r="PDU124" s="381"/>
      <c r="PDV124" s="381"/>
      <c r="PDW124" s="381"/>
      <c r="PDX124" s="381"/>
      <c r="PDY124" s="381"/>
      <c r="PDZ124" s="381"/>
      <c r="PEA124" s="381"/>
      <c r="PEB124" s="381"/>
      <c r="PEC124" s="381"/>
      <c r="PED124" s="381"/>
      <c r="PEE124" s="381"/>
      <c r="PEF124" s="381"/>
      <c r="PEG124" s="381"/>
      <c r="PEH124" s="381"/>
      <c r="PEI124" s="381"/>
      <c r="PEJ124" s="381"/>
      <c r="PEK124" s="381"/>
      <c r="PEL124" s="381"/>
      <c r="PEM124" s="381"/>
      <c r="PEN124" s="381"/>
      <c r="PEO124" s="381"/>
      <c r="PEP124" s="381"/>
      <c r="PEQ124" s="381"/>
      <c r="PER124" s="381"/>
      <c r="PES124" s="381"/>
      <c r="PET124" s="381"/>
      <c r="PEU124" s="381"/>
      <c r="PEV124" s="381"/>
      <c r="PEW124" s="381"/>
      <c r="PEX124" s="381"/>
      <c r="PEY124" s="381"/>
      <c r="PEZ124" s="381"/>
      <c r="PFA124" s="381"/>
      <c r="PFB124" s="381"/>
      <c r="PFC124" s="381"/>
      <c r="PFD124" s="381"/>
      <c r="PFE124" s="381"/>
      <c r="PFF124" s="381"/>
      <c r="PFG124" s="381"/>
      <c r="PFH124" s="381"/>
      <c r="PFI124" s="381"/>
      <c r="PFJ124" s="381"/>
      <c r="PFK124" s="381"/>
      <c r="PFL124" s="381"/>
      <c r="PFM124" s="381"/>
      <c r="PFN124" s="381"/>
      <c r="PFO124" s="381"/>
      <c r="PFP124" s="381"/>
      <c r="PFQ124" s="381"/>
      <c r="PFR124" s="381"/>
      <c r="PFS124" s="381"/>
      <c r="PFT124" s="381"/>
      <c r="PFU124" s="381"/>
      <c r="PFV124" s="381"/>
      <c r="PFW124" s="381"/>
      <c r="PFX124" s="381"/>
      <c r="PFY124" s="381"/>
      <c r="PFZ124" s="381"/>
      <c r="PGA124" s="381"/>
      <c r="PGB124" s="381"/>
      <c r="PGC124" s="381"/>
      <c r="PGD124" s="381"/>
      <c r="PGE124" s="381"/>
      <c r="PGF124" s="381"/>
      <c r="PGG124" s="381"/>
      <c r="PGH124" s="381"/>
      <c r="PGI124" s="381"/>
      <c r="PGJ124" s="381"/>
      <c r="PGK124" s="381"/>
      <c r="PGL124" s="381"/>
      <c r="PGM124" s="381"/>
      <c r="PGN124" s="381"/>
      <c r="PGO124" s="381"/>
      <c r="PGP124" s="381"/>
      <c r="PGQ124" s="381"/>
      <c r="PGR124" s="381"/>
      <c r="PGS124" s="381"/>
      <c r="PGT124" s="381"/>
      <c r="PGU124" s="381"/>
      <c r="PGV124" s="381"/>
      <c r="PGW124" s="381"/>
      <c r="PGX124" s="381"/>
      <c r="PGY124" s="381"/>
      <c r="PGZ124" s="381"/>
      <c r="PHA124" s="381"/>
      <c r="PHB124" s="381"/>
      <c r="PHC124" s="381"/>
      <c r="PHD124" s="381"/>
      <c r="PHE124" s="381"/>
      <c r="PHF124" s="381"/>
      <c r="PHG124" s="381"/>
      <c r="PHH124" s="381"/>
      <c r="PHI124" s="381"/>
      <c r="PHJ124" s="381"/>
      <c r="PHK124" s="381"/>
      <c r="PHL124" s="381"/>
      <c r="PHM124" s="381"/>
      <c r="PHN124" s="381"/>
      <c r="PHO124" s="381"/>
      <c r="PHP124" s="381"/>
      <c r="PHQ124" s="381"/>
      <c r="PHR124" s="381"/>
      <c r="PHS124" s="381"/>
      <c r="PHT124" s="381"/>
      <c r="PHU124" s="381"/>
      <c r="PHV124" s="381"/>
      <c r="PHW124" s="381"/>
      <c r="PHX124" s="381"/>
      <c r="PHY124" s="381"/>
      <c r="PHZ124" s="381"/>
      <c r="PIA124" s="381"/>
      <c r="PIB124" s="381"/>
      <c r="PIC124" s="381"/>
      <c r="PID124" s="381"/>
      <c r="PIE124" s="381"/>
      <c r="PIF124" s="381"/>
      <c r="PIG124" s="381"/>
      <c r="PIH124" s="381"/>
      <c r="PII124" s="381"/>
      <c r="PIJ124" s="381"/>
      <c r="PIK124" s="381"/>
      <c r="PIL124" s="381"/>
      <c r="PIM124" s="381"/>
      <c r="PIN124" s="381"/>
      <c r="PIO124" s="381"/>
      <c r="PIP124" s="381"/>
      <c r="PIQ124" s="381"/>
      <c r="PIR124" s="381"/>
      <c r="PIS124" s="381"/>
      <c r="PIT124" s="381"/>
      <c r="PIU124" s="381"/>
      <c r="PIV124" s="381"/>
      <c r="PIW124" s="381"/>
      <c r="PIX124" s="381"/>
      <c r="PIY124" s="381"/>
      <c r="PIZ124" s="381"/>
      <c r="PJA124" s="381"/>
      <c r="PJB124" s="381"/>
      <c r="PJC124" s="381"/>
      <c r="PJD124" s="381"/>
      <c r="PJE124" s="381"/>
      <c r="PJF124" s="381"/>
      <c r="PJG124" s="381"/>
      <c r="PJH124" s="381"/>
      <c r="PJI124" s="381"/>
      <c r="PJJ124" s="381"/>
      <c r="PJK124" s="381"/>
      <c r="PJL124" s="381"/>
      <c r="PJM124" s="381"/>
      <c r="PJN124" s="381"/>
      <c r="PJO124" s="381"/>
      <c r="PJP124" s="381"/>
      <c r="PJQ124" s="381"/>
      <c r="PJR124" s="381"/>
      <c r="PJS124" s="381"/>
      <c r="PJT124" s="381"/>
      <c r="PJU124" s="381"/>
      <c r="PJV124" s="381"/>
      <c r="PJW124" s="381"/>
      <c r="PJX124" s="381"/>
      <c r="PJY124" s="381"/>
      <c r="PJZ124" s="381"/>
      <c r="PKA124" s="381"/>
      <c r="PKB124" s="381"/>
      <c r="PKC124" s="381"/>
      <c r="PKD124" s="381"/>
      <c r="PKE124" s="381"/>
      <c r="PKF124" s="381"/>
      <c r="PKG124" s="381"/>
      <c r="PKH124" s="381"/>
      <c r="PKI124" s="381"/>
      <c r="PKJ124" s="381"/>
      <c r="PKK124" s="381"/>
      <c r="PKL124" s="381"/>
      <c r="PKM124" s="381"/>
      <c r="PKN124" s="381"/>
      <c r="PKO124" s="381"/>
      <c r="PKP124" s="381"/>
      <c r="PKQ124" s="381"/>
      <c r="PKR124" s="381"/>
      <c r="PKS124" s="381"/>
      <c r="PKT124" s="381"/>
      <c r="PKU124" s="381"/>
      <c r="PKV124" s="381"/>
      <c r="PKW124" s="381"/>
      <c r="PKX124" s="381"/>
      <c r="PKY124" s="381"/>
      <c r="PKZ124" s="381"/>
      <c r="PLA124" s="381"/>
      <c r="PLB124" s="381"/>
      <c r="PLC124" s="381"/>
      <c r="PLD124" s="381"/>
      <c r="PLE124" s="381"/>
      <c r="PLF124" s="381"/>
      <c r="PLG124" s="381"/>
      <c r="PLH124" s="381"/>
      <c r="PLI124" s="381"/>
      <c r="PLJ124" s="381"/>
      <c r="PLK124" s="381"/>
      <c r="PLL124" s="381"/>
      <c r="PLM124" s="381"/>
      <c r="PLN124" s="381"/>
      <c r="PLO124" s="381"/>
      <c r="PLP124" s="381"/>
      <c r="PLQ124" s="381"/>
      <c r="PLR124" s="381"/>
      <c r="PLS124" s="381"/>
      <c r="PLT124" s="381"/>
      <c r="PLU124" s="381"/>
      <c r="PLV124" s="381"/>
      <c r="PLW124" s="381"/>
      <c r="PLX124" s="381"/>
      <c r="PLY124" s="381"/>
      <c r="PLZ124" s="381"/>
      <c r="PMA124" s="381"/>
      <c r="PMB124" s="381"/>
      <c r="PMC124" s="381"/>
      <c r="PMD124" s="381"/>
      <c r="PME124" s="381"/>
      <c r="PMF124" s="381"/>
      <c r="PMG124" s="381"/>
      <c r="PMH124" s="381"/>
      <c r="PMI124" s="381"/>
      <c r="PMJ124" s="381"/>
      <c r="PMK124" s="381"/>
      <c r="PML124" s="381"/>
      <c r="PMM124" s="381"/>
      <c r="PMN124" s="381"/>
      <c r="PMO124" s="381"/>
      <c r="PMP124" s="381"/>
      <c r="PMQ124" s="381"/>
      <c r="PMR124" s="381"/>
      <c r="PMS124" s="381"/>
      <c r="PMT124" s="381"/>
      <c r="PMU124" s="381"/>
      <c r="PMV124" s="381"/>
      <c r="PMW124" s="381"/>
      <c r="PMX124" s="381"/>
      <c r="PMY124" s="381"/>
      <c r="PMZ124" s="381"/>
      <c r="PNA124" s="381"/>
      <c r="PNB124" s="381"/>
      <c r="PNC124" s="381"/>
      <c r="PND124" s="381"/>
      <c r="PNE124" s="381"/>
      <c r="PNF124" s="381"/>
      <c r="PNG124" s="381"/>
      <c r="PNH124" s="381"/>
      <c r="PNI124" s="381"/>
      <c r="PNJ124" s="381"/>
      <c r="PNK124" s="381"/>
      <c r="PNL124" s="381"/>
      <c r="PNM124" s="381"/>
      <c r="PNN124" s="381"/>
      <c r="PNO124" s="381"/>
      <c r="PNP124" s="381"/>
      <c r="PNQ124" s="381"/>
      <c r="PNR124" s="381"/>
      <c r="PNS124" s="381"/>
      <c r="PNT124" s="381"/>
      <c r="PNU124" s="381"/>
      <c r="PNV124" s="381"/>
      <c r="PNW124" s="381"/>
      <c r="PNX124" s="381"/>
      <c r="PNY124" s="381"/>
      <c r="PNZ124" s="381"/>
      <c r="POA124" s="381"/>
      <c r="POB124" s="381"/>
      <c r="POC124" s="381"/>
      <c r="POD124" s="381"/>
      <c r="POE124" s="381"/>
      <c r="POF124" s="381"/>
      <c r="POG124" s="381"/>
      <c r="POH124" s="381"/>
      <c r="POI124" s="381"/>
      <c r="POJ124" s="381"/>
      <c r="POK124" s="381"/>
      <c r="POL124" s="381"/>
      <c r="POM124" s="381"/>
      <c r="PON124" s="381"/>
      <c r="POO124" s="381"/>
      <c r="POP124" s="381"/>
      <c r="POQ124" s="381"/>
      <c r="POR124" s="381"/>
      <c r="POS124" s="381"/>
      <c r="POT124" s="381"/>
      <c r="POU124" s="381"/>
      <c r="POV124" s="381"/>
      <c r="POW124" s="381"/>
      <c r="POX124" s="381"/>
      <c r="POY124" s="381"/>
      <c r="POZ124" s="381"/>
      <c r="PPA124" s="381"/>
      <c r="PPB124" s="381"/>
      <c r="PPC124" s="381"/>
      <c r="PPD124" s="381"/>
      <c r="PPE124" s="381"/>
      <c r="PPF124" s="381"/>
      <c r="PPG124" s="381"/>
      <c r="PPH124" s="381"/>
      <c r="PPI124" s="381"/>
      <c r="PPJ124" s="381"/>
      <c r="PPK124" s="381"/>
      <c r="PPL124" s="381"/>
      <c r="PPM124" s="381"/>
      <c r="PPN124" s="381"/>
      <c r="PPO124" s="381"/>
      <c r="PPP124" s="381"/>
      <c r="PPQ124" s="381"/>
      <c r="PPR124" s="381"/>
      <c r="PPS124" s="381"/>
      <c r="PPT124" s="381"/>
      <c r="PPU124" s="381"/>
      <c r="PPV124" s="381"/>
      <c r="PPW124" s="381"/>
      <c r="PPX124" s="381"/>
      <c r="PPY124" s="381"/>
      <c r="PPZ124" s="381"/>
      <c r="PQA124" s="381"/>
      <c r="PQB124" s="381"/>
      <c r="PQC124" s="381"/>
      <c r="PQD124" s="381"/>
      <c r="PQE124" s="381"/>
      <c r="PQF124" s="381"/>
      <c r="PQG124" s="381"/>
      <c r="PQH124" s="381"/>
      <c r="PQI124" s="381"/>
      <c r="PQJ124" s="381"/>
      <c r="PQK124" s="381"/>
      <c r="PQL124" s="381"/>
      <c r="PQM124" s="381"/>
      <c r="PQN124" s="381"/>
      <c r="PQO124" s="381"/>
      <c r="PQP124" s="381"/>
      <c r="PQQ124" s="381"/>
      <c r="PQR124" s="381"/>
      <c r="PQS124" s="381"/>
      <c r="PQT124" s="381"/>
      <c r="PQU124" s="381"/>
      <c r="PQV124" s="381"/>
      <c r="PQW124" s="381"/>
      <c r="PQX124" s="381"/>
      <c r="PQY124" s="381"/>
      <c r="PQZ124" s="381"/>
      <c r="PRA124" s="381"/>
      <c r="PRB124" s="381"/>
      <c r="PRC124" s="381"/>
      <c r="PRD124" s="381"/>
      <c r="PRE124" s="381"/>
      <c r="PRF124" s="381"/>
      <c r="PRG124" s="381"/>
      <c r="PRH124" s="381"/>
      <c r="PRI124" s="381"/>
      <c r="PRJ124" s="381"/>
      <c r="PRK124" s="381"/>
      <c r="PRL124" s="381"/>
      <c r="PRM124" s="381"/>
      <c r="PRN124" s="381"/>
      <c r="PRO124" s="381"/>
      <c r="PRP124" s="381"/>
      <c r="PRQ124" s="381"/>
      <c r="PRR124" s="381"/>
      <c r="PRS124" s="381"/>
      <c r="PRT124" s="381"/>
      <c r="PRU124" s="381"/>
      <c r="PRV124" s="381"/>
      <c r="PRW124" s="381"/>
      <c r="PRX124" s="381"/>
      <c r="PRY124" s="381"/>
      <c r="PRZ124" s="381"/>
      <c r="PSA124" s="381"/>
      <c r="PSB124" s="381"/>
      <c r="PSC124" s="381"/>
      <c r="PSD124" s="381"/>
      <c r="PSE124" s="381"/>
      <c r="PSF124" s="381"/>
      <c r="PSG124" s="381"/>
      <c r="PSH124" s="381"/>
      <c r="PSI124" s="381"/>
      <c r="PSJ124" s="381"/>
      <c r="PSK124" s="381"/>
      <c r="PSL124" s="381"/>
      <c r="PSM124" s="381"/>
      <c r="PSN124" s="381"/>
      <c r="PSO124" s="381"/>
      <c r="PSP124" s="381"/>
      <c r="PSQ124" s="381"/>
      <c r="PSR124" s="381"/>
      <c r="PSS124" s="381"/>
      <c r="PST124" s="381"/>
      <c r="PSU124" s="381"/>
      <c r="PSV124" s="381"/>
      <c r="PSW124" s="381"/>
      <c r="PSX124" s="381"/>
      <c r="PSY124" s="381"/>
      <c r="PSZ124" s="381"/>
      <c r="PTA124" s="381"/>
      <c r="PTB124" s="381"/>
      <c r="PTC124" s="381"/>
      <c r="PTD124" s="381"/>
      <c r="PTE124" s="381"/>
      <c r="PTF124" s="381"/>
      <c r="PTG124" s="381"/>
      <c r="PTH124" s="381"/>
      <c r="PTI124" s="381"/>
      <c r="PTJ124" s="381"/>
      <c r="PTK124" s="381"/>
      <c r="PTL124" s="381"/>
      <c r="PTM124" s="381"/>
      <c r="PTN124" s="381"/>
      <c r="PTO124" s="381"/>
      <c r="PTP124" s="381"/>
      <c r="PTQ124" s="381"/>
      <c r="PTR124" s="381"/>
      <c r="PTS124" s="381"/>
      <c r="PTT124" s="381"/>
      <c r="PTU124" s="381"/>
      <c r="PTV124" s="381"/>
      <c r="PTW124" s="381"/>
      <c r="PTX124" s="381"/>
      <c r="PTY124" s="381"/>
      <c r="PTZ124" s="381"/>
      <c r="PUA124" s="381"/>
      <c r="PUB124" s="381"/>
      <c r="PUC124" s="381"/>
      <c r="PUD124" s="381"/>
      <c r="PUE124" s="381"/>
      <c r="PUF124" s="381"/>
      <c r="PUG124" s="381"/>
      <c r="PUH124" s="381"/>
      <c r="PUI124" s="381"/>
      <c r="PUJ124" s="381"/>
      <c r="PUK124" s="381"/>
      <c r="PUL124" s="381"/>
      <c r="PUM124" s="381"/>
      <c r="PUN124" s="381"/>
      <c r="PUO124" s="381"/>
      <c r="PUP124" s="381"/>
      <c r="PUQ124" s="381"/>
      <c r="PUR124" s="381"/>
      <c r="PUS124" s="381"/>
      <c r="PUT124" s="381"/>
      <c r="PUU124" s="381"/>
      <c r="PUV124" s="381"/>
      <c r="PUW124" s="381"/>
      <c r="PUX124" s="381"/>
      <c r="PUY124" s="381"/>
      <c r="PUZ124" s="381"/>
      <c r="PVA124" s="381"/>
      <c r="PVB124" s="381"/>
      <c r="PVC124" s="381"/>
      <c r="PVD124" s="381"/>
      <c r="PVE124" s="381"/>
      <c r="PVF124" s="381"/>
      <c r="PVG124" s="381"/>
      <c r="PVH124" s="381"/>
      <c r="PVI124" s="381"/>
      <c r="PVJ124" s="381"/>
      <c r="PVK124" s="381"/>
      <c r="PVL124" s="381"/>
      <c r="PVM124" s="381"/>
      <c r="PVN124" s="381"/>
      <c r="PVO124" s="381"/>
      <c r="PVP124" s="381"/>
      <c r="PVQ124" s="381"/>
      <c r="PVR124" s="381"/>
      <c r="PVS124" s="381"/>
      <c r="PVT124" s="381"/>
      <c r="PVU124" s="381"/>
      <c r="PVV124" s="381"/>
      <c r="PVW124" s="381"/>
      <c r="PVX124" s="381"/>
      <c r="PVY124" s="381"/>
      <c r="PVZ124" s="381"/>
      <c r="PWA124" s="381"/>
      <c r="PWB124" s="381"/>
      <c r="PWC124" s="381"/>
      <c r="PWD124" s="381"/>
      <c r="PWE124" s="381"/>
      <c r="PWF124" s="381"/>
      <c r="PWG124" s="381"/>
      <c r="PWH124" s="381"/>
      <c r="PWI124" s="381"/>
      <c r="PWJ124" s="381"/>
      <c r="PWK124" s="381"/>
      <c r="PWL124" s="381"/>
      <c r="PWM124" s="381"/>
      <c r="PWN124" s="381"/>
      <c r="PWO124" s="381"/>
      <c r="PWP124" s="381"/>
      <c r="PWQ124" s="381"/>
      <c r="PWR124" s="381"/>
      <c r="PWS124" s="381"/>
      <c r="PWT124" s="381"/>
      <c r="PWU124" s="381"/>
      <c r="PWV124" s="381"/>
      <c r="PWW124" s="381"/>
      <c r="PWX124" s="381"/>
      <c r="PWY124" s="381"/>
      <c r="PWZ124" s="381"/>
      <c r="PXA124" s="381"/>
      <c r="PXB124" s="381"/>
      <c r="PXC124" s="381"/>
      <c r="PXD124" s="381"/>
      <c r="PXE124" s="381"/>
      <c r="PXF124" s="381"/>
      <c r="PXG124" s="381"/>
      <c r="PXH124" s="381"/>
      <c r="PXI124" s="381"/>
      <c r="PXJ124" s="381"/>
      <c r="PXK124" s="381"/>
      <c r="PXL124" s="381"/>
      <c r="PXM124" s="381"/>
      <c r="PXN124" s="381"/>
      <c r="PXO124" s="381"/>
      <c r="PXP124" s="381"/>
      <c r="PXQ124" s="381"/>
      <c r="PXR124" s="381"/>
      <c r="PXS124" s="381"/>
      <c r="PXT124" s="381"/>
      <c r="PXU124" s="381"/>
      <c r="PXV124" s="381"/>
      <c r="PXW124" s="381"/>
      <c r="PXX124" s="381"/>
      <c r="PXY124" s="381"/>
      <c r="PXZ124" s="381"/>
      <c r="PYA124" s="381"/>
      <c r="PYB124" s="381"/>
      <c r="PYC124" s="381"/>
      <c r="PYD124" s="381"/>
      <c r="PYE124" s="381"/>
      <c r="PYF124" s="381"/>
      <c r="PYG124" s="381"/>
      <c r="PYH124" s="381"/>
      <c r="PYI124" s="381"/>
      <c r="PYJ124" s="381"/>
      <c r="PYK124" s="381"/>
      <c r="PYL124" s="381"/>
      <c r="PYM124" s="381"/>
      <c r="PYN124" s="381"/>
      <c r="PYO124" s="381"/>
      <c r="PYP124" s="381"/>
      <c r="PYQ124" s="381"/>
      <c r="PYR124" s="381"/>
      <c r="PYS124" s="381"/>
      <c r="PYT124" s="381"/>
      <c r="PYU124" s="381"/>
      <c r="PYV124" s="381"/>
      <c r="PYW124" s="381"/>
      <c r="PYX124" s="381"/>
      <c r="PYY124" s="381"/>
      <c r="PYZ124" s="381"/>
      <c r="PZA124" s="381"/>
      <c r="PZB124" s="381"/>
      <c r="PZC124" s="381"/>
      <c r="PZD124" s="381"/>
      <c r="PZE124" s="381"/>
      <c r="PZF124" s="381"/>
      <c r="PZG124" s="381"/>
      <c r="PZH124" s="381"/>
      <c r="PZI124" s="381"/>
      <c r="PZJ124" s="381"/>
      <c r="PZK124" s="381"/>
      <c r="PZL124" s="381"/>
      <c r="PZM124" s="381"/>
      <c r="PZN124" s="381"/>
      <c r="PZO124" s="381"/>
      <c r="PZP124" s="381"/>
      <c r="PZQ124" s="381"/>
      <c r="PZR124" s="381"/>
      <c r="PZS124" s="381"/>
      <c r="PZT124" s="381"/>
      <c r="PZU124" s="381"/>
      <c r="PZV124" s="381"/>
      <c r="PZW124" s="381"/>
      <c r="PZX124" s="381"/>
      <c r="PZY124" s="381"/>
      <c r="PZZ124" s="381"/>
      <c r="QAA124" s="381"/>
      <c r="QAB124" s="381"/>
      <c r="QAC124" s="381"/>
      <c r="QAD124" s="381"/>
      <c r="QAE124" s="381"/>
      <c r="QAF124" s="381"/>
      <c r="QAG124" s="381"/>
      <c r="QAH124" s="381"/>
      <c r="QAI124" s="381"/>
      <c r="QAJ124" s="381"/>
      <c r="QAK124" s="381"/>
      <c r="QAL124" s="381"/>
      <c r="QAM124" s="381"/>
      <c r="QAN124" s="381"/>
      <c r="QAO124" s="381"/>
      <c r="QAP124" s="381"/>
      <c r="QAQ124" s="381"/>
      <c r="QAR124" s="381"/>
      <c r="QAS124" s="381"/>
      <c r="QAT124" s="381"/>
      <c r="QAU124" s="381"/>
      <c r="QAV124" s="381"/>
      <c r="QAW124" s="381"/>
      <c r="QAX124" s="381"/>
      <c r="QAY124" s="381"/>
      <c r="QAZ124" s="381"/>
      <c r="QBA124" s="381"/>
      <c r="QBB124" s="381"/>
      <c r="QBC124" s="381"/>
      <c r="QBD124" s="381"/>
      <c r="QBE124" s="381"/>
      <c r="QBF124" s="381"/>
      <c r="QBG124" s="381"/>
      <c r="QBH124" s="381"/>
      <c r="QBI124" s="381"/>
      <c r="QBJ124" s="381"/>
      <c r="QBK124" s="381"/>
      <c r="QBL124" s="381"/>
      <c r="QBM124" s="381"/>
      <c r="QBN124" s="381"/>
      <c r="QBO124" s="381"/>
      <c r="QBP124" s="381"/>
      <c r="QBQ124" s="381"/>
      <c r="QBR124" s="381"/>
      <c r="QBS124" s="381"/>
      <c r="QBT124" s="381"/>
      <c r="QBU124" s="381"/>
      <c r="QBV124" s="381"/>
      <c r="QBW124" s="381"/>
      <c r="QBX124" s="381"/>
      <c r="QBY124" s="381"/>
      <c r="QBZ124" s="381"/>
      <c r="QCA124" s="381"/>
      <c r="QCB124" s="381"/>
      <c r="QCC124" s="381"/>
      <c r="QCD124" s="381"/>
      <c r="QCE124" s="381"/>
      <c r="QCF124" s="381"/>
      <c r="QCG124" s="381"/>
      <c r="QCH124" s="381"/>
      <c r="QCI124" s="381"/>
      <c r="QCJ124" s="381"/>
      <c r="QCK124" s="381"/>
      <c r="QCL124" s="381"/>
      <c r="QCM124" s="381"/>
      <c r="QCN124" s="381"/>
      <c r="QCO124" s="381"/>
      <c r="QCP124" s="381"/>
      <c r="QCQ124" s="381"/>
      <c r="QCR124" s="381"/>
      <c r="QCS124" s="381"/>
      <c r="QCT124" s="381"/>
      <c r="QCU124" s="381"/>
      <c r="QCV124" s="381"/>
      <c r="QCW124" s="381"/>
      <c r="QCX124" s="381"/>
      <c r="QCY124" s="381"/>
      <c r="QCZ124" s="381"/>
      <c r="QDA124" s="381"/>
      <c r="QDB124" s="381"/>
      <c r="QDC124" s="381"/>
      <c r="QDD124" s="381"/>
      <c r="QDE124" s="381"/>
      <c r="QDF124" s="381"/>
      <c r="QDG124" s="381"/>
      <c r="QDH124" s="381"/>
      <c r="QDI124" s="381"/>
      <c r="QDJ124" s="381"/>
      <c r="QDK124" s="381"/>
      <c r="QDL124" s="381"/>
      <c r="QDM124" s="381"/>
      <c r="QDN124" s="381"/>
      <c r="QDO124" s="381"/>
      <c r="QDP124" s="381"/>
      <c r="QDQ124" s="381"/>
      <c r="QDR124" s="381"/>
      <c r="QDS124" s="381"/>
      <c r="QDT124" s="381"/>
      <c r="QDU124" s="381"/>
      <c r="QDV124" s="381"/>
      <c r="QDW124" s="381"/>
      <c r="QDX124" s="381"/>
      <c r="QDY124" s="381"/>
      <c r="QDZ124" s="381"/>
      <c r="QEA124" s="381"/>
      <c r="QEB124" s="381"/>
      <c r="QEC124" s="381"/>
      <c r="QED124" s="381"/>
      <c r="QEE124" s="381"/>
      <c r="QEF124" s="381"/>
      <c r="QEG124" s="381"/>
      <c r="QEH124" s="381"/>
      <c r="QEI124" s="381"/>
      <c r="QEJ124" s="381"/>
      <c r="QEK124" s="381"/>
      <c r="QEL124" s="381"/>
      <c r="QEM124" s="381"/>
      <c r="QEN124" s="381"/>
      <c r="QEO124" s="381"/>
      <c r="QEP124" s="381"/>
      <c r="QEQ124" s="381"/>
      <c r="QER124" s="381"/>
      <c r="QES124" s="381"/>
      <c r="QET124" s="381"/>
      <c r="QEU124" s="381"/>
      <c r="QEV124" s="381"/>
      <c r="QEW124" s="381"/>
      <c r="QEX124" s="381"/>
      <c r="QEY124" s="381"/>
      <c r="QEZ124" s="381"/>
      <c r="QFA124" s="381"/>
      <c r="QFB124" s="381"/>
      <c r="QFC124" s="381"/>
      <c r="QFD124" s="381"/>
      <c r="QFE124" s="381"/>
      <c r="QFF124" s="381"/>
      <c r="QFG124" s="381"/>
      <c r="QFH124" s="381"/>
      <c r="QFI124" s="381"/>
      <c r="QFJ124" s="381"/>
      <c r="QFK124" s="381"/>
      <c r="QFL124" s="381"/>
      <c r="QFM124" s="381"/>
      <c r="QFN124" s="381"/>
      <c r="QFO124" s="381"/>
      <c r="QFP124" s="381"/>
      <c r="QFQ124" s="381"/>
      <c r="QFR124" s="381"/>
      <c r="QFS124" s="381"/>
      <c r="QFT124" s="381"/>
      <c r="QFU124" s="381"/>
      <c r="QFV124" s="381"/>
      <c r="QFW124" s="381"/>
      <c r="QFX124" s="381"/>
      <c r="QFY124" s="381"/>
      <c r="QFZ124" s="381"/>
      <c r="QGA124" s="381"/>
      <c r="QGB124" s="381"/>
      <c r="QGC124" s="381"/>
      <c r="QGD124" s="381"/>
      <c r="QGE124" s="381"/>
      <c r="QGF124" s="381"/>
      <c r="QGG124" s="381"/>
      <c r="QGH124" s="381"/>
      <c r="QGI124" s="381"/>
      <c r="QGJ124" s="381"/>
      <c r="QGK124" s="381"/>
      <c r="QGL124" s="381"/>
      <c r="QGM124" s="381"/>
      <c r="QGN124" s="381"/>
      <c r="QGO124" s="381"/>
      <c r="QGP124" s="381"/>
      <c r="QGQ124" s="381"/>
      <c r="QGR124" s="381"/>
      <c r="QGS124" s="381"/>
      <c r="QGT124" s="381"/>
      <c r="QGU124" s="381"/>
      <c r="QGV124" s="381"/>
      <c r="QGW124" s="381"/>
      <c r="QGX124" s="381"/>
      <c r="QGY124" s="381"/>
      <c r="QGZ124" s="381"/>
      <c r="QHA124" s="381"/>
      <c r="QHB124" s="381"/>
      <c r="QHC124" s="381"/>
      <c r="QHD124" s="381"/>
      <c r="QHE124" s="381"/>
      <c r="QHF124" s="381"/>
      <c r="QHG124" s="381"/>
      <c r="QHH124" s="381"/>
      <c r="QHI124" s="381"/>
      <c r="QHJ124" s="381"/>
      <c r="QHK124" s="381"/>
      <c r="QHL124" s="381"/>
      <c r="QHM124" s="381"/>
      <c r="QHN124" s="381"/>
      <c r="QHO124" s="381"/>
      <c r="QHP124" s="381"/>
      <c r="QHQ124" s="381"/>
      <c r="QHR124" s="381"/>
      <c r="QHS124" s="381"/>
      <c r="QHT124" s="381"/>
      <c r="QHU124" s="381"/>
      <c r="QHV124" s="381"/>
      <c r="QHW124" s="381"/>
      <c r="QHX124" s="381"/>
      <c r="QHY124" s="381"/>
      <c r="QHZ124" s="381"/>
      <c r="QIA124" s="381"/>
      <c r="QIB124" s="381"/>
      <c r="QIC124" s="381"/>
      <c r="QID124" s="381"/>
      <c r="QIE124" s="381"/>
      <c r="QIF124" s="381"/>
      <c r="QIG124" s="381"/>
      <c r="QIH124" s="381"/>
      <c r="QII124" s="381"/>
      <c r="QIJ124" s="381"/>
      <c r="QIK124" s="381"/>
      <c r="QIL124" s="381"/>
      <c r="QIM124" s="381"/>
      <c r="QIN124" s="381"/>
      <c r="QIO124" s="381"/>
      <c r="QIP124" s="381"/>
      <c r="QIQ124" s="381"/>
      <c r="QIR124" s="381"/>
      <c r="QIS124" s="381"/>
      <c r="QIT124" s="381"/>
      <c r="QIU124" s="381"/>
      <c r="QIV124" s="381"/>
      <c r="QIW124" s="381"/>
      <c r="QIX124" s="381"/>
      <c r="QIY124" s="381"/>
      <c r="QIZ124" s="381"/>
      <c r="QJA124" s="381"/>
      <c r="QJB124" s="381"/>
      <c r="QJC124" s="381"/>
      <c r="QJD124" s="381"/>
      <c r="QJE124" s="381"/>
      <c r="QJF124" s="381"/>
      <c r="QJG124" s="381"/>
      <c r="QJH124" s="381"/>
      <c r="QJI124" s="381"/>
      <c r="QJJ124" s="381"/>
      <c r="QJK124" s="381"/>
      <c r="QJL124" s="381"/>
      <c r="QJM124" s="381"/>
      <c r="QJN124" s="381"/>
      <c r="QJO124" s="381"/>
      <c r="QJP124" s="381"/>
      <c r="QJQ124" s="381"/>
      <c r="QJR124" s="381"/>
      <c r="QJS124" s="381"/>
      <c r="QJT124" s="381"/>
      <c r="QJU124" s="381"/>
      <c r="QJV124" s="381"/>
      <c r="QJW124" s="381"/>
      <c r="QJX124" s="381"/>
      <c r="QJY124" s="381"/>
      <c r="QJZ124" s="381"/>
      <c r="QKA124" s="381"/>
      <c r="QKB124" s="381"/>
      <c r="QKC124" s="381"/>
      <c r="QKD124" s="381"/>
      <c r="QKE124" s="381"/>
      <c r="QKF124" s="381"/>
      <c r="QKG124" s="381"/>
      <c r="QKH124" s="381"/>
      <c r="QKI124" s="381"/>
      <c r="QKJ124" s="381"/>
      <c r="QKK124" s="381"/>
      <c r="QKL124" s="381"/>
      <c r="QKM124" s="381"/>
      <c r="QKN124" s="381"/>
      <c r="QKO124" s="381"/>
      <c r="QKP124" s="381"/>
      <c r="QKQ124" s="381"/>
      <c r="QKR124" s="381"/>
      <c r="QKS124" s="381"/>
      <c r="QKT124" s="381"/>
      <c r="QKU124" s="381"/>
      <c r="QKV124" s="381"/>
      <c r="QKW124" s="381"/>
      <c r="QKX124" s="381"/>
      <c r="QKY124" s="381"/>
      <c r="QKZ124" s="381"/>
      <c r="QLA124" s="381"/>
      <c r="QLB124" s="381"/>
      <c r="QLC124" s="381"/>
      <c r="QLD124" s="381"/>
      <c r="QLE124" s="381"/>
      <c r="QLF124" s="381"/>
      <c r="QLG124" s="381"/>
      <c r="QLH124" s="381"/>
      <c r="QLI124" s="381"/>
      <c r="QLJ124" s="381"/>
      <c r="QLK124" s="381"/>
      <c r="QLL124" s="381"/>
      <c r="QLM124" s="381"/>
      <c r="QLN124" s="381"/>
      <c r="QLO124" s="381"/>
      <c r="QLP124" s="381"/>
      <c r="QLQ124" s="381"/>
      <c r="QLR124" s="381"/>
      <c r="QLS124" s="381"/>
      <c r="QLT124" s="381"/>
      <c r="QLU124" s="381"/>
      <c r="QLV124" s="381"/>
      <c r="QLW124" s="381"/>
      <c r="QLX124" s="381"/>
      <c r="QLY124" s="381"/>
      <c r="QLZ124" s="381"/>
      <c r="QMA124" s="381"/>
      <c r="QMB124" s="381"/>
      <c r="QMC124" s="381"/>
      <c r="QMD124" s="381"/>
      <c r="QME124" s="381"/>
      <c r="QMF124" s="381"/>
      <c r="QMG124" s="381"/>
      <c r="QMH124" s="381"/>
      <c r="QMI124" s="381"/>
      <c r="QMJ124" s="381"/>
      <c r="QMK124" s="381"/>
      <c r="QML124" s="381"/>
      <c r="QMM124" s="381"/>
      <c r="QMN124" s="381"/>
      <c r="QMO124" s="381"/>
      <c r="QMP124" s="381"/>
      <c r="QMQ124" s="381"/>
      <c r="QMR124" s="381"/>
      <c r="QMS124" s="381"/>
      <c r="QMT124" s="381"/>
      <c r="QMU124" s="381"/>
      <c r="QMV124" s="381"/>
      <c r="QMW124" s="381"/>
      <c r="QMX124" s="381"/>
      <c r="QMY124" s="381"/>
      <c r="QMZ124" s="381"/>
      <c r="QNA124" s="381"/>
      <c r="QNB124" s="381"/>
      <c r="QNC124" s="381"/>
      <c r="QND124" s="381"/>
      <c r="QNE124" s="381"/>
      <c r="QNF124" s="381"/>
      <c r="QNG124" s="381"/>
      <c r="QNH124" s="381"/>
      <c r="QNI124" s="381"/>
      <c r="QNJ124" s="381"/>
      <c r="QNK124" s="381"/>
      <c r="QNL124" s="381"/>
      <c r="QNM124" s="381"/>
      <c r="QNN124" s="381"/>
      <c r="QNO124" s="381"/>
      <c r="QNP124" s="381"/>
      <c r="QNQ124" s="381"/>
      <c r="QNR124" s="381"/>
      <c r="QNS124" s="381"/>
      <c r="QNT124" s="381"/>
      <c r="QNU124" s="381"/>
      <c r="QNV124" s="381"/>
      <c r="QNW124" s="381"/>
      <c r="QNX124" s="381"/>
      <c r="QNY124" s="381"/>
      <c r="QNZ124" s="381"/>
      <c r="QOA124" s="381"/>
      <c r="QOB124" s="381"/>
      <c r="QOC124" s="381"/>
      <c r="QOD124" s="381"/>
      <c r="QOE124" s="381"/>
      <c r="QOF124" s="381"/>
      <c r="QOG124" s="381"/>
      <c r="QOH124" s="381"/>
      <c r="QOI124" s="381"/>
      <c r="QOJ124" s="381"/>
      <c r="QOK124" s="381"/>
      <c r="QOL124" s="381"/>
      <c r="QOM124" s="381"/>
      <c r="QON124" s="381"/>
      <c r="QOO124" s="381"/>
      <c r="QOP124" s="381"/>
      <c r="QOQ124" s="381"/>
      <c r="QOR124" s="381"/>
      <c r="QOS124" s="381"/>
      <c r="QOT124" s="381"/>
      <c r="QOU124" s="381"/>
      <c r="QOV124" s="381"/>
      <c r="QOW124" s="381"/>
      <c r="QOX124" s="381"/>
      <c r="QOY124" s="381"/>
      <c r="QOZ124" s="381"/>
      <c r="QPA124" s="381"/>
      <c r="QPB124" s="381"/>
      <c r="QPC124" s="381"/>
      <c r="QPD124" s="381"/>
      <c r="QPE124" s="381"/>
      <c r="QPF124" s="381"/>
      <c r="QPG124" s="381"/>
      <c r="QPH124" s="381"/>
      <c r="QPI124" s="381"/>
      <c r="QPJ124" s="381"/>
      <c r="QPK124" s="381"/>
      <c r="QPL124" s="381"/>
      <c r="QPM124" s="381"/>
      <c r="QPN124" s="381"/>
      <c r="QPO124" s="381"/>
      <c r="QPP124" s="381"/>
      <c r="QPQ124" s="381"/>
      <c r="QPR124" s="381"/>
      <c r="QPS124" s="381"/>
      <c r="QPT124" s="381"/>
      <c r="QPU124" s="381"/>
      <c r="QPV124" s="381"/>
      <c r="QPW124" s="381"/>
      <c r="QPX124" s="381"/>
      <c r="QPY124" s="381"/>
      <c r="QPZ124" s="381"/>
      <c r="QQA124" s="381"/>
      <c r="QQB124" s="381"/>
      <c r="QQC124" s="381"/>
      <c r="QQD124" s="381"/>
      <c r="QQE124" s="381"/>
      <c r="QQF124" s="381"/>
      <c r="QQG124" s="381"/>
      <c r="QQH124" s="381"/>
      <c r="QQI124" s="381"/>
      <c r="QQJ124" s="381"/>
      <c r="QQK124" s="381"/>
      <c r="QQL124" s="381"/>
      <c r="QQM124" s="381"/>
      <c r="QQN124" s="381"/>
      <c r="QQO124" s="381"/>
      <c r="QQP124" s="381"/>
      <c r="QQQ124" s="381"/>
      <c r="QQR124" s="381"/>
      <c r="QQS124" s="381"/>
      <c r="QQT124" s="381"/>
      <c r="QQU124" s="381"/>
      <c r="QQV124" s="381"/>
      <c r="QQW124" s="381"/>
      <c r="QQX124" s="381"/>
      <c r="QQY124" s="381"/>
      <c r="QQZ124" s="381"/>
      <c r="QRA124" s="381"/>
      <c r="QRB124" s="381"/>
      <c r="QRC124" s="381"/>
      <c r="QRD124" s="381"/>
      <c r="QRE124" s="381"/>
      <c r="QRF124" s="381"/>
      <c r="QRG124" s="381"/>
      <c r="QRH124" s="381"/>
      <c r="QRI124" s="381"/>
      <c r="QRJ124" s="381"/>
      <c r="QRK124" s="381"/>
      <c r="QRL124" s="381"/>
      <c r="QRM124" s="381"/>
      <c r="QRN124" s="381"/>
      <c r="QRO124" s="381"/>
      <c r="QRP124" s="381"/>
      <c r="QRQ124" s="381"/>
      <c r="QRR124" s="381"/>
      <c r="QRS124" s="381"/>
      <c r="QRT124" s="381"/>
      <c r="QRU124" s="381"/>
      <c r="QRV124" s="381"/>
      <c r="QRW124" s="381"/>
      <c r="QRX124" s="381"/>
      <c r="QRY124" s="381"/>
      <c r="QRZ124" s="381"/>
      <c r="QSA124" s="381"/>
      <c r="QSB124" s="381"/>
      <c r="QSC124" s="381"/>
      <c r="QSD124" s="381"/>
      <c r="QSE124" s="381"/>
      <c r="QSF124" s="381"/>
      <c r="QSG124" s="381"/>
      <c r="QSH124" s="381"/>
      <c r="QSI124" s="381"/>
      <c r="QSJ124" s="381"/>
      <c r="QSK124" s="381"/>
      <c r="QSL124" s="381"/>
      <c r="QSM124" s="381"/>
      <c r="QSN124" s="381"/>
      <c r="QSO124" s="381"/>
      <c r="QSP124" s="381"/>
      <c r="QSQ124" s="381"/>
      <c r="QSR124" s="381"/>
      <c r="QSS124" s="381"/>
      <c r="QST124" s="381"/>
      <c r="QSU124" s="381"/>
      <c r="QSV124" s="381"/>
      <c r="QSW124" s="381"/>
      <c r="QSX124" s="381"/>
      <c r="QSY124" s="381"/>
      <c r="QSZ124" s="381"/>
      <c r="QTA124" s="381"/>
      <c r="QTB124" s="381"/>
      <c r="QTC124" s="381"/>
      <c r="QTD124" s="381"/>
      <c r="QTE124" s="381"/>
      <c r="QTF124" s="381"/>
      <c r="QTG124" s="381"/>
      <c r="QTH124" s="381"/>
      <c r="QTI124" s="381"/>
      <c r="QTJ124" s="381"/>
      <c r="QTK124" s="381"/>
      <c r="QTL124" s="381"/>
      <c r="QTM124" s="381"/>
      <c r="QTN124" s="381"/>
      <c r="QTO124" s="381"/>
      <c r="QTP124" s="381"/>
      <c r="QTQ124" s="381"/>
      <c r="QTR124" s="381"/>
      <c r="QTS124" s="381"/>
      <c r="QTT124" s="381"/>
      <c r="QTU124" s="381"/>
      <c r="QTV124" s="381"/>
      <c r="QTW124" s="381"/>
      <c r="QTX124" s="381"/>
      <c r="QTY124" s="381"/>
      <c r="QTZ124" s="381"/>
      <c r="QUA124" s="381"/>
      <c r="QUB124" s="381"/>
      <c r="QUC124" s="381"/>
      <c r="QUD124" s="381"/>
      <c r="QUE124" s="381"/>
      <c r="QUF124" s="381"/>
      <c r="QUG124" s="381"/>
      <c r="QUH124" s="381"/>
      <c r="QUI124" s="381"/>
      <c r="QUJ124" s="381"/>
      <c r="QUK124" s="381"/>
      <c r="QUL124" s="381"/>
      <c r="QUM124" s="381"/>
      <c r="QUN124" s="381"/>
      <c r="QUO124" s="381"/>
      <c r="QUP124" s="381"/>
      <c r="QUQ124" s="381"/>
      <c r="QUR124" s="381"/>
      <c r="QUS124" s="381"/>
      <c r="QUT124" s="381"/>
      <c r="QUU124" s="381"/>
      <c r="QUV124" s="381"/>
      <c r="QUW124" s="381"/>
      <c r="QUX124" s="381"/>
      <c r="QUY124" s="381"/>
      <c r="QUZ124" s="381"/>
      <c r="QVA124" s="381"/>
      <c r="QVB124" s="381"/>
      <c r="QVC124" s="381"/>
      <c r="QVD124" s="381"/>
      <c r="QVE124" s="381"/>
      <c r="QVF124" s="381"/>
      <c r="QVG124" s="381"/>
      <c r="QVH124" s="381"/>
      <c r="QVI124" s="381"/>
      <c r="QVJ124" s="381"/>
      <c r="QVK124" s="381"/>
      <c r="QVL124" s="381"/>
      <c r="QVM124" s="381"/>
      <c r="QVN124" s="381"/>
      <c r="QVO124" s="381"/>
      <c r="QVP124" s="381"/>
      <c r="QVQ124" s="381"/>
      <c r="QVR124" s="381"/>
      <c r="QVS124" s="381"/>
      <c r="QVT124" s="381"/>
      <c r="QVU124" s="381"/>
      <c r="QVV124" s="381"/>
      <c r="QVW124" s="381"/>
      <c r="QVX124" s="381"/>
      <c r="QVY124" s="381"/>
      <c r="QVZ124" s="381"/>
      <c r="QWA124" s="381"/>
      <c r="QWB124" s="381"/>
      <c r="QWC124" s="381"/>
      <c r="QWD124" s="381"/>
      <c r="QWE124" s="381"/>
      <c r="QWF124" s="381"/>
      <c r="QWG124" s="381"/>
      <c r="QWH124" s="381"/>
      <c r="QWI124" s="381"/>
      <c r="QWJ124" s="381"/>
      <c r="QWK124" s="381"/>
      <c r="QWL124" s="381"/>
      <c r="QWM124" s="381"/>
      <c r="QWN124" s="381"/>
      <c r="QWO124" s="381"/>
      <c r="QWP124" s="381"/>
      <c r="QWQ124" s="381"/>
      <c r="QWR124" s="381"/>
      <c r="QWS124" s="381"/>
      <c r="QWT124" s="381"/>
      <c r="QWU124" s="381"/>
      <c r="QWV124" s="381"/>
      <c r="QWW124" s="381"/>
      <c r="QWX124" s="381"/>
      <c r="QWY124" s="381"/>
      <c r="QWZ124" s="381"/>
      <c r="QXA124" s="381"/>
      <c r="QXB124" s="381"/>
      <c r="QXC124" s="381"/>
      <c r="QXD124" s="381"/>
      <c r="QXE124" s="381"/>
      <c r="QXF124" s="381"/>
      <c r="QXG124" s="381"/>
      <c r="QXH124" s="381"/>
      <c r="QXI124" s="381"/>
      <c r="QXJ124" s="381"/>
      <c r="QXK124" s="381"/>
      <c r="QXL124" s="381"/>
      <c r="QXM124" s="381"/>
      <c r="QXN124" s="381"/>
      <c r="QXO124" s="381"/>
      <c r="QXP124" s="381"/>
      <c r="QXQ124" s="381"/>
      <c r="QXR124" s="381"/>
      <c r="QXS124" s="381"/>
      <c r="QXT124" s="381"/>
      <c r="QXU124" s="381"/>
      <c r="QXV124" s="381"/>
      <c r="QXW124" s="381"/>
      <c r="QXX124" s="381"/>
      <c r="QXY124" s="381"/>
      <c r="QXZ124" s="381"/>
      <c r="QYA124" s="381"/>
      <c r="QYB124" s="381"/>
      <c r="QYC124" s="381"/>
      <c r="QYD124" s="381"/>
      <c r="QYE124" s="381"/>
      <c r="QYF124" s="381"/>
      <c r="QYG124" s="381"/>
      <c r="QYH124" s="381"/>
      <c r="QYI124" s="381"/>
      <c r="QYJ124" s="381"/>
      <c r="QYK124" s="381"/>
      <c r="QYL124" s="381"/>
      <c r="QYM124" s="381"/>
      <c r="QYN124" s="381"/>
      <c r="QYO124" s="381"/>
      <c r="QYP124" s="381"/>
      <c r="QYQ124" s="381"/>
      <c r="QYR124" s="381"/>
      <c r="QYS124" s="381"/>
      <c r="QYT124" s="381"/>
      <c r="QYU124" s="381"/>
      <c r="QYV124" s="381"/>
      <c r="QYW124" s="381"/>
      <c r="QYX124" s="381"/>
      <c r="QYY124" s="381"/>
      <c r="QYZ124" s="381"/>
      <c r="QZA124" s="381"/>
      <c r="QZB124" s="381"/>
      <c r="QZC124" s="381"/>
      <c r="QZD124" s="381"/>
      <c r="QZE124" s="381"/>
      <c r="QZF124" s="381"/>
      <c r="QZG124" s="381"/>
      <c r="QZH124" s="381"/>
      <c r="QZI124" s="381"/>
      <c r="QZJ124" s="381"/>
      <c r="QZK124" s="381"/>
      <c r="QZL124" s="381"/>
      <c r="QZM124" s="381"/>
      <c r="QZN124" s="381"/>
      <c r="QZO124" s="381"/>
      <c r="QZP124" s="381"/>
      <c r="QZQ124" s="381"/>
      <c r="QZR124" s="381"/>
      <c r="QZS124" s="381"/>
      <c r="QZT124" s="381"/>
      <c r="QZU124" s="381"/>
      <c r="QZV124" s="381"/>
      <c r="QZW124" s="381"/>
      <c r="QZX124" s="381"/>
      <c r="QZY124" s="381"/>
      <c r="QZZ124" s="381"/>
      <c r="RAA124" s="381"/>
      <c r="RAB124" s="381"/>
      <c r="RAC124" s="381"/>
      <c r="RAD124" s="381"/>
      <c r="RAE124" s="381"/>
      <c r="RAF124" s="381"/>
      <c r="RAG124" s="381"/>
      <c r="RAH124" s="381"/>
      <c r="RAI124" s="381"/>
      <c r="RAJ124" s="381"/>
      <c r="RAK124" s="381"/>
      <c r="RAL124" s="381"/>
      <c r="RAM124" s="381"/>
      <c r="RAN124" s="381"/>
      <c r="RAO124" s="381"/>
      <c r="RAP124" s="381"/>
      <c r="RAQ124" s="381"/>
      <c r="RAR124" s="381"/>
      <c r="RAS124" s="381"/>
      <c r="RAT124" s="381"/>
      <c r="RAU124" s="381"/>
      <c r="RAV124" s="381"/>
      <c r="RAW124" s="381"/>
      <c r="RAX124" s="381"/>
      <c r="RAY124" s="381"/>
      <c r="RAZ124" s="381"/>
      <c r="RBA124" s="381"/>
      <c r="RBB124" s="381"/>
      <c r="RBC124" s="381"/>
      <c r="RBD124" s="381"/>
      <c r="RBE124" s="381"/>
      <c r="RBF124" s="381"/>
      <c r="RBG124" s="381"/>
      <c r="RBH124" s="381"/>
      <c r="RBI124" s="381"/>
      <c r="RBJ124" s="381"/>
      <c r="RBK124" s="381"/>
      <c r="RBL124" s="381"/>
      <c r="RBM124" s="381"/>
      <c r="RBN124" s="381"/>
      <c r="RBO124" s="381"/>
      <c r="RBP124" s="381"/>
      <c r="RBQ124" s="381"/>
      <c r="RBR124" s="381"/>
      <c r="RBS124" s="381"/>
      <c r="RBT124" s="381"/>
      <c r="RBU124" s="381"/>
      <c r="RBV124" s="381"/>
      <c r="RBW124" s="381"/>
      <c r="RBX124" s="381"/>
      <c r="RBY124" s="381"/>
      <c r="RBZ124" s="381"/>
      <c r="RCA124" s="381"/>
      <c r="RCB124" s="381"/>
      <c r="RCC124" s="381"/>
      <c r="RCD124" s="381"/>
      <c r="RCE124" s="381"/>
      <c r="RCF124" s="381"/>
      <c r="RCG124" s="381"/>
      <c r="RCH124" s="381"/>
      <c r="RCI124" s="381"/>
      <c r="RCJ124" s="381"/>
      <c r="RCK124" s="381"/>
      <c r="RCL124" s="381"/>
      <c r="RCM124" s="381"/>
      <c r="RCN124" s="381"/>
      <c r="RCO124" s="381"/>
      <c r="RCP124" s="381"/>
      <c r="RCQ124" s="381"/>
      <c r="RCR124" s="381"/>
      <c r="RCS124" s="381"/>
      <c r="RCT124" s="381"/>
      <c r="RCU124" s="381"/>
      <c r="RCV124" s="381"/>
      <c r="RCW124" s="381"/>
      <c r="RCX124" s="381"/>
      <c r="RCY124" s="381"/>
      <c r="RCZ124" s="381"/>
      <c r="RDA124" s="381"/>
      <c r="RDB124" s="381"/>
      <c r="RDC124" s="381"/>
      <c r="RDD124" s="381"/>
      <c r="RDE124" s="381"/>
      <c r="RDF124" s="381"/>
      <c r="RDG124" s="381"/>
      <c r="RDH124" s="381"/>
      <c r="RDI124" s="381"/>
      <c r="RDJ124" s="381"/>
      <c r="RDK124" s="381"/>
      <c r="RDL124" s="381"/>
      <c r="RDM124" s="381"/>
      <c r="RDN124" s="381"/>
      <c r="RDO124" s="381"/>
      <c r="RDP124" s="381"/>
      <c r="RDQ124" s="381"/>
      <c r="RDR124" s="381"/>
      <c r="RDS124" s="381"/>
      <c r="RDT124" s="381"/>
      <c r="RDU124" s="381"/>
      <c r="RDV124" s="381"/>
      <c r="RDW124" s="381"/>
      <c r="RDX124" s="381"/>
      <c r="RDY124" s="381"/>
      <c r="RDZ124" s="381"/>
      <c r="REA124" s="381"/>
      <c r="REB124" s="381"/>
      <c r="REC124" s="381"/>
      <c r="RED124" s="381"/>
      <c r="REE124" s="381"/>
      <c r="REF124" s="381"/>
      <c r="REG124" s="381"/>
      <c r="REH124" s="381"/>
      <c r="REI124" s="381"/>
      <c r="REJ124" s="381"/>
      <c r="REK124" s="381"/>
      <c r="REL124" s="381"/>
      <c r="REM124" s="381"/>
      <c r="REN124" s="381"/>
      <c r="REO124" s="381"/>
      <c r="REP124" s="381"/>
      <c r="REQ124" s="381"/>
      <c r="RER124" s="381"/>
      <c r="RES124" s="381"/>
      <c r="RET124" s="381"/>
      <c r="REU124" s="381"/>
      <c r="REV124" s="381"/>
      <c r="REW124" s="381"/>
      <c r="REX124" s="381"/>
      <c r="REY124" s="381"/>
      <c r="REZ124" s="381"/>
      <c r="RFA124" s="381"/>
      <c r="RFB124" s="381"/>
      <c r="RFC124" s="381"/>
      <c r="RFD124" s="381"/>
      <c r="RFE124" s="381"/>
      <c r="RFF124" s="381"/>
      <c r="RFG124" s="381"/>
      <c r="RFH124" s="381"/>
      <c r="RFI124" s="381"/>
      <c r="RFJ124" s="381"/>
      <c r="RFK124" s="381"/>
      <c r="RFL124" s="381"/>
      <c r="RFM124" s="381"/>
      <c r="RFN124" s="381"/>
      <c r="RFO124" s="381"/>
      <c r="RFP124" s="381"/>
      <c r="RFQ124" s="381"/>
      <c r="RFR124" s="381"/>
      <c r="RFS124" s="381"/>
      <c r="RFT124" s="381"/>
      <c r="RFU124" s="381"/>
      <c r="RFV124" s="381"/>
      <c r="RFW124" s="381"/>
      <c r="RFX124" s="381"/>
      <c r="RFY124" s="381"/>
      <c r="RFZ124" s="381"/>
      <c r="RGA124" s="381"/>
      <c r="RGB124" s="381"/>
      <c r="RGC124" s="381"/>
      <c r="RGD124" s="381"/>
      <c r="RGE124" s="381"/>
      <c r="RGF124" s="381"/>
      <c r="RGG124" s="381"/>
      <c r="RGH124" s="381"/>
      <c r="RGI124" s="381"/>
      <c r="RGJ124" s="381"/>
      <c r="RGK124" s="381"/>
      <c r="RGL124" s="381"/>
      <c r="RGM124" s="381"/>
      <c r="RGN124" s="381"/>
      <c r="RGO124" s="381"/>
      <c r="RGP124" s="381"/>
      <c r="RGQ124" s="381"/>
      <c r="RGR124" s="381"/>
      <c r="RGS124" s="381"/>
      <c r="RGT124" s="381"/>
      <c r="RGU124" s="381"/>
      <c r="RGV124" s="381"/>
      <c r="RGW124" s="381"/>
      <c r="RGX124" s="381"/>
      <c r="RGY124" s="381"/>
      <c r="RGZ124" s="381"/>
      <c r="RHA124" s="381"/>
      <c r="RHB124" s="381"/>
      <c r="RHC124" s="381"/>
      <c r="RHD124" s="381"/>
      <c r="RHE124" s="381"/>
      <c r="RHF124" s="381"/>
      <c r="RHG124" s="381"/>
      <c r="RHH124" s="381"/>
      <c r="RHI124" s="381"/>
      <c r="RHJ124" s="381"/>
      <c r="RHK124" s="381"/>
      <c r="RHL124" s="381"/>
      <c r="RHM124" s="381"/>
      <c r="RHN124" s="381"/>
      <c r="RHO124" s="381"/>
      <c r="RHP124" s="381"/>
      <c r="RHQ124" s="381"/>
      <c r="RHR124" s="381"/>
      <c r="RHS124" s="381"/>
      <c r="RHT124" s="381"/>
      <c r="RHU124" s="381"/>
      <c r="RHV124" s="381"/>
      <c r="RHW124" s="381"/>
      <c r="RHX124" s="381"/>
      <c r="RHY124" s="381"/>
      <c r="RHZ124" s="381"/>
      <c r="RIA124" s="381"/>
      <c r="RIB124" s="381"/>
      <c r="RIC124" s="381"/>
      <c r="RID124" s="381"/>
      <c r="RIE124" s="381"/>
      <c r="RIF124" s="381"/>
      <c r="RIG124" s="381"/>
      <c r="RIH124" s="381"/>
      <c r="RII124" s="381"/>
      <c r="RIJ124" s="381"/>
      <c r="RIK124" s="381"/>
      <c r="RIL124" s="381"/>
      <c r="RIM124" s="381"/>
      <c r="RIN124" s="381"/>
      <c r="RIO124" s="381"/>
      <c r="RIP124" s="381"/>
      <c r="RIQ124" s="381"/>
      <c r="RIR124" s="381"/>
      <c r="RIS124" s="381"/>
      <c r="RIT124" s="381"/>
      <c r="RIU124" s="381"/>
      <c r="RIV124" s="381"/>
      <c r="RIW124" s="381"/>
      <c r="RIX124" s="381"/>
      <c r="RIY124" s="381"/>
      <c r="RIZ124" s="381"/>
      <c r="RJA124" s="381"/>
      <c r="RJB124" s="381"/>
      <c r="RJC124" s="381"/>
      <c r="RJD124" s="381"/>
      <c r="RJE124" s="381"/>
      <c r="RJF124" s="381"/>
      <c r="RJG124" s="381"/>
      <c r="RJH124" s="381"/>
      <c r="RJI124" s="381"/>
      <c r="RJJ124" s="381"/>
      <c r="RJK124" s="381"/>
      <c r="RJL124" s="381"/>
      <c r="RJM124" s="381"/>
      <c r="RJN124" s="381"/>
      <c r="RJO124" s="381"/>
      <c r="RJP124" s="381"/>
      <c r="RJQ124" s="381"/>
      <c r="RJR124" s="381"/>
      <c r="RJS124" s="381"/>
      <c r="RJT124" s="381"/>
      <c r="RJU124" s="381"/>
      <c r="RJV124" s="381"/>
      <c r="RJW124" s="381"/>
      <c r="RJX124" s="381"/>
      <c r="RJY124" s="381"/>
      <c r="RJZ124" s="381"/>
      <c r="RKA124" s="381"/>
      <c r="RKB124" s="381"/>
      <c r="RKC124" s="381"/>
      <c r="RKD124" s="381"/>
      <c r="RKE124" s="381"/>
      <c r="RKF124" s="381"/>
      <c r="RKG124" s="381"/>
      <c r="RKH124" s="381"/>
      <c r="RKI124" s="381"/>
      <c r="RKJ124" s="381"/>
      <c r="RKK124" s="381"/>
      <c r="RKL124" s="381"/>
      <c r="RKM124" s="381"/>
      <c r="RKN124" s="381"/>
      <c r="RKO124" s="381"/>
      <c r="RKP124" s="381"/>
      <c r="RKQ124" s="381"/>
      <c r="RKR124" s="381"/>
      <c r="RKS124" s="381"/>
      <c r="RKT124" s="381"/>
      <c r="RKU124" s="381"/>
      <c r="RKV124" s="381"/>
      <c r="RKW124" s="381"/>
      <c r="RKX124" s="381"/>
      <c r="RKY124" s="381"/>
      <c r="RKZ124" s="381"/>
      <c r="RLA124" s="381"/>
      <c r="RLB124" s="381"/>
      <c r="RLC124" s="381"/>
      <c r="RLD124" s="381"/>
      <c r="RLE124" s="381"/>
      <c r="RLF124" s="381"/>
      <c r="RLG124" s="381"/>
      <c r="RLH124" s="381"/>
      <c r="RLI124" s="381"/>
      <c r="RLJ124" s="381"/>
      <c r="RLK124" s="381"/>
      <c r="RLL124" s="381"/>
      <c r="RLM124" s="381"/>
      <c r="RLN124" s="381"/>
      <c r="RLO124" s="381"/>
      <c r="RLP124" s="381"/>
      <c r="RLQ124" s="381"/>
      <c r="RLR124" s="381"/>
      <c r="RLS124" s="381"/>
      <c r="RLT124" s="381"/>
      <c r="RLU124" s="381"/>
      <c r="RLV124" s="381"/>
      <c r="RLW124" s="381"/>
      <c r="RLX124" s="381"/>
      <c r="RLY124" s="381"/>
      <c r="RLZ124" s="381"/>
      <c r="RMA124" s="381"/>
      <c r="RMB124" s="381"/>
      <c r="RMC124" s="381"/>
      <c r="RMD124" s="381"/>
      <c r="RME124" s="381"/>
      <c r="RMF124" s="381"/>
      <c r="RMG124" s="381"/>
      <c r="RMH124" s="381"/>
      <c r="RMI124" s="381"/>
      <c r="RMJ124" s="381"/>
      <c r="RMK124" s="381"/>
      <c r="RML124" s="381"/>
      <c r="RMM124" s="381"/>
      <c r="RMN124" s="381"/>
      <c r="RMO124" s="381"/>
      <c r="RMP124" s="381"/>
      <c r="RMQ124" s="381"/>
      <c r="RMR124" s="381"/>
      <c r="RMS124" s="381"/>
      <c r="RMT124" s="381"/>
      <c r="RMU124" s="381"/>
      <c r="RMV124" s="381"/>
      <c r="RMW124" s="381"/>
      <c r="RMX124" s="381"/>
      <c r="RMY124" s="381"/>
      <c r="RMZ124" s="381"/>
      <c r="RNA124" s="381"/>
      <c r="RNB124" s="381"/>
      <c r="RNC124" s="381"/>
      <c r="RND124" s="381"/>
      <c r="RNE124" s="381"/>
      <c r="RNF124" s="381"/>
      <c r="RNG124" s="381"/>
      <c r="RNH124" s="381"/>
      <c r="RNI124" s="381"/>
      <c r="RNJ124" s="381"/>
      <c r="RNK124" s="381"/>
      <c r="RNL124" s="381"/>
      <c r="RNM124" s="381"/>
      <c r="RNN124" s="381"/>
      <c r="RNO124" s="381"/>
      <c r="RNP124" s="381"/>
      <c r="RNQ124" s="381"/>
      <c r="RNR124" s="381"/>
      <c r="RNS124" s="381"/>
      <c r="RNT124" s="381"/>
      <c r="RNU124" s="381"/>
      <c r="RNV124" s="381"/>
      <c r="RNW124" s="381"/>
      <c r="RNX124" s="381"/>
      <c r="RNY124" s="381"/>
      <c r="RNZ124" s="381"/>
      <c r="ROA124" s="381"/>
      <c r="ROB124" s="381"/>
      <c r="ROC124" s="381"/>
      <c r="ROD124" s="381"/>
      <c r="ROE124" s="381"/>
      <c r="ROF124" s="381"/>
      <c r="ROG124" s="381"/>
      <c r="ROH124" s="381"/>
      <c r="ROI124" s="381"/>
      <c r="ROJ124" s="381"/>
      <c r="ROK124" s="381"/>
      <c r="ROL124" s="381"/>
      <c r="ROM124" s="381"/>
      <c r="RON124" s="381"/>
      <c r="ROO124" s="381"/>
      <c r="ROP124" s="381"/>
      <c r="ROQ124" s="381"/>
      <c r="ROR124" s="381"/>
      <c r="ROS124" s="381"/>
      <c r="ROT124" s="381"/>
      <c r="ROU124" s="381"/>
      <c r="ROV124" s="381"/>
      <c r="ROW124" s="381"/>
      <c r="ROX124" s="381"/>
      <c r="ROY124" s="381"/>
      <c r="ROZ124" s="381"/>
      <c r="RPA124" s="381"/>
      <c r="RPB124" s="381"/>
      <c r="RPC124" s="381"/>
      <c r="RPD124" s="381"/>
      <c r="RPE124" s="381"/>
      <c r="RPF124" s="381"/>
      <c r="RPG124" s="381"/>
      <c r="RPH124" s="381"/>
      <c r="RPI124" s="381"/>
      <c r="RPJ124" s="381"/>
      <c r="RPK124" s="381"/>
      <c r="RPL124" s="381"/>
      <c r="RPM124" s="381"/>
      <c r="RPN124" s="381"/>
      <c r="RPO124" s="381"/>
      <c r="RPP124" s="381"/>
      <c r="RPQ124" s="381"/>
      <c r="RPR124" s="381"/>
      <c r="RPS124" s="381"/>
      <c r="RPT124" s="381"/>
      <c r="RPU124" s="381"/>
      <c r="RPV124" s="381"/>
      <c r="RPW124" s="381"/>
      <c r="RPX124" s="381"/>
      <c r="RPY124" s="381"/>
      <c r="RPZ124" s="381"/>
      <c r="RQA124" s="381"/>
      <c r="RQB124" s="381"/>
      <c r="RQC124" s="381"/>
      <c r="RQD124" s="381"/>
      <c r="RQE124" s="381"/>
      <c r="RQF124" s="381"/>
      <c r="RQG124" s="381"/>
      <c r="RQH124" s="381"/>
      <c r="RQI124" s="381"/>
      <c r="RQJ124" s="381"/>
      <c r="RQK124" s="381"/>
      <c r="RQL124" s="381"/>
      <c r="RQM124" s="381"/>
      <c r="RQN124" s="381"/>
      <c r="RQO124" s="381"/>
      <c r="RQP124" s="381"/>
      <c r="RQQ124" s="381"/>
      <c r="RQR124" s="381"/>
      <c r="RQS124" s="381"/>
      <c r="RQT124" s="381"/>
      <c r="RQU124" s="381"/>
      <c r="RQV124" s="381"/>
      <c r="RQW124" s="381"/>
      <c r="RQX124" s="381"/>
      <c r="RQY124" s="381"/>
      <c r="RQZ124" s="381"/>
      <c r="RRA124" s="381"/>
      <c r="RRB124" s="381"/>
      <c r="RRC124" s="381"/>
      <c r="RRD124" s="381"/>
      <c r="RRE124" s="381"/>
      <c r="RRF124" s="381"/>
      <c r="RRG124" s="381"/>
      <c r="RRH124" s="381"/>
      <c r="RRI124" s="381"/>
      <c r="RRJ124" s="381"/>
      <c r="RRK124" s="381"/>
      <c r="RRL124" s="381"/>
      <c r="RRM124" s="381"/>
      <c r="RRN124" s="381"/>
      <c r="RRO124" s="381"/>
      <c r="RRP124" s="381"/>
      <c r="RRQ124" s="381"/>
      <c r="RRR124" s="381"/>
      <c r="RRS124" s="381"/>
      <c r="RRT124" s="381"/>
      <c r="RRU124" s="381"/>
      <c r="RRV124" s="381"/>
      <c r="RRW124" s="381"/>
      <c r="RRX124" s="381"/>
      <c r="RRY124" s="381"/>
      <c r="RRZ124" s="381"/>
      <c r="RSA124" s="381"/>
      <c r="RSB124" s="381"/>
      <c r="RSC124" s="381"/>
      <c r="RSD124" s="381"/>
      <c r="RSE124" s="381"/>
      <c r="RSF124" s="381"/>
      <c r="RSG124" s="381"/>
      <c r="RSH124" s="381"/>
      <c r="RSI124" s="381"/>
      <c r="RSJ124" s="381"/>
      <c r="RSK124" s="381"/>
      <c r="RSL124" s="381"/>
      <c r="RSM124" s="381"/>
      <c r="RSN124" s="381"/>
      <c r="RSO124" s="381"/>
      <c r="RSP124" s="381"/>
      <c r="RSQ124" s="381"/>
      <c r="RSR124" s="381"/>
      <c r="RSS124" s="381"/>
      <c r="RST124" s="381"/>
      <c r="RSU124" s="381"/>
      <c r="RSV124" s="381"/>
      <c r="RSW124" s="381"/>
      <c r="RSX124" s="381"/>
      <c r="RSY124" s="381"/>
      <c r="RSZ124" s="381"/>
      <c r="RTA124" s="381"/>
      <c r="RTB124" s="381"/>
      <c r="RTC124" s="381"/>
      <c r="RTD124" s="381"/>
      <c r="RTE124" s="381"/>
      <c r="RTF124" s="381"/>
      <c r="RTG124" s="381"/>
      <c r="RTH124" s="381"/>
      <c r="RTI124" s="381"/>
      <c r="RTJ124" s="381"/>
      <c r="RTK124" s="381"/>
      <c r="RTL124" s="381"/>
      <c r="RTM124" s="381"/>
      <c r="RTN124" s="381"/>
      <c r="RTO124" s="381"/>
      <c r="RTP124" s="381"/>
      <c r="RTQ124" s="381"/>
      <c r="RTR124" s="381"/>
      <c r="RTS124" s="381"/>
      <c r="RTT124" s="381"/>
      <c r="RTU124" s="381"/>
      <c r="RTV124" s="381"/>
      <c r="RTW124" s="381"/>
      <c r="RTX124" s="381"/>
      <c r="RTY124" s="381"/>
      <c r="RTZ124" s="381"/>
      <c r="RUA124" s="381"/>
      <c r="RUB124" s="381"/>
      <c r="RUC124" s="381"/>
      <c r="RUD124" s="381"/>
      <c r="RUE124" s="381"/>
      <c r="RUF124" s="381"/>
      <c r="RUG124" s="381"/>
      <c r="RUH124" s="381"/>
      <c r="RUI124" s="381"/>
      <c r="RUJ124" s="381"/>
      <c r="RUK124" s="381"/>
      <c r="RUL124" s="381"/>
      <c r="RUM124" s="381"/>
      <c r="RUN124" s="381"/>
      <c r="RUO124" s="381"/>
      <c r="RUP124" s="381"/>
      <c r="RUQ124" s="381"/>
      <c r="RUR124" s="381"/>
      <c r="RUS124" s="381"/>
      <c r="RUT124" s="381"/>
      <c r="RUU124" s="381"/>
      <c r="RUV124" s="381"/>
      <c r="RUW124" s="381"/>
      <c r="RUX124" s="381"/>
      <c r="RUY124" s="381"/>
      <c r="RUZ124" s="381"/>
      <c r="RVA124" s="381"/>
      <c r="RVB124" s="381"/>
      <c r="RVC124" s="381"/>
      <c r="RVD124" s="381"/>
      <c r="RVE124" s="381"/>
      <c r="RVF124" s="381"/>
      <c r="RVG124" s="381"/>
      <c r="RVH124" s="381"/>
      <c r="RVI124" s="381"/>
      <c r="RVJ124" s="381"/>
      <c r="RVK124" s="381"/>
      <c r="RVL124" s="381"/>
      <c r="RVM124" s="381"/>
      <c r="RVN124" s="381"/>
      <c r="RVO124" s="381"/>
      <c r="RVP124" s="381"/>
      <c r="RVQ124" s="381"/>
      <c r="RVR124" s="381"/>
      <c r="RVS124" s="381"/>
      <c r="RVT124" s="381"/>
      <c r="RVU124" s="381"/>
      <c r="RVV124" s="381"/>
      <c r="RVW124" s="381"/>
      <c r="RVX124" s="381"/>
      <c r="RVY124" s="381"/>
      <c r="RVZ124" s="381"/>
      <c r="RWA124" s="381"/>
      <c r="RWB124" s="381"/>
      <c r="RWC124" s="381"/>
      <c r="RWD124" s="381"/>
      <c r="RWE124" s="381"/>
      <c r="RWF124" s="381"/>
      <c r="RWG124" s="381"/>
      <c r="RWH124" s="381"/>
      <c r="RWI124" s="381"/>
      <c r="RWJ124" s="381"/>
      <c r="RWK124" s="381"/>
      <c r="RWL124" s="381"/>
      <c r="RWM124" s="381"/>
      <c r="RWN124" s="381"/>
      <c r="RWO124" s="381"/>
      <c r="RWP124" s="381"/>
      <c r="RWQ124" s="381"/>
      <c r="RWR124" s="381"/>
      <c r="RWS124" s="381"/>
      <c r="RWT124" s="381"/>
      <c r="RWU124" s="381"/>
      <c r="RWV124" s="381"/>
      <c r="RWW124" s="381"/>
      <c r="RWX124" s="381"/>
      <c r="RWY124" s="381"/>
      <c r="RWZ124" s="381"/>
      <c r="RXA124" s="381"/>
      <c r="RXB124" s="381"/>
      <c r="RXC124" s="381"/>
      <c r="RXD124" s="381"/>
      <c r="RXE124" s="381"/>
      <c r="RXF124" s="381"/>
      <c r="RXG124" s="381"/>
      <c r="RXH124" s="381"/>
      <c r="RXI124" s="381"/>
      <c r="RXJ124" s="381"/>
      <c r="RXK124" s="381"/>
      <c r="RXL124" s="381"/>
      <c r="RXM124" s="381"/>
      <c r="RXN124" s="381"/>
      <c r="RXO124" s="381"/>
      <c r="RXP124" s="381"/>
      <c r="RXQ124" s="381"/>
      <c r="RXR124" s="381"/>
      <c r="RXS124" s="381"/>
      <c r="RXT124" s="381"/>
      <c r="RXU124" s="381"/>
      <c r="RXV124" s="381"/>
      <c r="RXW124" s="381"/>
      <c r="RXX124" s="381"/>
      <c r="RXY124" s="381"/>
      <c r="RXZ124" s="381"/>
      <c r="RYA124" s="381"/>
      <c r="RYB124" s="381"/>
      <c r="RYC124" s="381"/>
      <c r="RYD124" s="381"/>
      <c r="RYE124" s="381"/>
      <c r="RYF124" s="381"/>
      <c r="RYG124" s="381"/>
      <c r="RYH124" s="381"/>
      <c r="RYI124" s="381"/>
      <c r="RYJ124" s="381"/>
      <c r="RYK124" s="381"/>
      <c r="RYL124" s="381"/>
      <c r="RYM124" s="381"/>
      <c r="RYN124" s="381"/>
      <c r="RYO124" s="381"/>
      <c r="RYP124" s="381"/>
      <c r="RYQ124" s="381"/>
      <c r="RYR124" s="381"/>
      <c r="RYS124" s="381"/>
      <c r="RYT124" s="381"/>
      <c r="RYU124" s="381"/>
      <c r="RYV124" s="381"/>
      <c r="RYW124" s="381"/>
      <c r="RYX124" s="381"/>
      <c r="RYY124" s="381"/>
      <c r="RYZ124" s="381"/>
      <c r="RZA124" s="381"/>
      <c r="RZB124" s="381"/>
      <c r="RZC124" s="381"/>
      <c r="RZD124" s="381"/>
      <c r="RZE124" s="381"/>
      <c r="RZF124" s="381"/>
      <c r="RZG124" s="381"/>
      <c r="RZH124" s="381"/>
      <c r="RZI124" s="381"/>
      <c r="RZJ124" s="381"/>
      <c r="RZK124" s="381"/>
      <c r="RZL124" s="381"/>
      <c r="RZM124" s="381"/>
      <c r="RZN124" s="381"/>
      <c r="RZO124" s="381"/>
      <c r="RZP124" s="381"/>
      <c r="RZQ124" s="381"/>
      <c r="RZR124" s="381"/>
      <c r="RZS124" s="381"/>
      <c r="RZT124" s="381"/>
      <c r="RZU124" s="381"/>
      <c r="RZV124" s="381"/>
      <c r="RZW124" s="381"/>
      <c r="RZX124" s="381"/>
      <c r="RZY124" s="381"/>
      <c r="RZZ124" s="381"/>
      <c r="SAA124" s="381"/>
      <c r="SAB124" s="381"/>
      <c r="SAC124" s="381"/>
      <c r="SAD124" s="381"/>
      <c r="SAE124" s="381"/>
      <c r="SAF124" s="381"/>
      <c r="SAG124" s="381"/>
      <c r="SAH124" s="381"/>
      <c r="SAI124" s="381"/>
      <c r="SAJ124" s="381"/>
      <c r="SAK124" s="381"/>
      <c r="SAL124" s="381"/>
      <c r="SAM124" s="381"/>
      <c r="SAN124" s="381"/>
      <c r="SAO124" s="381"/>
      <c r="SAP124" s="381"/>
      <c r="SAQ124" s="381"/>
      <c r="SAR124" s="381"/>
      <c r="SAS124" s="381"/>
      <c r="SAT124" s="381"/>
      <c r="SAU124" s="381"/>
      <c r="SAV124" s="381"/>
      <c r="SAW124" s="381"/>
      <c r="SAX124" s="381"/>
      <c r="SAY124" s="381"/>
      <c r="SAZ124" s="381"/>
      <c r="SBA124" s="381"/>
      <c r="SBB124" s="381"/>
      <c r="SBC124" s="381"/>
      <c r="SBD124" s="381"/>
      <c r="SBE124" s="381"/>
      <c r="SBF124" s="381"/>
      <c r="SBG124" s="381"/>
      <c r="SBH124" s="381"/>
      <c r="SBI124" s="381"/>
      <c r="SBJ124" s="381"/>
      <c r="SBK124" s="381"/>
      <c r="SBL124" s="381"/>
      <c r="SBM124" s="381"/>
      <c r="SBN124" s="381"/>
      <c r="SBO124" s="381"/>
      <c r="SBP124" s="381"/>
      <c r="SBQ124" s="381"/>
      <c r="SBR124" s="381"/>
      <c r="SBS124" s="381"/>
      <c r="SBT124" s="381"/>
      <c r="SBU124" s="381"/>
      <c r="SBV124" s="381"/>
      <c r="SBW124" s="381"/>
      <c r="SBX124" s="381"/>
      <c r="SBY124" s="381"/>
      <c r="SBZ124" s="381"/>
      <c r="SCA124" s="381"/>
      <c r="SCB124" s="381"/>
      <c r="SCC124" s="381"/>
      <c r="SCD124" s="381"/>
      <c r="SCE124" s="381"/>
      <c r="SCF124" s="381"/>
      <c r="SCG124" s="381"/>
      <c r="SCH124" s="381"/>
      <c r="SCI124" s="381"/>
      <c r="SCJ124" s="381"/>
      <c r="SCK124" s="381"/>
      <c r="SCL124" s="381"/>
      <c r="SCM124" s="381"/>
      <c r="SCN124" s="381"/>
      <c r="SCO124" s="381"/>
      <c r="SCP124" s="381"/>
      <c r="SCQ124" s="381"/>
      <c r="SCR124" s="381"/>
      <c r="SCS124" s="381"/>
      <c r="SCT124" s="381"/>
      <c r="SCU124" s="381"/>
      <c r="SCV124" s="381"/>
      <c r="SCW124" s="381"/>
      <c r="SCX124" s="381"/>
      <c r="SCY124" s="381"/>
      <c r="SCZ124" s="381"/>
      <c r="SDA124" s="381"/>
      <c r="SDB124" s="381"/>
      <c r="SDC124" s="381"/>
      <c r="SDD124" s="381"/>
      <c r="SDE124" s="381"/>
      <c r="SDF124" s="381"/>
      <c r="SDG124" s="381"/>
      <c r="SDH124" s="381"/>
      <c r="SDI124" s="381"/>
      <c r="SDJ124" s="381"/>
      <c r="SDK124" s="381"/>
      <c r="SDL124" s="381"/>
      <c r="SDM124" s="381"/>
      <c r="SDN124" s="381"/>
      <c r="SDO124" s="381"/>
      <c r="SDP124" s="381"/>
      <c r="SDQ124" s="381"/>
      <c r="SDR124" s="381"/>
      <c r="SDS124" s="381"/>
      <c r="SDT124" s="381"/>
      <c r="SDU124" s="381"/>
      <c r="SDV124" s="381"/>
      <c r="SDW124" s="381"/>
      <c r="SDX124" s="381"/>
      <c r="SDY124" s="381"/>
      <c r="SDZ124" s="381"/>
      <c r="SEA124" s="381"/>
      <c r="SEB124" s="381"/>
      <c r="SEC124" s="381"/>
      <c r="SED124" s="381"/>
      <c r="SEE124" s="381"/>
      <c r="SEF124" s="381"/>
      <c r="SEG124" s="381"/>
      <c r="SEH124" s="381"/>
      <c r="SEI124" s="381"/>
      <c r="SEJ124" s="381"/>
      <c r="SEK124" s="381"/>
      <c r="SEL124" s="381"/>
      <c r="SEM124" s="381"/>
      <c r="SEN124" s="381"/>
      <c r="SEO124" s="381"/>
      <c r="SEP124" s="381"/>
      <c r="SEQ124" s="381"/>
      <c r="SER124" s="381"/>
      <c r="SES124" s="381"/>
      <c r="SET124" s="381"/>
      <c r="SEU124" s="381"/>
      <c r="SEV124" s="381"/>
      <c r="SEW124" s="381"/>
      <c r="SEX124" s="381"/>
      <c r="SEY124" s="381"/>
      <c r="SEZ124" s="381"/>
      <c r="SFA124" s="381"/>
      <c r="SFB124" s="381"/>
      <c r="SFC124" s="381"/>
      <c r="SFD124" s="381"/>
      <c r="SFE124" s="381"/>
      <c r="SFF124" s="381"/>
      <c r="SFG124" s="381"/>
      <c r="SFH124" s="381"/>
      <c r="SFI124" s="381"/>
      <c r="SFJ124" s="381"/>
      <c r="SFK124" s="381"/>
      <c r="SFL124" s="381"/>
      <c r="SFM124" s="381"/>
      <c r="SFN124" s="381"/>
      <c r="SFO124" s="381"/>
      <c r="SFP124" s="381"/>
      <c r="SFQ124" s="381"/>
      <c r="SFR124" s="381"/>
      <c r="SFS124" s="381"/>
      <c r="SFT124" s="381"/>
      <c r="SFU124" s="381"/>
      <c r="SFV124" s="381"/>
      <c r="SFW124" s="381"/>
      <c r="SFX124" s="381"/>
      <c r="SFY124" s="381"/>
      <c r="SFZ124" s="381"/>
      <c r="SGA124" s="381"/>
      <c r="SGB124" s="381"/>
      <c r="SGC124" s="381"/>
      <c r="SGD124" s="381"/>
      <c r="SGE124" s="381"/>
      <c r="SGF124" s="381"/>
      <c r="SGG124" s="381"/>
      <c r="SGH124" s="381"/>
      <c r="SGI124" s="381"/>
      <c r="SGJ124" s="381"/>
      <c r="SGK124" s="381"/>
      <c r="SGL124" s="381"/>
      <c r="SGM124" s="381"/>
      <c r="SGN124" s="381"/>
      <c r="SGO124" s="381"/>
      <c r="SGP124" s="381"/>
      <c r="SGQ124" s="381"/>
      <c r="SGR124" s="381"/>
      <c r="SGS124" s="381"/>
      <c r="SGT124" s="381"/>
      <c r="SGU124" s="381"/>
      <c r="SGV124" s="381"/>
      <c r="SGW124" s="381"/>
      <c r="SGX124" s="381"/>
      <c r="SGY124" s="381"/>
      <c r="SGZ124" s="381"/>
      <c r="SHA124" s="381"/>
      <c r="SHB124" s="381"/>
      <c r="SHC124" s="381"/>
      <c r="SHD124" s="381"/>
      <c r="SHE124" s="381"/>
      <c r="SHF124" s="381"/>
      <c r="SHG124" s="381"/>
      <c r="SHH124" s="381"/>
      <c r="SHI124" s="381"/>
      <c r="SHJ124" s="381"/>
      <c r="SHK124" s="381"/>
      <c r="SHL124" s="381"/>
      <c r="SHM124" s="381"/>
      <c r="SHN124" s="381"/>
      <c r="SHO124" s="381"/>
      <c r="SHP124" s="381"/>
      <c r="SHQ124" s="381"/>
      <c r="SHR124" s="381"/>
      <c r="SHS124" s="381"/>
      <c r="SHT124" s="381"/>
      <c r="SHU124" s="381"/>
      <c r="SHV124" s="381"/>
      <c r="SHW124" s="381"/>
      <c r="SHX124" s="381"/>
      <c r="SHY124" s="381"/>
      <c r="SHZ124" s="381"/>
      <c r="SIA124" s="381"/>
      <c r="SIB124" s="381"/>
      <c r="SIC124" s="381"/>
      <c r="SID124" s="381"/>
      <c r="SIE124" s="381"/>
      <c r="SIF124" s="381"/>
      <c r="SIG124" s="381"/>
      <c r="SIH124" s="381"/>
      <c r="SII124" s="381"/>
      <c r="SIJ124" s="381"/>
      <c r="SIK124" s="381"/>
      <c r="SIL124" s="381"/>
      <c r="SIM124" s="381"/>
      <c r="SIN124" s="381"/>
      <c r="SIO124" s="381"/>
      <c r="SIP124" s="381"/>
      <c r="SIQ124" s="381"/>
      <c r="SIR124" s="381"/>
      <c r="SIS124" s="381"/>
      <c r="SIT124" s="381"/>
      <c r="SIU124" s="381"/>
      <c r="SIV124" s="381"/>
      <c r="SIW124" s="381"/>
      <c r="SIX124" s="381"/>
      <c r="SIY124" s="381"/>
      <c r="SIZ124" s="381"/>
      <c r="SJA124" s="381"/>
      <c r="SJB124" s="381"/>
      <c r="SJC124" s="381"/>
      <c r="SJD124" s="381"/>
      <c r="SJE124" s="381"/>
      <c r="SJF124" s="381"/>
      <c r="SJG124" s="381"/>
      <c r="SJH124" s="381"/>
      <c r="SJI124" s="381"/>
      <c r="SJJ124" s="381"/>
      <c r="SJK124" s="381"/>
      <c r="SJL124" s="381"/>
      <c r="SJM124" s="381"/>
      <c r="SJN124" s="381"/>
      <c r="SJO124" s="381"/>
      <c r="SJP124" s="381"/>
      <c r="SJQ124" s="381"/>
      <c r="SJR124" s="381"/>
      <c r="SJS124" s="381"/>
      <c r="SJT124" s="381"/>
      <c r="SJU124" s="381"/>
      <c r="SJV124" s="381"/>
      <c r="SJW124" s="381"/>
      <c r="SJX124" s="381"/>
      <c r="SJY124" s="381"/>
      <c r="SJZ124" s="381"/>
      <c r="SKA124" s="381"/>
      <c r="SKB124" s="381"/>
      <c r="SKC124" s="381"/>
      <c r="SKD124" s="381"/>
      <c r="SKE124" s="381"/>
      <c r="SKF124" s="381"/>
      <c r="SKG124" s="381"/>
      <c r="SKH124" s="381"/>
      <c r="SKI124" s="381"/>
      <c r="SKJ124" s="381"/>
      <c r="SKK124" s="381"/>
      <c r="SKL124" s="381"/>
      <c r="SKM124" s="381"/>
      <c r="SKN124" s="381"/>
      <c r="SKO124" s="381"/>
      <c r="SKP124" s="381"/>
      <c r="SKQ124" s="381"/>
      <c r="SKR124" s="381"/>
      <c r="SKS124" s="381"/>
      <c r="SKT124" s="381"/>
      <c r="SKU124" s="381"/>
      <c r="SKV124" s="381"/>
      <c r="SKW124" s="381"/>
      <c r="SKX124" s="381"/>
      <c r="SKY124" s="381"/>
      <c r="SKZ124" s="381"/>
      <c r="SLA124" s="381"/>
      <c r="SLB124" s="381"/>
      <c r="SLC124" s="381"/>
      <c r="SLD124" s="381"/>
      <c r="SLE124" s="381"/>
      <c r="SLF124" s="381"/>
      <c r="SLG124" s="381"/>
      <c r="SLH124" s="381"/>
      <c r="SLI124" s="381"/>
      <c r="SLJ124" s="381"/>
      <c r="SLK124" s="381"/>
      <c r="SLL124" s="381"/>
      <c r="SLM124" s="381"/>
      <c r="SLN124" s="381"/>
      <c r="SLO124" s="381"/>
      <c r="SLP124" s="381"/>
      <c r="SLQ124" s="381"/>
      <c r="SLR124" s="381"/>
      <c r="SLS124" s="381"/>
      <c r="SLT124" s="381"/>
      <c r="SLU124" s="381"/>
      <c r="SLV124" s="381"/>
      <c r="SLW124" s="381"/>
      <c r="SLX124" s="381"/>
      <c r="SLY124" s="381"/>
      <c r="SLZ124" s="381"/>
      <c r="SMA124" s="381"/>
      <c r="SMB124" s="381"/>
      <c r="SMC124" s="381"/>
      <c r="SMD124" s="381"/>
      <c r="SME124" s="381"/>
      <c r="SMF124" s="381"/>
      <c r="SMG124" s="381"/>
      <c r="SMH124" s="381"/>
      <c r="SMI124" s="381"/>
      <c r="SMJ124" s="381"/>
      <c r="SMK124" s="381"/>
      <c r="SML124" s="381"/>
      <c r="SMM124" s="381"/>
      <c r="SMN124" s="381"/>
      <c r="SMO124" s="381"/>
      <c r="SMP124" s="381"/>
      <c r="SMQ124" s="381"/>
      <c r="SMR124" s="381"/>
      <c r="SMS124" s="381"/>
      <c r="SMT124" s="381"/>
      <c r="SMU124" s="381"/>
      <c r="SMV124" s="381"/>
      <c r="SMW124" s="381"/>
      <c r="SMX124" s="381"/>
      <c r="SMY124" s="381"/>
      <c r="SMZ124" s="381"/>
      <c r="SNA124" s="381"/>
      <c r="SNB124" s="381"/>
      <c r="SNC124" s="381"/>
      <c r="SND124" s="381"/>
      <c r="SNE124" s="381"/>
      <c r="SNF124" s="381"/>
      <c r="SNG124" s="381"/>
      <c r="SNH124" s="381"/>
      <c r="SNI124" s="381"/>
      <c r="SNJ124" s="381"/>
      <c r="SNK124" s="381"/>
      <c r="SNL124" s="381"/>
      <c r="SNM124" s="381"/>
      <c r="SNN124" s="381"/>
      <c r="SNO124" s="381"/>
      <c r="SNP124" s="381"/>
      <c r="SNQ124" s="381"/>
      <c r="SNR124" s="381"/>
      <c r="SNS124" s="381"/>
      <c r="SNT124" s="381"/>
      <c r="SNU124" s="381"/>
      <c r="SNV124" s="381"/>
      <c r="SNW124" s="381"/>
      <c r="SNX124" s="381"/>
      <c r="SNY124" s="381"/>
      <c r="SNZ124" s="381"/>
      <c r="SOA124" s="381"/>
      <c r="SOB124" s="381"/>
      <c r="SOC124" s="381"/>
      <c r="SOD124" s="381"/>
      <c r="SOE124" s="381"/>
      <c r="SOF124" s="381"/>
      <c r="SOG124" s="381"/>
      <c r="SOH124" s="381"/>
      <c r="SOI124" s="381"/>
      <c r="SOJ124" s="381"/>
      <c r="SOK124" s="381"/>
      <c r="SOL124" s="381"/>
      <c r="SOM124" s="381"/>
      <c r="SON124" s="381"/>
      <c r="SOO124" s="381"/>
      <c r="SOP124" s="381"/>
      <c r="SOQ124" s="381"/>
      <c r="SOR124" s="381"/>
      <c r="SOS124" s="381"/>
      <c r="SOT124" s="381"/>
      <c r="SOU124" s="381"/>
      <c r="SOV124" s="381"/>
      <c r="SOW124" s="381"/>
      <c r="SOX124" s="381"/>
      <c r="SOY124" s="381"/>
      <c r="SOZ124" s="381"/>
      <c r="SPA124" s="381"/>
      <c r="SPB124" s="381"/>
      <c r="SPC124" s="381"/>
      <c r="SPD124" s="381"/>
      <c r="SPE124" s="381"/>
      <c r="SPF124" s="381"/>
      <c r="SPG124" s="381"/>
      <c r="SPH124" s="381"/>
      <c r="SPI124" s="381"/>
      <c r="SPJ124" s="381"/>
      <c r="SPK124" s="381"/>
      <c r="SPL124" s="381"/>
      <c r="SPM124" s="381"/>
      <c r="SPN124" s="381"/>
      <c r="SPO124" s="381"/>
      <c r="SPP124" s="381"/>
      <c r="SPQ124" s="381"/>
      <c r="SPR124" s="381"/>
      <c r="SPS124" s="381"/>
      <c r="SPT124" s="381"/>
      <c r="SPU124" s="381"/>
      <c r="SPV124" s="381"/>
      <c r="SPW124" s="381"/>
      <c r="SPX124" s="381"/>
      <c r="SPY124" s="381"/>
      <c r="SPZ124" s="381"/>
      <c r="SQA124" s="381"/>
      <c r="SQB124" s="381"/>
      <c r="SQC124" s="381"/>
      <c r="SQD124" s="381"/>
      <c r="SQE124" s="381"/>
      <c r="SQF124" s="381"/>
      <c r="SQG124" s="381"/>
      <c r="SQH124" s="381"/>
      <c r="SQI124" s="381"/>
      <c r="SQJ124" s="381"/>
      <c r="SQK124" s="381"/>
      <c r="SQL124" s="381"/>
      <c r="SQM124" s="381"/>
      <c r="SQN124" s="381"/>
      <c r="SQO124" s="381"/>
      <c r="SQP124" s="381"/>
      <c r="SQQ124" s="381"/>
      <c r="SQR124" s="381"/>
      <c r="SQS124" s="381"/>
      <c r="SQT124" s="381"/>
      <c r="SQU124" s="381"/>
      <c r="SQV124" s="381"/>
      <c r="SQW124" s="381"/>
      <c r="SQX124" s="381"/>
      <c r="SQY124" s="381"/>
      <c r="SQZ124" s="381"/>
      <c r="SRA124" s="381"/>
      <c r="SRB124" s="381"/>
      <c r="SRC124" s="381"/>
      <c r="SRD124" s="381"/>
      <c r="SRE124" s="381"/>
      <c r="SRF124" s="381"/>
      <c r="SRG124" s="381"/>
      <c r="SRH124" s="381"/>
      <c r="SRI124" s="381"/>
      <c r="SRJ124" s="381"/>
      <c r="SRK124" s="381"/>
      <c r="SRL124" s="381"/>
      <c r="SRM124" s="381"/>
      <c r="SRN124" s="381"/>
      <c r="SRO124" s="381"/>
      <c r="SRP124" s="381"/>
      <c r="SRQ124" s="381"/>
      <c r="SRR124" s="381"/>
      <c r="SRS124" s="381"/>
      <c r="SRT124" s="381"/>
      <c r="SRU124" s="381"/>
      <c r="SRV124" s="381"/>
      <c r="SRW124" s="381"/>
      <c r="SRX124" s="381"/>
      <c r="SRY124" s="381"/>
      <c r="SRZ124" s="381"/>
      <c r="SSA124" s="381"/>
      <c r="SSB124" s="381"/>
      <c r="SSC124" s="381"/>
      <c r="SSD124" s="381"/>
      <c r="SSE124" s="381"/>
      <c r="SSF124" s="381"/>
      <c r="SSG124" s="381"/>
      <c r="SSH124" s="381"/>
      <c r="SSI124" s="381"/>
      <c r="SSJ124" s="381"/>
      <c r="SSK124" s="381"/>
      <c r="SSL124" s="381"/>
      <c r="SSM124" s="381"/>
      <c r="SSN124" s="381"/>
      <c r="SSO124" s="381"/>
      <c r="SSP124" s="381"/>
      <c r="SSQ124" s="381"/>
      <c r="SSR124" s="381"/>
      <c r="SSS124" s="381"/>
      <c r="SST124" s="381"/>
      <c r="SSU124" s="381"/>
      <c r="SSV124" s="381"/>
      <c r="SSW124" s="381"/>
      <c r="SSX124" s="381"/>
      <c r="SSY124" s="381"/>
      <c r="SSZ124" s="381"/>
      <c r="STA124" s="381"/>
      <c r="STB124" s="381"/>
      <c r="STC124" s="381"/>
      <c r="STD124" s="381"/>
      <c r="STE124" s="381"/>
      <c r="STF124" s="381"/>
      <c r="STG124" s="381"/>
      <c r="STH124" s="381"/>
      <c r="STI124" s="381"/>
      <c r="STJ124" s="381"/>
      <c r="STK124" s="381"/>
      <c r="STL124" s="381"/>
      <c r="STM124" s="381"/>
      <c r="STN124" s="381"/>
      <c r="STO124" s="381"/>
      <c r="STP124" s="381"/>
      <c r="STQ124" s="381"/>
      <c r="STR124" s="381"/>
      <c r="STS124" s="381"/>
      <c r="STT124" s="381"/>
      <c r="STU124" s="381"/>
      <c r="STV124" s="381"/>
      <c r="STW124" s="381"/>
      <c r="STX124" s="381"/>
      <c r="STY124" s="381"/>
      <c r="STZ124" s="381"/>
      <c r="SUA124" s="381"/>
      <c r="SUB124" s="381"/>
      <c r="SUC124" s="381"/>
      <c r="SUD124" s="381"/>
      <c r="SUE124" s="381"/>
      <c r="SUF124" s="381"/>
      <c r="SUG124" s="381"/>
      <c r="SUH124" s="381"/>
      <c r="SUI124" s="381"/>
      <c r="SUJ124" s="381"/>
      <c r="SUK124" s="381"/>
      <c r="SUL124" s="381"/>
      <c r="SUM124" s="381"/>
      <c r="SUN124" s="381"/>
      <c r="SUO124" s="381"/>
      <c r="SUP124" s="381"/>
      <c r="SUQ124" s="381"/>
      <c r="SUR124" s="381"/>
      <c r="SUS124" s="381"/>
      <c r="SUT124" s="381"/>
      <c r="SUU124" s="381"/>
      <c r="SUV124" s="381"/>
      <c r="SUW124" s="381"/>
      <c r="SUX124" s="381"/>
      <c r="SUY124" s="381"/>
      <c r="SUZ124" s="381"/>
      <c r="SVA124" s="381"/>
      <c r="SVB124" s="381"/>
      <c r="SVC124" s="381"/>
      <c r="SVD124" s="381"/>
      <c r="SVE124" s="381"/>
      <c r="SVF124" s="381"/>
      <c r="SVG124" s="381"/>
      <c r="SVH124" s="381"/>
      <c r="SVI124" s="381"/>
      <c r="SVJ124" s="381"/>
      <c r="SVK124" s="381"/>
      <c r="SVL124" s="381"/>
      <c r="SVM124" s="381"/>
      <c r="SVN124" s="381"/>
      <c r="SVO124" s="381"/>
      <c r="SVP124" s="381"/>
      <c r="SVQ124" s="381"/>
      <c r="SVR124" s="381"/>
      <c r="SVS124" s="381"/>
      <c r="SVT124" s="381"/>
      <c r="SVU124" s="381"/>
      <c r="SVV124" s="381"/>
      <c r="SVW124" s="381"/>
      <c r="SVX124" s="381"/>
      <c r="SVY124" s="381"/>
      <c r="SVZ124" s="381"/>
      <c r="SWA124" s="381"/>
      <c r="SWB124" s="381"/>
      <c r="SWC124" s="381"/>
      <c r="SWD124" s="381"/>
      <c r="SWE124" s="381"/>
      <c r="SWF124" s="381"/>
      <c r="SWG124" s="381"/>
      <c r="SWH124" s="381"/>
      <c r="SWI124" s="381"/>
      <c r="SWJ124" s="381"/>
      <c r="SWK124" s="381"/>
      <c r="SWL124" s="381"/>
      <c r="SWM124" s="381"/>
      <c r="SWN124" s="381"/>
      <c r="SWO124" s="381"/>
      <c r="SWP124" s="381"/>
      <c r="SWQ124" s="381"/>
      <c r="SWR124" s="381"/>
      <c r="SWS124" s="381"/>
      <c r="SWT124" s="381"/>
      <c r="SWU124" s="381"/>
      <c r="SWV124" s="381"/>
      <c r="SWW124" s="381"/>
      <c r="SWX124" s="381"/>
      <c r="SWY124" s="381"/>
      <c r="SWZ124" s="381"/>
      <c r="SXA124" s="381"/>
      <c r="SXB124" s="381"/>
      <c r="SXC124" s="381"/>
      <c r="SXD124" s="381"/>
      <c r="SXE124" s="381"/>
      <c r="SXF124" s="381"/>
      <c r="SXG124" s="381"/>
      <c r="SXH124" s="381"/>
      <c r="SXI124" s="381"/>
      <c r="SXJ124" s="381"/>
      <c r="SXK124" s="381"/>
      <c r="SXL124" s="381"/>
      <c r="SXM124" s="381"/>
      <c r="SXN124" s="381"/>
      <c r="SXO124" s="381"/>
      <c r="SXP124" s="381"/>
      <c r="SXQ124" s="381"/>
      <c r="SXR124" s="381"/>
      <c r="SXS124" s="381"/>
      <c r="SXT124" s="381"/>
      <c r="SXU124" s="381"/>
      <c r="SXV124" s="381"/>
      <c r="SXW124" s="381"/>
      <c r="SXX124" s="381"/>
      <c r="SXY124" s="381"/>
      <c r="SXZ124" s="381"/>
      <c r="SYA124" s="381"/>
      <c r="SYB124" s="381"/>
      <c r="SYC124" s="381"/>
      <c r="SYD124" s="381"/>
      <c r="SYE124" s="381"/>
      <c r="SYF124" s="381"/>
      <c r="SYG124" s="381"/>
      <c r="SYH124" s="381"/>
      <c r="SYI124" s="381"/>
      <c r="SYJ124" s="381"/>
      <c r="SYK124" s="381"/>
      <c r="SYL124" s="381"/>
      <c r="SYM124" s="381"/>
      <c r="SYN124" s="381"/>
      <c r="SYO124" s="381"/>
      <c r="SYP124" s="381"/>
      <c r="SYQ124" s="381"/>
      <c r="SYR124" s="381"/>
      <c r="SYS124" s="381"/>
      <c r="SYT124" s="381"/>
      <c r="SYU124" s="381"/>
      <c r="SYV124" s="381"/>
      <c r="SYW124" s="381"/>
      <c r="SYX124" s="381"/>
      <c r="SYY124" s="381"/>
      <c r="SYZ124" s="381"/>
      <c r="SZA124" s="381"/>
      <c r="SZB124" s="381"/>
      <c r="SZC124" s="381"/>
      <c r="SZD124" s="381"/>
      <c r="SZE124" s="381"/>
      <c r="SZF124" s="381"/>
      <c r="SZG124" s="381"/>
      <c r="SZH124" s="381"/>
      <c r="SZI124" s="381"/>
      <c r="SZJ124" s="381"/>
      <c r="SZK124" s="381"/>
      <c r="SZL124" s="381"/>
      <c r="SZM124" s="381"/>
      <c r="SZN124" s="381"/>
      <c r="SZO124" s="381"/>
      <c r="SZP124" s="381"/>
      <c r="SZQ124" s="381"/>
      <c r="SZR124" s="381"/>
      <c r="SZS124" s="381"/>
      <c r="SZT124" s="381"/>
      <c r="SZU124" s="381"/>
      <c r="SZV124" s="381"/>
      <c r="SZW124" s="381"/>
      <c r="SZX124" s="381"/>
      <c r="SZY124" s="381"/>
      <c r="SZZ124" s="381"/>
      <c r="TAA124" s="381"/>
      <c r="TAB124" s="381"/>
      <c r="TAC124" s="381"/>
      <c r="TAD124" s="381"/>
      <c r="TAE124" s="381"/>
      <c r="TAF124" s="381"/>
      <c r="TAG124" s="381"/>
      <c r="TAH124" s="381"/>
      <c r="TAI124" s="381"/>
      <c r="TAJ124" s="381"/>
      <c r="TAK124" s="381"/>
      <c r="TAL124" s="381"/>
      <c r="TAM124" s="381"/>
      <c r="TAN124" s="381"/>
      <c r="TAO124" s="381"/>
      <c r="TAP124" s="381"/>
      <c r="TAQ124" s="381"/>
      <c r="TAR124" s="381"/>
      <c r="TAS124" s="381"/>
      <c r="TAT124" s="381"/>
      <c r="TAU124" s="381"/>
      <c r="TAV124" s="381"/>
      <c r="TAW124" s="381"/>
      <c r="TAX124" s="381"/>
      <c r="TAY124" s="381"/>
      <c r="TAZ124" s="381"/>
      <c r="TBA124" s="381"/>
      <c r="TBB124" s="381"/>
      <c r="TBC124" s="381"/>
      <c r="TBD124" s="381"/>
      <c r="TBE124" s="381"/>
      <c r="TBF124" s="381"/>
      <c r="TBG124" s="381"/>
      <c r="TBH124" s="381"/>
      <c r="TBI124" s="381"/>
      <c r="TBJ124" s="381"/>
      <c r="TBK124" s="381"/>
      <c r="TBL124" s="381"/>
      <c r="TBM124" s="381"/>
      <c r="TBN124" s="381"/>
      <c r="TBO124" s="381"/>
      <c r="TBP124" s="381"/>
      <c r="TBQ124" s="381"/>
      <c r="TBR124" s="381"/>
      <c r="TBS124" s="381"/>
      <c r="TBT124" s="381"/>
      <c r="TBU124" s="381"/>
      <c r="TBV124" s="381"/>
      <c r="TBW124" s="381"/>
      <c r="TBX124" s="381"/>
      <c r="TBY124" s="381"/>
      <c r="TBZ124" s="381"/>
      <c r="TCA124" s="381"/>
      <c r="TCB124" s="381"/>
      <c r="TCC124" s="381"/>
      <c r="TCD124" s="381"/>
      <c r="TCE124" s="381"/>
      <c r="TCF124" s="381"/>
      <c r="TCG124" s="381"/>
      <c r="TCH124" s="381"/>
      <c r="TCI124" s="381"/>
      <c r="TCJ124" s="381"/>
      <c r="TCK124" s="381"/>
      <c r="TCL124" s="381"/>
      <c r="TCM124" s="381"/>
      <c r="TCN124" s="381"/>
      <c r="TCO124" s="381"/>
      <c r="TCP124" s="381"/>
      <c r="TCQ124" s="381"/>
      <c r="TCR124" s="381"/>
      <c r="TCS124" s="381"/>
      <c r="TCT124" s="381"/>
      <c r="TCU124" s="381"/>
      <c r="TCV124" s="381"/>
      <c r="TCW124" s="381"/>
      <c r="TCX124" s="381"/>
      <c r="TCY124" s="381"/>
      <c r="TCZ124" s="381"/>
      <c r="TDA124" s="381"/>
      <c r="TDB124" s="381"/>
      <c r="TDC124" s="381"/>
      <c r="TDD124" s="381"/>
      <c r="TDE124" s="381"/>
      <c r="TDF124" s="381"/>
      <c r="TDG124" s="381"/>
      <c r="TDH124" s="381"/>
      <c r="TDI124" s="381"/>
      <c r="TDJ124" s="381"/>
      <c r="TDK124" s="381"/>
      <c r="TDL124" s="381"/>
      <c r="TDM124" s="381"/>
      <c r="TDN124" s="381"/>
      <c r="TDO124" s="381"/>
      <c r="TDP124" s="381"/>
      <c r="TDQ124" s="381"/>
      <c r="TDR124" s="381"/>
      <c r="TDS124" s="381"/>
      <c r="TDT124" s="381"/>
      <c r="TDU124" s="381"/>
      <c r="TDV124" s="381"/>
      <c r="TDW124" s="381"/>
      <c r="TDX124" s="381"/>
      <c r="TDY124" s="381"/>
      <c r="TDZ124" s="381"/>
      <c r="TEA124" s="381"/>
      <c r="TEB124" s="381"/>
      <c r="TEC124" s="381"/>
      <c r="TED124" s="381"/>
      <c r="TEE124" s="381"/>
      <c r="TEF124" s="381"/>
      <c r="TEG124" s="381"/>
      <c r="TEH124" s="381"/>
      <c r="TEI124" s="381"/>
      <c r="TEJ124" s="381"/>
      <c r="TEK124" s="381"/>
      <c r="TEL124" s="381"/>
      <c r="TEM124" s="381"/>
      <c r="TEN124" s="381"/>
      <c r="TEO124" s="381"/>
      <c r="TEP124" s="381"/>
      <c r="TEQ124" s="381"/>
      <c r="TER124" s="381"/>
      <c r="TES124" s="381"/>
      <c r="TET124" s="381"/>
      <c r="TEU124" s="381"/>
      <c r="TEV124" s="381"/>
      <c r="TEW124" s="381"/>
      <c r="TEX124" s="381"/>
      <c r="TEY124" s="381"/>
      <c r="TEZ124" s="381"/>
      <c r="TFA124" s="381"/>
      <c r="TFB124" s="381"/>
      <c r="TFC124" s="381"/>
      <c r="TFD124" s="381"/>
      <c r="TFE124" s="381"/>
      <c r="TFF124" s="381"/>
      <c r="TFG124" s="381"/>
      <c r="TFH124" s="381"/>
      <c r="TFI124" s="381"/>
      <c r="TFJ124" s="381"/>
      <c r="TFK124" s="381"/>
      <c r="TFL124" s="381"/>
      <c r="TFM124" s="381"/>
      <c r="TFN124" s="381"/>
      <c r="TFO124" s="381"/>
      <c r="TFP124" s="381"/>
      <c r="TFQ124" s="381"/>
      <c r="TFR124" s="381"/>
      <c r="TFS124" s="381"/>
      <c r="TFT124" s="381"/>
      <c r="TFU124" s="381"/>
      <c r="TFV124" s="381"/>
      <c r="TFW124" s="381"/>
      <c r="TFX124" s="381"/>
      <c r="TFY124" s="381"/>
      <c r="TFZ124" s="381"/>
      <c r="TGA124" s="381"/>
      <c r="TGB124" s="381"/>
      <c r="TGC124" s="381"/>
      <c r="TGD124" s="381"/>
      <c r="TGE124" s="381"/>
      <c r="TGF124" s="381"/>
      <c r="TGG124" s="381"/>
      <c r="TGH124" s="381"/>
      <c r="TGI124" s="381"/>
      <c r="TGJ124" s="381"/>
      <c r="TGK124" s="381"/>
      <c r="TGL124" s="381"/>
      <c r="TGM124" s="381"/>
      <c r="TGN124" s="381"/>
      <c r="TGO124" s="381"/>
      <c r="TGP124" s="381"/>
      <c r="TGQ124" s="381"/>
      <c r="TGR124" s="381"/>
      <c r="TGS124" s="381"/>
      <c r="TGT124" s="381"/>
      <c r="TGU124" s="381"/>
      <c r="TGV124" s="381"/>
      <c r="TGW124" s="381"/>
      <c r="TGX124" s="381"/>
      <c r="TGY124" s="381"/>
      <c r="TGZ124" s="381"/>
      <c r="THA124" s="381"/>
      <c r="THB124" s="381"/>
      <c r="THC124" s="381"/>
      <c r="THD124" s="381"/>
      <c r="THE124" s="381"/>
      <c r="THF124" s="381"/>
      <c r="THG124" s="381"/>
      <c r="THH124" s="381"/>
      <c r="THI124" s="381"/>
      <c r="THJ124" s="381"/>
      <c r="THK124" s="381"/>
      <c r="THL124" s="381"/>
      <c r="THM124" s="381"/>
      <c r="THN124" s="381"/>
      <c r="THO124" s="381"/>
      <c r="THP124" s="381"/>
      <c r="THQ124" s="381"/>
      <c r="THR124" s="381"/>
      <c r="THS124" s="381"/>
      <c r="THT124" s="381"/>
      <c r="THU124" s="381"/>
      <c r="THV124" s="381"/>
      <c r="THW124" s="381"/>
      <c r="THX124" s="381"/>
      <c r="THY124" s="381"/>
      <c r="THZ124" s="381"/>
      <c r="TIA124" s="381"/>
      <c r="TIB124" s="381"/>
      <c r="TIC124" s="381"/>
      <c r="TID124" s="381"/>
      <c r="TIE124" s="381"/>
      <c r="TIF124" s="381"/>
      <c r="TIG124" s="381"/>
      <c r="TIH124" s="381"/>
      <c r="TII124" s="381"/>
      <c r="TIJ124" s="381"/>
      <c r="TIK124" s="381"/>
      <c r="TIL124" s="381"/>
      <c r="TIM124" s="381"/>
      <c r="TIN124" s="381"/>
      <c r="TIO124" s="381"/>
      <c r="TIP124" s="381"/>
      <c r="TIQ124" s="381"/>
      <c r="TIR124" s="381"/>
      <c r="TIS124" s="381"/>
      <c r="TIT124" s="381"/>
      <c r="TIU124" s="381"/>
      <c r="TIV124" s="381"/>
      <c r="TIW124" s="381"/>
      <c r="TIX124" s="381"/>
      <c r="TIY124" s="381"/>
      <c r="TIZ124" s="381"/>
      <c r="TJA124" s="381"/>
      <c r="TJB124" s="381"/>
      <c r="TJC124" s="381"/>
      <c r="TJD124" s="381"/>
      <c r="TJE124" s="381"/>
      <c r="TJF124" s="381"/>
      <c r="TJG124" s="381"/>
      <c r="TJH124" s="381"/>
      <c r="TJI124" s="381"/>
      <c r="TJJ124" s="381"/>
      <c r="TJK124" s="381"/>
      <c r="TJL124" s="381"/>
      <c r="TJM124" s="381"/>
      <c r="TJN124" s="381"/>
      <c r="TJO124" s="381"/>
      <c r="TJP124" s="381"/>
      <c r="TJQ124" s="381"/>
      <c r="TJR124" s="381"/>
      <c r="TJS124" s="381"/>
      <c r="TJT124" s="381"/>
      <c r="TJU124" s="381"/>
      <c r="TJV124" s="381"/>
      <c r="TJW124" s="381"/>
      <c r="TJX124" s="381"/>
      <c r="TJY124" s="381"/>
      <c r="TJZ124" s="381"/>
      <c r="TKA124" s="381"/>
      <c r="TKB124" s="381"/>
      <c r="TKC124" s="381"/>
      <c r="TKD124" s="381"/>
      <c r="TKE124" s="381"/>
      <c r="TKF124" s="381"/>
      <c r="TKG124" s="381"/>
      <c r="TKH124" s="381"/>
      <c r="TKI124" s="381"/>
      <c r="TKJ124" s="381"/>
      <c r="TKK124" s="381"/>
      <c r="TKL124" s="381"/>
      <c r="TKM124" s="381"/>
      <c r="TKN124" s="381"/>
      <c r="TKO124" s="381"/>
      <c r="TKP124" s="381"/>
      <c r="TKQ124" s="381"/>
      <c r="TKR124" s="381"/>
      <c r="TKS124" s="381"/>
      <c r="TKT124" s="381"/>
      <c r="TKU124" s="381"/>
      <c r="TKV124" s="381"/>
      <c r="TKW124" s="381"/>
      <c r="TKX124" s="381"/>
      <c r="TKY124" s="381"/>
      <c r="TKZ124" s="381"/>
      <c r="TLA124" s="381"/>
      <c r="TLB124" s="381"/>
      <c r="TLC124" s="381"/>
      <c r="TLD124" s="381"/>
      <c r="TLE124" s="381"/>
      <c r="TLF124" s="381"/>
      <c r="TLG124" s="381"/>
      <c r="TLH124" s="381"/>
      <c r="TLI124" s="381"/>
      <c r="TLJ124" s="381"/>
      <c r="TLK124" s="381"/>
      <c r="TLL124" s="381"/>
      <c r="TLM124" s="381"/>
      <c r="TLN124" s="381"/>
      <c r="TLO124" s="381"/>
      <c r="TLP124" s="381"/>
      <c r="TLQ124" s="381"/>
      <c r="TLR124" s="381"/>
      <c r="TLS124" s="381"/>
      <c r="TLT124" s="381"/>
      <c r="TLU124" s="381"/>
      <c r="TLV124" s="381"/>
      <c r="TLW124" s="381"/>
      <c r="TLX124" s="381"/>
      <c r="TLY124" s="381"/>
      <c r="TLZ124" s="381"/>
      <c r="TMA124" s="381"/>
      <c r="TMB124" s="381"/>
      <c r="TMC124" s="381"/>
      <c r="TMD124" s="381"/>
      <c r="TME124" s="381"/>
      <c r="TMF124" s="381"/>
      <c r="TMG124" s="381"/>
      <c r="TMH124" s="381"/>
      <c r="TMI124" s="381"/>
      <c r="TMJ124" s="381"/>
      <c r="TMK124" s="381"/>
      <c r="TML124" s="381"/>
      <c r="TMM124" s="381"/>
      <c r="TMN124" s="381"/>
      <c r="TMO124" s="381"/>
      <c r="TMP124" s="381"/>
      <c r="TMQ124" s="381"/>
      <c r="TMR124" s="381"/>
      <c r="TMS124" s="381"/>
      <c r="TMT124" s="381"/>
      <c r="TMU124" s="381"/>
      <c r="TMV124" s="381"/>
      <c r="TMW124" s="381"/>
      <c r="TMX124" s="381"/>
      <c r="TMY124" s="381"/>
      <c r="TMZ124" s="381"/>
      <c r="TNA124" s="381"/>
      <c r="TNB124" s="381"/>
      <c r="TNC124" s="381"/>
      <c r="TND124" s="381"/>
      <c r="TNE124" s="381"/>
      <c r="TNF124" s="381"/>
      <c r="TNG124" s="381"/>
      <c r="TNH124" s="381"/>
      <c r="TNI124" s="381"/>
      <c r="TNJ124" s="381"/>
      <c r="TNK124" s="381"/>
      <c r="TNL124" s="381"/>
      <c r="TNM124" s="381"/>
      <c r="TNN124" s="381"/>
      <c r="TNO124" s="381"/>
      <c r="TNP124" s="381"/>
      <c r="TNQ124" s="381"/>
      <c r="TNR124" s="381"/>
      <c r="TNS124" s="381"/>
      <c r="TNT124" s="381"/>
      <c r="TNU124" s="381"/>
      <c r="TNV124" s="381"/>
      <c r="TNW124" s="381"/>
      <c r="TNX124" s="381"/>
      <c r="TNY124" s="381"/>
      <c r="TNZ124" s="381"/>
      <c r="TOA124" s="381"/>
      <c r="TOB124" s="381"/>
      <c r="TOC124" s="381"/>
      <c r="TOD124" s="381"/>
      <c r="TOE124" s="381"/>
      <c r="TOF124" s="381"/>
      <c r="TOG124" s="381"/>
      <c r="TOH124" s="381"/>
      <c r="TOI124" s="381"/>
      <c r="TOJ124" s="381"/>
      <c r="TOK124" s="381"/>
      <c r="TOL124" s="381"/>
      <c r="TOM124" s="381"/>
      <c r="TON124" s="381"/>
      <c r="TOO124" s="381"/>
      <c r="TOP124" s="381"/>
      <c r="TOQ124" s="381"/>
      <c r="TOR124" s="381"/>
      <c r="TOS124" s="381"/>
      <c r="TOT124" s="381"/>
      <c r="TOU124" s="381"/>
      <c r="TOV124" s="381"/>
      <c r="TOW124" s="381"/>
      <c r="TOX124" s="381"/>
      <c r="TOY124" s="381"/>
      <c r="TOZ124" s="381"/>
      <c r="TPA124" s="381"/>
      <c r="TPB124" s="381"/>
      <c r="TPC124" s="381"/>
      <c r="TPD124" s="381"/>
      <c r="TPE124" s="381"/>
      <c r="TPF124" s="381"/>
      <c r="TPG124" s="381"/>
      <c r="TPH124" s="381"/>
      <c r="TPI124" s="381"/>
      <c r="TPJ124" s="381"/>
      <c r="TPK124" s="381"/>
      <c r="TPL124" s="381"/>
      <c r="TPM124" s="381"/>
      <c r="TPN124" s="381"/>
      <c r="TPO124" s="381"/>
      <c r="TPP124" s="381"/>
      <c r="TPQ124" s="381"/>
      <c r="TPR124" s="381"/>
      <c r="TPS124" s="381"/>
      <c r="TPT124" s="381"/>
      <c r="TPU124" s="381"/>
      <c r="TPV124" s="381"/>
      <c r="TPW124" s="381"/>
      <c r="TPX124" s="381"/>
      <c r="TPY124" s="381"/>
      <c r="TPZ124" s="381"/>
      <c r="TQA124" s="381"/>
      <c r="TQB124" s="381"/>
      <c r="TQC124" s="381"/>
      <c r="TQD124" s="381"/>
      <c r="TQE124" s="381"/>
      <c r="TQF124" s="381"/>
      <c r="TQG124" s="381"/>
      <c r="TQH124" s="381"/>
      <c r="TQI124" s="381"/>
      <c r="TQJ124" s="381"/>
      <c r="TQK124" s="381"/>
      <c r="TQL124" s="381"/>
      <c r="TQM124" s="381"/>
      <c r="TQN124" s="381"/>
      <c r="TQO124" s="381"/>
      <c r="TQP124" s="381"/>
      <c r="TQQ124" s="381"/>
      <c r="TQR124" s="381"/>
      <c r="TQS124" s="381"/>
      <c r="TQT124" s="381"/>
      <c r="TQU124" s="381"/>
      <c r="TQV124" s="381"/>
      <c r="TQW124" s="381"/>
      <c r="TQX124" s="381"/>
      <c r="TQY124" s="381"/>
      <c r="TQZ124" s="381"/>
      <c r="TRA124" s="381"/>
      <c r="TRB124" s="381"/>
      <c r="TRC124" s="381"/>
      <c r="TRD124" s="381"/>
      <c r="TRE124" s="381"/>
      <c r="TRF124" s="381"/>
      <c r="TRG124" s="381"/>
      <c r="TRH124" s="381"/>
      <c r="TRI124" s="381"/>
      <c r="TRJ124" s="381"/>
      <c r="TRK124" s="381"/>
      <c r="TRL124" s="381"/>
      <c r="TRM124" s="381"/>
      <c r="TRN124" s="381"/>
      <c r="TRO124" s="381"/>
      <c r="TRP124" s="381"/>
      <c r="TRQ124" s="381"/>
      <c r="TRR124" s="381"/>
      <c r="TRS124" s="381"/>
      <c r="TRT124" s="381"/>
      <c r="TRU124" s="381"/>
      <c r="TRV124" s="381"/>
      <c r="TRW124" s="381"/>
      <c r="TRX124" s="381"/>
      <c r="TRY124" s="381"/>
      <c r="TRZ124" s="381"/>
      <c r="TSA124" s="381"/>
      <c r="TSB124" s="381"/>
      <c r="TSC124" s="381"/>
      <c r="TSD124" s="381"/>
      <c r="TSE124" s="381"/>
      <c r="TSF124" s="381"/>
      <c r="TSG124" s="381"/>
      <c r="TSH124" s="381"/>
      <c r="TSI124" s="381"/>
      <c r="TSJ124" s="381"/>
      <c r="TSK124" s="381"/>
      <c r="TSL124" s="381"/>
      <c r="TSM124" s="381"/>
      <c r="TSN124" s="381"/>
      <c r="TSO124" s="381"/>
      <c r="TSP124" s="381"/>
      <c r="TSQ124" s="381"/>
      <c r="TSR124" s="381"/>
      <c r="TSS124" s="381"/>
      <c r="TST124" s="381"/>
      <c r="TSU124" s="381"/>
      <c r="TSV124" s="381"/>
      <c r="TSW124" s="381"/>
      <c r="TSX124" s="381"/>
      <c r="TSY124" s="381"/>
      <c r="TSZ124" s="381"/>
      <c r="TTA124" s="381"/>
      <c r="TTB124" s="381"/>
      <c r="TTC124" s="381"/>
      <c r="TTD124" s="381"/>
      <c r="TTE124" s="381"/>
      <c r="TTF124" s="381"/>
      <c r="TTG124" s="381"/>
      <c r="TTH124" s="381"/>
      <c r="TTI124" s="381"/>
      <c r="TTJ124" s="381"/>
      <c r="TTK124" s="381"/>
      <c r="TTL124" s="381"/>
      <c r="TTM124" s="381"/>
      <c r="TTN124" s="381"/>
      <c r="TTO124" s="381"/>
      <c r="TTP124" s="381"/>
      <c r="TTQ124" s="381"/>
      <c r="TTR124" s="381"/>
      <c r="TTS124" s="381"/>
      <c r="TTT124" s="381"/>
      <c r="TTU124" s="381"/>
      <c r="TTV124" s="381"/>
      <c r="TTW124" s="381"/>
      <c r="TTX124" s="381"/>
      <c r="TTY124" s="381"/>
      <c r="TTZ124" s="381"/>
      <c r="TUA124" s="381"/>
      <c r="TUB124" s="381"/>
      <c r="TUC124" s="381"/>
      <c r="TUD124" s="381"/>
      <c r="TUE124" s="381"/>
      <c r="TUF124" s="381"/>
      <c r="TUG124" s="381"/>
      <c r="TUH124" s="381"/>
      <c r="TUI124" s="381"/>
      <c r="TUJ124" s="381"/>
      <c r="TUK124" s="381"/>
      <c r="TUL124" s="381"/>
      <c r="TUM124" s="381"/>
      <c r="TUN124" s="381"/>
      <c r="TUO124" s="381"/>
      <c r="TUP124" s="381"/>
      <c r="TUQ124" s="381"/>
      <c r="TUR124" s="381"/>
      <c r="TUS124" s="381"/>
      <c r="TUT124" s="381"/>
      <c r="TUU124" s="381"/>
      <c r="TUV124" s="381"/>
      <c r="TUW124" s="381"/>
      <c r="TUX124" s="381"/>
      <c r="TUY124" s="381"/>
      <c r="TUZ124" s="381"/>
      <c r="TVA124" s="381"/>
      <c r="TVB124" s="381"/>
      <c r="TVC124" s="381"/>
      <c r="TVD124" s="381"/>
      <c r="TVE124" s="381"/>
      <c r="TVF124" s="381"/>
      <c r="TVG124" s="381"/>
      <c r="TVH124" s="381"/>
      <c r="TVI124" s="381"/>
      <c r="TVJ124" s="381"/>
      <c r="TVK124" s="381"/>
      <c r="TVL124" s="381"/>
      <c r="TVM124" s="381"/>
      <c r="TVN124" s="381"/>
      <c r="TVO124" s="381"/>
      <c r="TVP124" s="381"/>
      <c r="TVQ124" s="381"/>
      <c r="TVR124" s="381"/>
      <c r="TVS124" s="381"/>
      <c r="TVT124" s="381"/>
      <c r="TVU124" s="381"/>
      <c r="TVV124" s="381"/>
      <c r="TVW124" s="381"/>
      <c r="TVX124" s="381"/>
      <c r="TVY124" s="381"/>
      <c r="TVZ124" s="381"/>
      <c r="TWA124" s="381"/>
      <c r="TWB124" s="381"/>
      <c r="TWC124" s="381"/>
      <c r="TWD124" s="381"/>
      <c r="TWE124" s="381"/>
      <c r="TWF124" s="381"/>
      <c r="TWG124" s="381"/>
      <c r="TWH124" s="381"/>
      <c r="TWI124" s="381"/>
      <c r="TWJ124" s="381"/>
      <c r="TWK124" s="381"/>
      <c r="TWL124" s="381"/>
      <c r="TWM124" s="381"/>
      <c r="TWN124" s="381"/>
      <c r="TWO124" s="381"/>
      <c r="TWP124" s="381"/>
      <c r="TWQ124" s="381"/>
      <c r="TWR124" s="381"/>
      <c r="TWS124" s="381"/>
      <c r="TWT124" s="381"/>
      <c r="TWU124" s="381"/>
      <c r="TWV124" s="381"/>
      <c r="TWW124" s="381"/>
      <c r="TWX124" s="381"/>
      <c r="TWY124" s="381"/>
      <c r="TWZ124" s="381"/>
      <c r="TXA124" s="381"/>
      <c r="TXB124" s="381"/>
      <c r="TXC124" s="381"/>
      <c r="TXD124" s="381"/>
      <c r="TXE124" s="381"/>
      <c r="TXF124" s="381"/>
      <c r="TXG124" s="381"/>
      <c r="TXH124" s="381"/>
      <c r="TXI124" s="381"/>
      <c r="TXJ124" s="381"/>
      <c r="TXK124" s="381"/>
      <c r="TXL124" s="381"/>
      <c r="TXM124" s="381"/>
      <c r="TXN124" s="381"/>
      <c r="TXO124" s="381"/>
      <c r="TXP124" s="381"/>
      <c r="TXQ124" s="381"/>
      <c r="TXR124" s="381"/>
      <c r="TXS124" s="381"/>
      <c r="TXT124" s="381"/>
      <c r="TXU124" s="381"/>
      <c r="TXV124" s="381"/>
      <c r="TXW124" s="381"/>
      <c r="TXX124" s="381"/>
      <c r="TXY124" s="381"/>
      <c r="TXZ124" s="381"/>
      <c r="TYA124" s="381"/>
      <c r="TYB124" s="381"/>
      <c r="TYC124" s="381"/>
      <c r="TYD124" s="381"/>
      <c r="TYE124" s="381"/>
      <c r="TYF124" s="381"/>
      <c r="TYG124" s="381"/>
      <c r="TYH124" s="381"/>
      <c r="TYI124" s="381"/>
      <c r="TYJ124" s="381"/>
      <c r="TYK124" s="381"/>
      <c r="TYL124" s="381"/>
      <c r="TYM124" s="381"/>
      <c r="TYN124" s="381"/>
      <c r="TYO124" s="381"/>
      <c r="TYP124" s="381"/>
      <c r="TYQ124" s="381"/>
      <c r="TYR124" s="381"/>
      <c r="TYS124" s="381"/>
      <c r="TYT124" s="381"/>
      <c r="TYU124" s="381"/>
      <c r="TYV124" s="381"/>
      <c r="TYW124" s="381"/>
      <c r="TYX124" s="381"/>
      <c r="TYY124" s="381"/>
      <c r="TYZ124" s="381"/>
      <c r="TZA124" s="381"/>
      <c r="TZB124" s="381"/>
      <c r="TZC124" s="381"/>
      <c r="TZD124" s="381"/>
      <c r="TZE124" s="381"/>
      <c r="TZF124" s="381"/>
      <c r="TZG124" s="381"/>
      <c r="TZH124" s="381"/>
      <c r="TZI124" s="381"/>
      <c r="TZJ124" s="381"/>
      <c r="TZK124" s="381"/>
      <c r="TZL124" s="381"/>
      <c r="TZM124" s="381"/>
      <c r="TZN124" s="381"/>
      <c r="TZO124" s="381"/>
      <c r="TZP124" s="381"/>
      <c r="TZQ124" s="381"/>
      <c r="TZR124" s="381"/>
      <c r="TZS124" s="381"/>
      <c r="TZT124" s="381"/>
      <c r="TZU124" s="381"/>
      <c r="TZV124" s="381"/>
      <c r="TZW124" s="381"/>
      <c r="TZX124" s="381"/>
      <c r="TZY124" s="381"/>
      <c r="TZZ124" s="381"/>
      <c r="UAA124" s="381"/>
      <c r="UAB124" s="381"/>
      <c r="UAC124" s="381"/>
      <c r="UAD124" s="381"/>
      <c r="UAE124" s="381"/>
      <c r="UAF124" s="381"/>
      <c r="UAG124" s="381"/>
      <c r="UAH124" s="381"/>
      <c r="UAI124" s="381"/>
      <c r="UAJ124" s="381"/>
      <c r="UAK124" s="381"/>
      <c r="UAL124" s="381"/>
      <c r="UAM124" s="381"/>
      <c r="UAN124" s="381"/>
      <c r="UAO124" s="381"/>
      <c r="UAP124" s="381"/>
      <c r="UAQ124" s="381"/>
      <c r="UAR124" s="381"/>
      <c r="UAS124" s="381"/>
      <c r="UAT124" s="381"/>
      <c r="UAU124" s="381"/>
      <c r="UAV124" s="381"/>
      <c r="UAW124" s="381"/>
      <c r="UAX124" s="381"/>
      <c r="UAY124" s="381"/>
      <c r="UAZ124" s="381"/>
      <c r="UBA124" s="381"/>
      <c r="UBB124" s="381"/>
      <c r="UBC124" s="381"/>
      <c r="UBD124" s="381"/>
      <c r="UBE124" s="381"/>
      <c r="UBF124" s="381"/>
      <c r="UBG124" s="381"/>
      <c r="UBH124" s="381"/>
      <c r="UBI124" s="381"/>
      <c r="UBJ124" s="381"/>
      <c r="UBK124" s="381"/>
      <c r="UBL124" s="381"/>
      <c r="UBM124" s="381"/>
      <c r="UBN124" s="381"/>
      <c r="UBO124" s="381"/>
      <c r="UBP124" s="381"/>
      <c r="UBQ124" s="381"/>
      <c r="UBR124" s="381"/>
      <c r="UBS124" s="381"/>
      <c r="UBT124" s="381"/>
      <c r="UBU124" s="381"/>
      <c r="UBV124" s="381"/>
      <c r="UBW124" s="381"/>
      <c r="UBX124" s="381"/>
      <c r="UBY124" s="381"/>
      <c r="UBZ124" s="381"/>
      <c r="UCA124" s="381"/>
      <c r="UCB124" s="381"/>
      <c r="UCC124" s="381"/>
      <c r="UCD124" s="381"/>
      <c r="UCE124" s="381"/>
      <c r="UCF124" s="381"/>
      <c r="UCG124" s="381"/>
      <c r="UCH124" s="381"/>
      <c r="UCI124" s="381"/>
      <c r="UCJ124" s="381"/>
      <c r="UCK124" s="381"/>
      <c r="UCL124" s="381"/>
      <c r="UCM124" s="381"/>
      <c r="UCN124" s="381"/>
      <c r="UCO124" s="381"/>
      <c r="UCP124" s="381"/>
      <c r="UCQ124" s="381"/>
      <c r="UCR124" s="381"/>
      <c r="UCS124" s="381"/>
      <c r="UCT124" s="381"/>
      <c r="UCU124" s="381"/>
      <c r="UCV124" s="381"/>
      <c r="UCW124" s="381"/>
      <c r="UCX124" s="381"/>
      <c r="UCY124" s="381"/>
      <c r="UCZ124" s="381"/>
      <c r="UDA124" s="381"/>
      <c r="UDB124" s="381"/>
      <c r="UDC124" s="381"/>
      <c r="UDD124" s="381"/>
      <c r="UDE124" s="381"/>
      <c r="UDF124" s="381"/>
      <c r="UDG124" s="381"/>
      <c r="UDH124" s="381"/>
      <c r="UDI124" s="381"/>
      <c r="UDJ124" s="381"/>
      <c r="UDK124" s="381"/>
      <c r="UDL124" s="381"/>
      <c r="UDM124" s="381"/>
      <c r="UDN124" s="381"/>
      <c r="UDO124" s="381"/>
      <c r="UDP124" s="381"/>
      <c r="UDQ124" s="381"/>
      <c r="UDR124" s="381"/>
      <c r="UDS124" s="381"/>
      <c r="UDT124" s="381"/>
      <c r="UDU124" s="381"/>
      <c r="UDV124" s="381"/>
      <c r="UDW124" s="381"/>
      <c r="UDX124" s="381"/>
      <c r="UDY124" s="381"/>
      <c r="UDZ124" s="381"/>
      <c r="UEA124" s="381"/>
      <c r="UEB124" s="381"/>
      <c r="UEC124" s="381"/>
      <c r="UED124" s="381"/>
      <c r="UEE124" s="381"/>
      <c r="UEF124" s="381"/>
      <c r="UEG124" s="381"/>
      <c r="UEH124" s="381"/>
      <c r="UEI124" s="381"/>
      <c r="UEJ124" s="381"/>
      <c r="UEK124" s="381"/>
      <c r="UEL124" s="381"/>
      <c r="UEM124" s="381"/>
      <c r="UEN124" s="381"/>
      <c r="UEO124" s="381"/>
      <c r="UEP124" s="381"/>
      <c r="UEQ124" s="381"/>
      <c r="UER124" s="381"/>
      <c r="UES124" s="381"/>
      <c r="UET124" s="381"/>
      <c r="UEU124" s="381"/>
      <c r="UEV124" s="381"/>
      <c r="UEW124" s="381"/>
      <c r="UEX124" s="381"/>
      <c r="UEY124" s="381"/>
      <c r="UEZ124" s="381"/>
      <c r="UFA124" s="381"/>
      <c r="UFB124" s="381"/>
      <c r="UFC124" s="381"/>
      <c r="UFD124" s="381"/>
      <c r="UFE124" s="381"/>
      <c r="UFF124" s="381"/>
      <c r="UFG124" s="381"/>
      <c r="UFH124" s="381"/>
      <c r="UFI124" s="381"/>
      <c r="UFJ124" s="381"/>
      <c r="UFK124" s="381"/>
      <c r="UFL124" s="381"/>
      <c r="UFM124" s="381"/>
      <c r="UFN124" s="381"/>
      <c r="UFO124" s="381"/>
      <c r="UFP124" s="381"/>
      <c r="UFQ124" s="381"/>
      <c r="UFR124" s="381"/>
      <c r="UFS124" s="381"/>
      <c r="UFT124" s="381"/>
      <c r="UFU124" s="381"/>
      <c r="UFV124" s="381"/>
      <c r="UFW124" s="381"/>
      <c r="UFX124" s="381"/>
      <c r="UFY124" s="381"/>
      <c r="UFZ124" s="381"/>
      <c r="UGA124" s="381"/>
      <c r="UGB124" s="381"/>
      <c r="UGC124" s="381"/>
      <c r="UGD124" s="381"/>
      <c r="UGE124" s="381"/>
      <c r="UGF124" s="381"/>
      <c r="UGG124" s="381"/>
      <c r="UGH124" s="381"/>
      <c r="UGI124" s="381"/>
      <c r="UGJ124" s="381"/>
      <c r="UGK124" s="381"/>
      <c r="UGL124" s="381"/>
      <c r="UGM124" s="381"/>
      <c r="UGN124" s="381"/>
      <c r="UGO124" s="381"/>
      <c r="UGP124" s="381"/>
      <c r="UGQ124" s="381"/>
      <c r="UGR124" s="381"/>
      <c r="UGS124" s="381"/>
      <c r="UGT124" s="381"/>
      <c r="UGU124" s="381"/>
      <c r="UGV124" s="381"/>
      <c r="UGW124" s="381"/>
      <c r="UGX124" s="381"/>
      <c r="UGY124" s="381"/>
      <c r="UGZ124" s="381"/>
      <c r="UHA124" s="381"/>
      <c r="UHB124" s="381"/>
      <c r="UHC124" s="381"/>
      <c r="UHD124" s="381"/>
      <c r="UHE124" s="381"/>
      <c r="UHF124" s="381"/>
      <c r="UHG124" s="381"/>
      <c r="UHH124" s="381"/>
      <c r="UHI124" s="381"/>
      <c r="UHJ124" s="381"/>
      <c r="UHK124" s="381"/>
      <c r="UHL124" s="381"/>
      <c r="UHM124" s="381"/>
      <c r="UHN124" s="381"/>
      <c r="UHO124" s="381"/>
      <c r="UHP124" s="381"/>
      <c r="UHQ124" s="381"/>
      <c r="UHR124" s="381"/>
      <c r="UHS124" s="381"/>
      <c r="UHT124" s="381"/>
      <c r="UHU124" s="381"/>
      <c r="UHV124" s="381"/>
      <c r="UHW124" s="381"/>
      <c r="UHX124" s="381"/>
      <c r="UHY124" s="381"/>
      <c r="UHZ124" s="381"/>
      <c r="UIA124" s="381"/>
      <c r="UIB124" s="381"/>
      <c r="UIC124" s="381"/>
      <c r="UID124" s="381"/>
      <c r="UIE124" s="381"/>
      <c r="UIF124" s="381"/>
      <c r="UIG124" s="381"/>
      <c r="UIH124" s="381"/>
      <c r="UII124" s="381"/>
      <c r="UIJ124" s="381"/>
      <c r="UIK124" s="381"/>
      <c r="UIL124" s="381"/>
      <c r="UIM124" s="381"/>
      <c r="UIN124" s="381"/>
      <c r="UIO124" s="381"/>
      <c r="UIP124" s="381"/>
      <c r="UIQ124" s="381"/>
      <c r="UIR124" s="381"/>
      <c r="UIS124" s="381"/>
      <c r="UIT124" s="381"/>
      <c r="UIU124" s="381"/>
      <c r="UIV124" s="381"/>
      <c r="UIW124" s="381"/>
      <c r="UIX124" s="381"/>
      <c r="UIY124" s="381"/>
      <c r="UIZ124" s="381"/>
      <c r="UJA124" s="381"/>
      <c r="UJB124" s="381"/>
      <c r="UJC124" s="381"/>
      <c r="UJD124" s="381"/>
      <c r="UJE124" s="381"/>
      <c r="UJF124" s="381"/>
      <c r="UJG124" s="381"/>
      <c r="UJH124" s="381"/>
      <c r="UJI124" s="381"/>
      <c r="UJJ124" s="381"/>
      <c r="UJK124" s="381"/>
      <c r="UJL124" s="381"/>
      <c r="UJM124" s="381"/>
      <c r="UJN124" s="381"/>
      <c r="UJO124" s="381"/>
      <c r="UJP124" s="381"/>
      <c r="UJQ124" s="381"/>
      <c r="UJR124" s="381"/>
      <c r="UJS124" s="381"/>
      <c r="UJT124" s="381"/>
      <c r="UJU124" s="381"/>
      <c r="UJV124" s="381"/>
      <c r="UJW124" s="381"/>
      <c r="UJX124" s="381"/>
      <c r="UJY124" s="381"/>
      <c r="UJZ124" s="381"/>
      <c r="UKA124" s="381"/>
      <c r="UKB124" s="381"/>
      <c r="UKC124" s="381"/>
      <c r="UKD124" s="381"/>
      <c r="UKE124" s="381"/>
      <c r="UKF124" s="381"/>
      <c r="UKG124" s="381"/>
      <c r="UKH124" s="381"/>
      <c r="UKI124" s="381"/>
      <c r="UKJ124" s="381"/>
      <c r="UKK124" s="381"/>
      <c r="UKL124" s="381"/>
      <c r="UKM124" s="381"/>
      <c r="UKN124" s="381"/>
      <c r="UKO124" s="381"/>
      <c r="UKP124" s="381"/>
      <c r="UKQ124" s="381"/>
      <c r="UKR124" s="381"/>
      <c r="UKS124" s="381"/>
      <c r="UKT124" s="381"/>
      <c r="UKU124" s="381"/>
      <c r="UKV124" s="381"/>
      <c r="UKW124" s="381"/>
      <c r="UKX124" s="381"/>
      <c r="UKY124" s="381"/>
      <c r="UKZ124" s="381"/>
      <c r="ULA124" s="381"/>
      <c r="ULB124" s="381"/>
      <c r="ULC124" s="381"/>
      <c r="ULD124" s="381"/>
      <c r="ULE124" s="381"/>
      <c r="ULF124" s="381"/>
      <c r="ULG124" s="381"/>
      <c r="ULH124" s="381"/>
      <c r="ULI124" s="381"/>
      <c r="ULJ124" s="381"/>
      <c r="ULK124" s="381"/>
      <c r="ULL124" s="381"/>
      <c r="ULM124" s="381"/>
      <c r="ULN124" s="381"/>
      <c r="ULO124" s="381"/>
      <c r="ULP124" s="381"/>
      <c r="ULQ124" s="381"/>
      <c r="ULR124" s="381"/>
      <c r="ULS124" s="381"/>
      <c r="ULT124" s="381"/>
      <c r="ULU124" s="381"/>
      <c r="ULV124" s="381"/>
      <c r="ULW124" s="381"/>
      <c r="ULX124" s="381"/>
      <c r="ULY124" s="381"/>
      <c r="ULZ124" s="381"/>
      <c r="UMA124" s="381"/>
      <c r="UMB124" s="381"/>
      <c r="UMC124" s="381"/>
      <c r="UMD124" s="381"/>
      <c r="UME124" s="381"/>
      <c r="UMF124" s="381"/>
      <c r="UMG124" s="381"/>
      <c r="UMH124" s="381"/>
      <c r="UMI124" s="381"/>
      <c r="UMJ124" s="381"/>
      <c r="UMK124" s="381"/>
      <c r="UML124" s="381"/>
      <c r="UMM124" s="381"/>
      <c r="UMN124" s="381"/>
      <c r="UMO124" s="381"/>
      <c r="UMP124" s="381"/>
      <c r="UMQ124" s="381"/>
      <c r="UMR124" s="381"/>
      <c r="UMS124" s="381"/>
      <c r="UMT124" s="381"/>
      <c r="UMU124" s="381"/>
      <c r="UMV124" s="381"/>
      <c r="UMW124" s="381"/>
      <c r="UMX124" s="381"/>
      <c r="UMY124" s="381"/>
      <c r="UMZ124" s="381"/>
      <c r="UNA124" s="381"/>
      <c r="UNB124" s="381"/>
      <c r="UNC124" s="381"/>
      <c r="UND124" s="381"/>
      <c r="UNE124" s="381"/>
      <c r="UNF124" s="381"/>
      <c r="UNG124" s="381"/>
      <c r="UNH124" s="381"/>
      <c r="UNI124" s="381"/>
      <c r="UNJ124" s="381"/>
      <c r="UNK124" s="381"/>
      <c r="UNL124" s="381"/>
      <c r="UNM124" s="381"/>
      <c r="UNN124" s="381"/>
      <c r="UNO124" s="381"/>
      <c r="UNP124" s="381"/>
      <c r="UNQ124" s="381"/>
      <c r="UNR124" s="381"/>
      <c r="UNS124" s="381"/>
      <c r="UNT124" s="381"/>
      <c r="UNU124" s="381"/>
      <c r="UNV124" s="381"/>
      <c r="UNW124" s="381"/>
      <c r="UNX124" s="381"/>
      <c r="UNY124" s="381"/>
      <c r="UNZ124" s="381"/>
      <c r="UOA124" s="381"/>
      <c r="UOB124" s="381"/>
      <c r="UOC124" s="381"/>
      <c r="UOD124" s="381"/>
      <c r="UOE124" s="381"/>
      <c r="UOF124" s="381"/>
      <c r="UOG124" s="381"/>
      <c r="UOH124" s="381"/>
      <c r="UOI124" s="381"/>
      <c r="UOJ124" s="381"/>
      <c r="UOK124" s="381"/>
      <c r="UOL124" s="381"/>
      <c r="UOM124" s="381"/>
      <c r="UON124" s="381"/>
      <c r="UOO124" s="381"/>
      <c r="UOP124" s="381"/>
      <c r="UOQ124" s="381"/>
      <c r="UOR124" s="381"/>
      <c r="UOS124" s="381"/>
      <c r="UOT124" s="381"/>
      <c r="UOU124" s="381"/>
      <c r="UOV124" s="381"/>
      <c r="UOW124" s="381"/>
      <c r="UOX124" s="381"/>
      <c r="UOY124" s="381"/>
      <c r="UOZ124" s="381"/>
      <c r="UPA124" s="381"/>
      <c r="UPB124" s="381"/>
      <c r="UPC124" s="381"/>
      <c r="UPD124" s="381"/>
      <c r="UPE124" s="381"/>
      <c r="UPF124" s="381"/>
      <c r="UPG124" s="381"/>
      <c r="UPH124" s="381"/>
      <c r="UPI124" s="381"/>
      <c r="UPJ124" s="381"/>
      <c r="UPK124" s="381"/>
      <c r="UPL124" s="381"/>
      <c r="UPM124" s="381"/>
      <c r="UPN124" s="381"/>
      <c r="UPO124" s="381"/>
      <c r="UPP124" s="381"/>
      <c r="UPQ124" s="381"/>
      <c r="UPR124" s="381"/>
      <c r="UPS124" s="381"/>
      <c r="UPT124" s="381"/>
      <c r="UPU124" s="381"/>
      <c r="UPV124" s="381"/>
      <c r="UPW124" s="381"/>
      <c r="UPX124" s="381"/>
      <c r="UPY124" s="381"/>
      <c r="UPZ124" s="381"/>
      <c r="UQA124" s="381"/>
      <c r="UQB124" s="381"/>
      <c r="UQC124" s="381"/>
      <c r="UQD124" s="381"/>
      <c r="UQE124" s="381"/>
      <c r="UQF124" s="381"/>
      <c r="UQG124" s="381"/>
      <c r="UQH124" s="381"/>
      <c r="UQI124" s="381"/>
      <c r="UQJ124" s="381"/>
      <c r="UQK124" s="381"/>
      <c r="UQL124" s="381"/>
      <c r="UQM124" s="381"/>
      <c r="UQN124" s="381"/>
      <c r="UQO124" s="381"/>
      <c r="UQP124" s="381"/>
      <c r="UQQ124" s="381"/>
      <c r="UQR124" s="381"/>
      <c r="UQS124" s="381"/>
      <c r="UQT124" s="381"/>
      <c r="UQU124" s="381"/>
      <c r="UQV124" s="381"/>
      <c r="UQW124" s="381"/>
      <c r="UQX124" s="381"/>
      <c r="UQY124" s="381"/>
      <c r="UQZ124" s="381"/>
      <c r="URA124" s="381"/>
      <c r="URB124" s="381"/>
      <c r="URC124" s="381"/>
      <c r="URD124" s="381"/>
      <c r="URE124" s="381"/>
      <c r="URF124" s="381"/>
      <c r="URG124" s="381"/>
      <c r="URH124" s="381"/>
      <c r="URI124" s="381"/>
      <c r="URJ124" s="381"/>
      <c r="URK124" s="381"/>
      <c r="URL124" s="381"/>
      <c r="URM124" s="381"/>
      <c r="URN124" s="381"/>
      <c r="URO124" s="381"/>
      <c r="URP124" s="381"/>
      <c r="URQ124" s="381"/>
      <c r="URR124" s="381"/>
      <c r="URS124" s="381"/>
      <c r="URT124" s="381"/>
      <c r="URU124" s="381"/>
      <c r="URV124" s="381"/>
      <c r="URW124" s="381"/>
      <c r="URX124" s="381"/>
      <c r="URY124" s="381"/>
      <c r="URZ124" s="381"/>
      <c r="USA124" s="381"/>
      <c r="USB124" s="381"/>
      <c r="USC124" s="381"/>
      <c r="USD124" s="381"/>
      <c r="USE124" s="381"/>
      <c r="USF124" s="381"/>
      <c r="USG124" s="381"/>
      <c r="USH124" s="381"/>
      <c r="USI124" s="381"/>
      <c r="USJ124" s="381"/>
      <c r="USK124" s="381"/>
      <c r="USL124" s="381"/>
      <c r="USM124" s="381"/>
      <c r="USN124" s="381"/>
      <c r="USO124" s="381"/>
      <c r="USP124" s="381"/>
      <c r="USQ124" s="381"/>
      <c r="USR124" s="381"/>
      <c r="USS124" s="381"/>
      <c r="UST124" s="381"/>
      <c r="USU124" s="381"/>
      <c r="USV124" s="381"/>
      <c r="USW124" s="381"/>
      <c r="USX124" s="381"/>
      <c r="USY124" s="381"/>
      <c r="USZ124" s="381"/>
      <c r="UTA124" s="381"/>
      <c r="UTB124" s="381"/>
      <c r="UTC124" s="381"/>
      <c r="UTD124" s="381"/>
      <c r="UTE124" s="381"/>
      <c r="UTF124" s="381"/>
      <c r="UTG124" s="381"/>
      <c r="UTH124" s="381"/>
      <c r="UTI124" s="381"/>
      <c r="UTJ124" s="381"/>
      <c r="UTK124" s="381"/>
      <c r="UTL124" s="381"/>
      <c r="UTM124" s="381"/>
      <c r="UTN124" s="381"/>
      <c r="UTO124" s="381"/>
      <c r="UTP124" s="381"/>
      <c r="UTQ124" s="381"/>
      <c r="UTR124" s="381"/>
      <c r="UTS124" s="381"/>
      <c r="UTT124" s="381"/>
      <c r="UTU124" s="381"/>
      <c r="UTV124" s="381"/>
      <c r="UTW124" s="381"/>
      <c r="UTX124" s="381"/>
      <c r="UTY124" s="381"/>
      <c r="UTZ124" s="381"/>
      <c r="UUA124" s="381"/>
      <c r="UUB124" s="381"/>
      <c r="UUC124" s="381"/>
      <c r="UUD124" s="381"/>
      <c r="UUE124" s="381"/>
      <c r="UUF124" s="381"/>
      <c r="UUG124" s="381"/>
      <c r="UUH124" s="381"/>
      <c r="UUI124" s="381"/>
      <c r="UUJ124" s="381"/>
      <c r="UUK124" s="381"/>
      <c r="UUL124" s="381"/>
      <c r="UUM124" s="381"/>
      <c r="UUN124" s="381"/>
      <c r="UUO124" s="381"/>
      <c r="UUP124" s="381"/>
      <c r="UUQ124" s="381"/>
      <c r="UUR124" s="381"/>
      <c r="UUS124" s="381"/>
      <c r="UUT124" s="381"/>
      <c r="UUU124" s="381"/>
      <c r="UUV124" s="381"/>
      <c r="UUW124" s="381"/>
      <c r="UUX124" s="381"/>
      <c r="UUY124" s="381"/>
      <c r="UUZ124" s="381"/>
      <c r="UVA124" s="381"/>
      <c r="UVB124" s="381"/>
      <c r="UVC124" s="381"/>
      <c r="UVD124" s="381"/>
      <c r="UVE124" s="381"/>
      <c r="UVF124" s="381"/>
      <c r="UVG124" s="381"/>
      <c r="UVH124" s="381"/>
      <c r="UVI124" s="381"/>
      <c r="UVJ124" s="381"/>
      <c r="UVK124" s="381"/>
      <c r="UVL124" s="381"/>
      <c r="UVM124" s="381"/>
      <c r="UVN124" s="381"/>
      <c r="UVO124" s="381"/>
      <c r="UVP124" s="381"/>
      <c r="UVQ124" s="381"/>
      <c r="UVR124" s="381"/>
      <c r="UVS124" s="381"/>
      <c r="UVT124" s="381"/>
      <c r="UVU124" s="381"/>
      <c r="UVV124" s="381"/>
      <c r="UVW124" s="381"/>
      <c r="UVX124" s="381"/>
      <c r="UVY124" s="381"/>
      <c r="UVZ124" s="381"/>
      <c r="UWA124" s="381"/>
      <c r="UWB124" s="381"/>
      <c r="UWC124" s="381"/>
      <c r="UWD124" s="381"/>
      <c r="UWE124" s="381"/>
      <c r="UWF124" s="381"/>
      <c r="UWG124" s="381"/>
      <c r="UWH124" s="381"/>
      <c r="UWI124" s="381"/>
      <c r="UWJ124" s="381"/>
      <c r="UWK124" s="381"/>
      <c r="UWL124" s="381"/>
      <c r="UWM124" s="381"/>
      <c r="UWN124" s="381"/>
      <c r="UWO124" s="381"/>
      <c r="UWP124" s="381"/>
      <c r="UWQ124" s="381"/>
      <c r="UWR124" s="381"/>
      <c r="UWS124" s="381"/>
      <c r="UWT124" s="381"/>
      <c r="UWU124" s="381"/>
      <c r="UWV124" s="381"/>
      <c r="UWW124" s="381"/>
      <c r="UWX124" s="381"/>
      <c r="UWY124" s="381"/>
      <c r="UWZ124" s="381"/>
      <c r="UXA124" s="381"/>
      <c r="UXB124" s="381"/>
      <c r="UXC124" s="381"/>
      <c r="UXD124" s="381"/>
      <c r="UXE124" s="381"/>
      <c r="UXF124" s="381"/>
      <c r="UXG124" s="381"/>
      <c r="UXH124" s="381"/>
      <c r="UXI124" s="381"/>
      <c r="UXJ124" s="381"/>
      <c r="UXK124" s="381"/>
      <c r="UXL124" s="381"/>
      <c r="UXM124" s="381"/>
      <c r="UXN124" s="381"/>
      <c r="UXO124" s="381"/>
      <c r="UXP124" s="381"/>
      <c r="UXQ124" s="381"/>
      <c r="UXR124" s="381"/>
      <c r="UXS124" s="381"/>
      <c r="UXT124" s="381"/>
      <c r="UXU124" s="381"/>
      <c r="UXV124" s="381"/>
      <c r="UXW124" s="381"/>
      <c r="UXX124" s="381"/>
      <c r="UXY124" s="381"/>
      <c r="UXZ124" s="381"/>
      <c r="UYA124" s="381"/>
      <c r="UYB124" s="381"/>
      <c r="UYC124" s="381"/>
      <c r="UYD124" s="381"/>
      <c r="UYE124" s="381"/>
      <c r="UYF124" s="381"/>
      <c r="UYG124" s="381"/>
      <c r="UYH124" s="381"/>
      <c r="UYI124" s="381"/>
      <c r="UYJ124" s="381"/>
      <c r="UYK124" s="381"/>
      <c r="UYL124" s="381"/>
      <c r="UYM124" s="381"/>
      <c r="UYN124" s="381"/>
      <c r="UYO124" s="381"/>
      <c r="UYP124" s="381"/>
      <c r="UYQ124" s="381"/>
      <c r="UYR124" s="381"/>
      <c r="UYS124" s="381"/>
      <c r="UYT124" s="381"/>
      <c r="UYU124" s="381"/>
      <c r="UYV124" s="381"/>
      <c r="UYW124" s="381"/>
      <c r="UYX124" s="381"/>
      <c r="UYY124" s="381"/>
      <c r="UYZ124" s="381"/>
      <c r="UZA124" s="381"/>
      <c r="UZB124" s="381"/>
      <c r="UZC124" s="381"/>
      <c r="UZD124" s="381"/>
      <c r="UZE124" s="381"/>
      <c r="UZF124" s="381"/>
      <c r="UZG124" s="381"/>
      <c r="UZH124" s="381"/>
      <c r="UZI124" s="381"/>
      <c r="UZJ124" s="381"/>
      <c r="UZK124" s="381"/>
      <c r="UZL124" s="381"/>
      <c r="UZM124" s="381"/>
      <c r="UZN124" s="381"/>
      <c r="UZO124" s="381"/>
      <c r="UZP124" s="381"/>
      <c r="UZQ124" s="381"/>
      <c r="UZR124" s="381"/>
      <c r="UZS124" s="381"/>
      <c r="UZT124" s="381"/>
      <c r="UZU124" s="381"/>
      <c r="UZV124" s="381"/>
      <c r="UZW124" s="381"/>
      <c r="UZX124" s="381"/>
      <c r="UZY124" s="381"/>
      <c r="UZZ124" s="381"/>
      <c r="VAA124" s="381"/>
      <c r="VAB124" s="381"/>
      <c r="VAC124" s="381"/>
      <c r="VAD124" s="381"/>
      <c r="VAE124" s="381"/>
      <c r="VAF124" s="381"/>
      <c r="VAG124" s="381"/>
      <c r="VAH124" s="381"/>
      <c r="VAI124" s="381"/>
      <c r="VAJ124" s="381"/>
      <c r="VAK124" s="381"/>
      <c r="VAL124" s="381"/>
      <c r="VAM124" s="381"/>
      <c r="VAN124" s="381"/>
      <c r="VAO124" s="381"/>
      <c r="VAP124" s="381"/>
      <c r="VAQ124" s="381"/>
      <c r="VAR124" s="381"/>
      <c r="VAS124" s="381"/>
      <c r="VAT124" s="381"/>
      <c r="VAU124" s="381"/>
      <c r="VAV124" s="381"/>
      <c r="VAW124" s="381"/>
      <c r="VAX124" s="381"/>
      <c r="VAY124" s="381"/>
      <c r="VAZ124" s="381"/>
      <c r="VBA124" s="381"/>
      <c r="VBB124" s="381"/>
      <c r="VBC124" s="381"/>
      <c r="VBD124" s="381"/>
      <c r="VBE124" s="381"/>
      <c r="VBF124" s="381"/>
      <c r="VBG124" s="381"/>
      <c r="VBH124" s="381"/>
      <c r="VBI124" s="381"/>
      <c r="VBJ124" s="381"/>
      <c r="VBK124" s="381"/>
      <c r="VBL124" s="381"/>
      <c r="VBM124" s="381"/>
      <c r="VBN124" s="381"/>
      <c r="VBO124" s="381"/>
      <c r="VBP124" s="381"/>
      <c r="VBQ124" s="381"/>
      <c r="VBR124" s="381"/>
      <c r="VBS124" s="381"/>
      <c r="VBT124" s="381"/>
      <c r="VBU124" s="381"/>
      <c r="VBV124" s="381"/>
      <c r="VBW124" s="381"/>
      <c r="VBX124" s="381"/>
      <c r="VBY124" s="381"/>
      <c r="VBZ124" s="381"/>
      <c r="VCA124" s="381"/>
      <c r="VCB124" s="381"/>
      <c r="VCC124" s="381"/>
      <c r="VCD124" s="381"/>
      <c r="VCE124" s="381"/>
      <c r="VCF124" s="381"/>
      <c r="VCG124" s="381"/>
      <c r="VCH124" s="381"/>
      <c r="VCI124" s="381"/>
      <c r="VCJ124" s="381"/>
      <c r="VCK124" s="381"/>
      <c r="VCL124" s="381"/>
      <c r="VCM124" s="381"/>
      <c r="VCN124" s="381"/>
      <c r="VCO124" s="381"/>
      <c r="VCP124" s="381"/>
      <c r="VCQ124" s="381"/>
      <c r="VCR124" s="381"/>
      <c r="VCS124" s="381"/>
      <c r="VCT124" s="381"/>
      <c r="VCU124" s="381"/>
      <c r="VCV124" s="381"/>
      <c r="VCW124" s="381"/>
      <c r="VCX124" s="381"/>
      <c r="VCY124" s="381"/>
      <c r="VCZ124" s="381"/>
      <c r="VDA124" s="381"/>
      <c r="VDB124" s="381"/>
      <c r="VDC124" s="381"/>
      <c r="VDD124" s="381"/>
      <c r="VDE124" s="381"/>
      <c r="VDF124" s="381"/>
      <c r="VDG124" s="381"/>
      <c r="VDH124" s="381"/>
      <c r="VDI124" s="381"/>
      <c r="VDJ124" s="381"/>
      <c r="VDK124" s="381"/>
      <c r="VDL124" s="381"/>
      <c r="VDM124" s="381"/>
      <c r="VDN124" s="381"/>
      <c r="VDO124" s="381"/>
      <c r="VDP124" s="381"/>
      <c r="VDQ124" s="381"/>
      <c r="VDR124" s="381"/>
      <c r="VDS124" s="381"/>
      <c r="VDT124" s="381"/>
      <c r="VDU124" s="381"/>
      <c r="VDV124" s="381"/>
      <c r="VDW124" s="381"/>
      <c r="VDX124" s="381"/>
      <c r="VDY124" s="381"/>
      <c r="VDZ124" s="381"/>
      <c r="VEA124" s="381"/>
      <c r="VEB124" s="381"/>
      <c r="VEC124" s="381"/>
      <c r="VED124" s="381"/>
      <c r="VEE124" s="381"/>
      <c r="VEF124" s="381"/>
      <c r="VEG124" s="381"/>
      <c r="VEH124" s="381"/>
      <c r="VEI124" s="381"/>
      <c r="VEJ124" s="381"/>
      <c r="VEK124" s="381"/>
      <c r="VEL124" s="381"/>
      <c r="VEM124" s="381"/>
      <c r="VEN124" s="381"/>
      <c r="VEO124" s="381"/>
      <c r="VEP124" s="381"/>
      <c r="VEQ124" s="381"/>
      <c r="VER124" s="381"/>
      <c r="VES124" s="381"/>
      <c r="VET124" s="381"/>
      <c r="VEU124" s="381"/>
      <c r="VEV124" s="381"/>
      <c r="VEW124" s="381"/>
      <c r="VEX124" s="381"/>
      <c r="VEY124" s="381"/>
      <c r="VEZ124" s="381"/>
      <c r="VFA124" s="381"/>
      <c r="VFB124" s="381"/>
      <c r="VFC124" s="381"/>
      <c r="VFD124" s="381"/>
      <c r="VFE124" s="381"/>
      <c r="VFF124" s="381"/>
      <c r="VFG124" s="381"/>
      <c r="VFH124" s="381"/>
      <c r="VFI124" s="381"/>
      <c r="VFJ124" s="381"/>
      <c r="VFK124" s="381"/>
      <c r="VFL124" s="381"/>
      <c r="VFM124" s="381"/>
      <c r="VFN124" s="381"/>
      <c r="VFO124" s="381"/>
      <c r="VFP124" s="381"/>
      <c r="VFQ124" s="381"/>
      <c r="VFR124" s="381"/>
      <c r="VFS124" s="381"/>
      <c r="VFT124" s="381"/>
      <c r="VFU124" s="381"/>
      <c r="VFV124" s="381"/>
      <c r="VFW124" s="381"/>
      <c r="VFX124" s="381"/>
      <c r="VFY124" s="381"/>
      <c r="VFZ124" s="381"/>
      <c r="VGA124" s="381"/>
      <c r="VGB124" s="381"/>
      <c r="VGC124" s="381"/>
      <c r="VGD124" s="381"/>
      <c r="VGE124" s="381"/>
      <c r="VGF124" s="381"/>
      <c r="VGG124" s="381"/>
      <c r="VGH124" s="381"/>
      <c r="VGI124" s="381"/>
      <c r="VGJ124" s="381"/>
      <c r="VGK124" s="381"/>
      <c r="VGL124" s="381"/>
      <c r="VGM124" s="381"/>
      <c r="VGN124" s="381"/>
      <c r="VGO124" s="381"/>
      <c r="VGP124" s="381"/>
      <c r="VGQ124" s="381"/>
      <c r="VGR124" s="381"/>
      <c r="VGS124" s="381"/>
      <c r="VGT124" s="381"/>
      <c r="VGU124" s="381"/>
      <c r="VGV124" s="381"/>
      <c r="VGW124" s="381"/>
      <c r="VGX124" s="381"/>
      <c r="VGY124" s="381"/>
      <c r="VGZ124" s="381"/>
      <c r="VHA124" s="381"/>
      <c r="VHB124" s="381"/>
      <c r="VHC124" s="381"/>
      <c r="VHD124" s="381"/>
      <c r="VHE124" s="381"/>
      <c r="VHF124" s="381"/>
      <c r="VHG124" s="381"/>
      <c r="VHH124" s="381"/>
      <c r="VHI124" s="381"/>
      <c r="VHJ124" s="381"/>
      <c r="VHK124" s="381"/>
      <c r="VHL124" s="381"/>
      <c r="VHM124" s="381"/>
      <c r="VHN124" s="381"/>
      <c r="VHO124" s="381"/>
      <c r="VHP124" s="381"/>
      <c r="VHQ124" s="381"/>
      <c r="VHR124" s="381"/>
      <c r="VHS124" s="381"/>
      <c r="VHT124" s="381"/>
      <c r="VHU124" s="381"/>
      <c r="VHV124" s="381"/>
      <c r="VHW124" s="381"/>
      <c r="VHX124" s="381"/>
      <c r="VHY124" s="381"/>
      <c r="VHZ124" s="381"/>
      <c r="VIA124" s="381"/>
      <c r="VIB124" s="381"/>
      <c r="VIC124" s="381"/>
      <c r="VID124" s="381"/>
      <c r="VIE124" s="381"/>
      <c r="VIF124" s="381"/>
      <c r="VIG124" s="381"/>
      <c r="VIH124" s="381"/>
      <c r="VII124" s="381"/>
      <c r="VIJ124" s="381"/>
      <c r="VIK124" s="381"/>
      <c r="VIL124" s="381"/>
      <c r="VIM124" s="381"/>
      <c r="VIN124" s="381"/>
      <c r="VIO124" s="381"/>
      <c r="VIP124" s="381"/>
      <c r="VIQ124" s="381"/>
      <c r="VIR124" s="381"/>
      <c r="VIS124" s="381"/>
      <c r="VIT124" s="381"/>
      <c r="VIU124" s="381"/>
      <c r="VIV124" s="381"/>
      <c r="VIW124" s="381"/>
      <c r="VIX124" s="381"/>
      <c r="VIY124" s="381"/>
      <c r="VIZ124" s="381"/>
      <c r="VJA124" s="381"/>
      <c r="VJB124" s="381"/>
      <c r="VJC124" s="381"/>
      <c r="VJD124" s="381"/>
      <c r="VJE124" s="381"/>
      <c r="VJF124" s="381"/>
      <c r="VJG124" s="381"/>
      <c r="VJH124" s="381"/>
      <c r="VJI124" s="381"/>
      <c r="VJJ124" s="381"/>
      <c r="VJK124" s="381"/>
      <c r="VJL124" s="381"/>
      <c r="VJM124" s="381"/>
      <c r="VJN124" s="381"/>
      <c r="VJO124" s="381"/>
      <c r="VJP124" s="381"/>
      <c r="VJQ124" s="381"/>
      <c r="VJR124" s="381"/>
      <c r="VJS124" s="381"/>
      <c r="VJT124" s="381"/>
      <c r="VJU124" s="381"/>
      <c r="VJV124" s="381"/>
      <c r="VJW124" s="381"/>
      <c r="VJX124" s="381"/>
      <c r="VJY124" s="381"/>
      <c r="VJZ124" s="381"/>
      <c r="VKA124" s="381"/>
      <c r="VKB124" s="381"/>
      <c r="VKC124" s="381"/>
      <c r="VKD124" s="381"/>
      <c r="VKE124" s="381"/>
      <c r="VKF124" s="381"/>
      <c r="VKG124" s="381"/>
      <c r="VKH124" s="381"/>
      <c r="VKI124" s="381"/>
      <c r="VKJ124" s="381"/>
      <c r="VKK124" s="381"/>
      <c r="VKL124" s="381"/>
      <c r="VKM124" s="381"/>
      <c r="VKN124" s="381"/>
      <c r="VKO124" s="381"/>
      <c r="VKP124" s="381"/>
      <c r="VKQ124" s="381"/>
      <c r="VKR124" s="381"/>
      <c r="VKS124" s="381"/>
      <c r="VKT124" s="381"/>
      <c r="VKU124" s="381"/>
      <c r="VKV124" s="381"/>
      <c r="VKW124" s="381"/>
      <c r="VKX124" s="381"/>
      <c r="VKY124" s="381"/>
      <c r="VKZ124" s="381"/>
      <c r="VLA124" s="381"/>
      <c r="VLB124" s="381"/>
      <c r="VLC124" s="381"/>
      <c r="VLD124" s="381"/>
      <c r="VLE124" s="381"/>
      <c r="VLF124" s="381"/>
      <c r="VLG124" s="381"/>
      <c r="VLH124" s="381"/>
      <c r="VLI124" s="381"/>
      <c r="VLJ124" s="381"/>
      <c r="VLK124" s="381"/>
      <c r="VLL124" s="381"/>
      <c r="VLM124" s="381"/>
      <c r="VLN124" s="381"/>
      <c r="VLO124" s="381"/>
      <c r="VLP124" s="381"/>
      <c r="VLQ124" s="381"/>
      <c r="VLR124" s="381"/>
      <c r="VLS124" s="381"/>
      <c r="VLT124" s="381"/>
      <c r="VLU124" s="381"/>
      <c r="VLV124" s="381"/>
      <c r="VLW124" s="381"/>
      <c r="VLX124" s="381"/>
      <c r="VLY124" s="381"/>
      <c r="VLZ124" s="381"/>
      <c r="VMA124" s="381"/>
      <c r="VMB124" s="381"/>
      <c r="VMC124" s="381"/>
      <c r="VMD124" s="381"/>
      <c r="VME124" s="381"/>
      <c r="VMF124" s="381"/>
      <c r="VMG124" s="381"/>
      <c r="VMH124" s="381"/>
      <c r="VMI124" s="381"/>
      <c r="VMJ124" s="381"/>
      <c r="VMK124" s="381"/>
      <c r="VML124" s="381"/>
      <c r="VMM124" s="381"/>
      <c r="VMN124" s="381"/>
      <c r="VMO124" s="381"/>
      <c r="VMP124" s="381"/>
      <c r="VMQ124" s="381"/>
      <c r="VMR124" s="381"/>
      <c r="VMS124" s="381"/>
      <c r="VMT124" s="381"/>
      <c r="VMU124" s="381"/>
      <c r="VMV124" s="381"/>
      <c r="VMW124" s="381"/>
      <c r="VMX124" s="381"/>
      <c r="VMY124" s="381"/>
      <c r="VMZ124" s="381"/>
      <c r="VNA124" s="381"/>
      <c r="VNB124" s="381"/>
      <c r="VNC124" s="381"/>
      <c r="VND124" s="381"/>
      <c r="VNE124" s="381"/>
      <c r="VNF124" s="381"/>
      <c r="VNG124" s="381"/>
      <c r="VNH124" s="381"/>
      <c r="VNI124" s="381"/>
      <c r="VNJ124" s="381"/>
      <c r="VNK124" s="381"/>
      <c r="VNL124" s="381"/>
      <c r="VNM124" s="381"/>
      <c r="VNN124" s="381"/>
      <c r="VNO124" s="381"/>
      <c r="VNP124" s="381"/>
      <c r="VNQ124" s="381"/>
      <c r="VNR124" s="381"/>
      <c r="VNS124" s="381"/>
      <c r="VNT124" s="381"/>
      <c r="VNU124" s="381"/>
      <c r="VNV124" s="381"/>
      <c r="VNW124" s="381"/>
      <c r="VNX124" s="381"/>
      <c r="VNY124" s="381"/>
      <c r="VNZ124" s="381"/>
      <c r="VOA124" s="381"/>
      <c r="VOB124" s="381"/>
      <c r="VOC124" s="381"/>
      <c r="VOD124" s="381"/>
      <c r="VOE124" s="381"/>
      <c r="VOF124" s="381"/>
      <c r="VOG124" s="381"/>
      <c r="VOH124" s="381"/>
      <c r="VOI124" s="381"/>
      <c r="VOJ124" s="381"/>
      <c r="VOK124" s="381"/>
      <c r="VOL124" s="381"/>
      <c r="VOM124" s="381"/>
      <c r="VON124" s="381"/>
      <c r="VOO124" s="381"/>
      <c r="VOP124" s="381"/>
      <c r="VOQ124" s="381"/>
      <c r="VOR124" s="381"/>
      <c r="VOS124" s="381"/>
      <c r="VOT124" s="381"/>
      <c r="VOU124" s="381"/>
      <c r="VOV124" s="381"/>
      <c r="VOW124" s="381"/>
      <c r="VOX124" s="381"/>
      <c r="VOY124" s="381"/>
      <c r="VOZ124" s="381"/>
      <c r="VPA124" s="381"/>
      <c r="VPB124" s="381"/>
      <c r="VPC124" s="381"/>
      <c r="VPD124" s="381"/>
      <c r="VPE124" s="381"/>
      <c r="VPF124" s="381"/>
      <c r="VPG124" s="381"/>
      <c r="VPH124" s="381"/>
      <c r="VPI124" s="381"/>
      <c r="VPJ124" s="381"/>
      <c r="VPK124" s="381"/>
      <c r="VPL124" s="381"/>
      <c r="VPM124" s="381"/>
      <c r="VPN124" s="381"/>
      <c r="VPO124" s="381"/>
      <c r="VPP124" s="381"/>
      <c r="VPQ124" s="381"/>
      <c r="VPR124" s="381"/>
      <c r="VPS124" s="381"/>
      <c r="VPT124" s="381"/>
      <c r="VPU124" s="381"/>
      <c r="VPV124" s="381"/>
      <c r="VPW124" s="381"/>
      <c r="VPX124" s="381"/>
      <c r="VPY124" s="381"/>
      <c r="VPZ124" s="381"/>
      <c r="VQA124" s="381"/>
      <c r="VQB124" s="381"/>
      <c r="VQC124" s="381"/>
      <c r="VQD124" s="381"/>
      <c r="VQE124" s="381"/>
      <c r="VQF124" s="381"/>
      <c r="VQG124" s="381"/>
      <c r="VQH124" s="381"/>
      <c r="VQI124" s="381"/>
      <c r="VQJ124" s="381"/>
      <c r="VQK124" s="381"/>
      <c r="VQL124" s="381"/>
      <c r="VQM124" s="381"/>
      <c r="VQN124" s="381"/>
      <c r="VQO124" s="381"/>
      <c r="VQP124" s="381"/>
      <c r="VQQ124" s="381"/>
      <c r="VQR124" s="381"/>
      <c r="VQS124" s="381"/>
      <c r="VQT124" s="381"/>
      <c r="VQU124" s="381"/>
      <c r="VQV124" s="381"/>
      <c r="VQW124" s="381"/>
      <c r="VQX124" s="381"/>
      <c r="VQY124" s="381"/>
      <c r="VQZ124" s="381"/>
      <c r="VRA124" s="381"/>
      <c r="VRB124" s="381"/>
      <c r="VRC124" s="381"/>
      <c r="VRD124" s="381"/>
      <c r="VRE124" s="381"/>
      <c r="VRF124" s="381"/>
      <c r="VRG124" s="381"/>
      <c r="VRH124" s="381"/>
      <c r="VRI124" s="381"/>
      <c r="VRJ124" s="381"/>
      <c r="VRK124" s="381"/>
      <c r="VRL124" s="381"/>
      <c r="VRM124" s="381"/>
      <c r="VRN124" s="381"/>
      <c r="VRO124" s="381"/>
      <c r="VRP124" s="381"/>
      <c r="VRQ124" s="381"/>
      <c r="VRR124" s="381"/>
      <c r="VRS124" s="381"/>
      <c r="VRT124" s="381"/>
      <c r="VRU124" s="381"/>
      <c r="VRV124" s="381"/>
      <c r="VRW124" s="381"/>
      <c r="VRX124" s="381"/>
      <c r="VRY124" s="381"/>
      <c r="VRZ124" s="381"/>
      <c r="VSA124" s="381"/>
      <c r="VSB124" s="381"/>
      <c r="VSC124" s="381"/>
      <c r="VSD124" s="381"/>
      <c r="VSE124" s="381"/>
      <c r="VSF124" s="381"/>
      <c r="VSG124" s="381"/>
      <c r="VSH124" s="381"/>
      <c r="VSI124" s="381"/>
      <c r="VSJ124" s="381"/>
      <c r="VSK124" s="381"/>
      <c r="VSL124" s="381"/>
      <c r="VSM124" s="381"/>
      <c r="VSN124" s="381"/>
      <c r="VSO124" s="381"/>
      <c r="VSP124" s="381"/>
      <c r="VSQ124" s="381"/>
      <c r="VSR124" s="381"/>
      <c r="VSS124" s="381"/>
      <c r="VST124" s="381"/>
      <c r="VSU124" s="381"/>
      <c r="VSV124" s="381"/>
      <c r="VSW124" s="381"/>
      <c r="VSX124" s="381"/>
      <c r="VSY124" s="381"/>
      <c r="VSZ124" s="381"/>
      <c r="VTA124" s="381"/>
      <c r="VTB124" s="381"/>
      <c r="VTC124" s="381"/>
      <c r="VTD124" s="381"/>
      <c r="VTE124" s="381"/>
      <c r="VTF124" s="381"/>
      <c r="VTG124" s="381"/>
      <c r="VTH124" s="381"/>
      <c r="VTI124" s="381"/>
      <c r="VTJ124" s="381"/>
      <c r="VTK124" s="381"/>
      <c r="VTL124" s="381"/>
      <c r="VTM124" s="381"/>
      <c r="VTN124" s="381"/>
      <c r="VTO124" s="381"/>
      <c r="VTP124" s="381"/>
      <c r="VTQ124" s="381"/>
      <c r="VTR124" s="381"/>
      <c r="VTS124" s="381"/>
      <c r="VTT124" s="381"/>
      <c r="VTU124" s="381"/>
      <c r="VTV124" s="381"/>
      <c r="VTW124" s="381"/>
      <c r="VTX124" s="381"/>
      <c r="VTY124" s="381"/>
      <c r="VTZ124" s="381"/>
      <c r="VUA124" s="381"/>
      <c r="VUB124" s="381"/>
      <c r="VUC124" s="381"/>
      <c r="VUD124" s="381"/>
      <c r="VUE124" s="381"/>
      <c r="VUF124" s="381"/>
      <c r="VUG124" s="381"/>
      <c r="VUH124" s="381"/>
      <c r="VUI124" s="381"/>
      <c r="VUJ124" s="381"/>
      <c r="VUK124" s="381"/>
      <c r="VUL124" s="381"/>
      <c r="VUM124" s="381"/>
      <c r="VUN124" s="381"/>
      <c r="VUO124" s="381"/>
      <c r="VUP124" s="381"/>
      <c r="VUQ124" s="381"/>
      <c r="VUR124" s="381"/>
      <c r="VUS124" s="381"/>
      <c r="VUT124" s="381"/>
      <c r="VUU124" s="381"/>
      <c r="VUV124" s="381"/>
      <c r="VUW124" s="381"/>
      <c r="VUX124" s="381"/>
      <c r="VUY124" s="381"/>
      <c r="VUZ124" s="381"/>
      <c r="VVA124" s="381"/>
      <c r="VVB124" s="381"/>
      <c r="VVC124" s="381"/>
      <c r="VVD124" s="381"/>
      <c r="VVE124" s="381"/>
      <c r="VVF124" s="381"/>
      <c r="VVG124" s="381"/>
      <c r="VVH124" s="381"/>
      <c r="VVI124" s="381"/>
      <c r="VVJ124" s="381"/>
      <c r="VVK124" s="381"/>
      <c r="VVL124" s="381"/>
      <c r="VVM124" s="381"/>
      <c r="VVN124" s="381"/>
      <c r="VVO124" s="381"/>
      <c r="VVP124" s="381"/>
      <c r="VVQ124" s="381"/>
      <c r="VVR124" s="381"/>
      <c r="VVS124" s="381"/>
      <c r="VVT124" s="381"/>
      <c r="VVU124" s="381"/>
      <c r="VVV124" s="381"/>
      <c r="VVW124" s="381"/>
      <c r="VVX124" s="381"/>
      <c r="VVY124" s="381"/>
      <c r="VVZ124" s="381"/>
      <c r="VWA124" s="381"/>
      <c r="VWB124" s="381"/>
      <c r="VWC124" s="381"/>
      <c r="VWD124" s="381"/>
      <c r="VWE124" s="381"/>
      <c r="VWF124" s="381"/>
      <c r="VWG124" s="381"/>
      <c r="VWH124" s="381"/>
      <c r="VWI124" s="381"/>
      <c r="VWJ124" s="381"/>
      <c r="VWK124" s="381"/>
      <c r="VWL124" s="381"/>
      <c r="VWM124" s="381"/>
      <c r="VWN124" s="381"/>
      <c r="VWO124" s="381"/>
      <c r="VWP124" s="381"/>
      <c r="VWQ124" s="381"/>
      <c r="VWR124" s="381"/>
      <c r="VWS124" s="381"/>
      <c r="VWT124" s="381"/>
      <c r="VWU124" s="381"/>
      <c r="VWV124" s="381"/>
      <c r="VWW124" s="381"/>
      <c r="VWX124" s="381"/>
      <c r="VWY124" s="381"/>
      <c r="VWZ124" s="381"/>
      <c r="VXA124" s="381"/>
      <c r="VXB124" s="381"/>
      <c r="VXC124" s="381"/>
      <c r="VXD124" s="381"/>
      <c r="VXE124" s="381"/>
      <c r="VXF124" s="381"/>
      <c r="VXG124" s="381"/>
      <c r="VXH124" s="381"/>
      <c r="VXI124" s="381"/>
      <c r="VXJ124" s="381"/>
      <c r="VXK124" s="381"/>
      <c r="VXL124" s="381"/>
      <c r="VXM124" s="381"/>
      <c r="VXN124" s="381"/>
      <c r="VXO124" s="381"/>
      <c r="VXP124" s="381"/>
      <c r="VXQ124" s="381"/>
      <c r="VXR124" s="381"/>
      <c r="VXS124" s="381"/>
      <c r="VXT124" s="381"/>
      <c r="VXU124" s="381"/>
      <c r="VXV124" s="381"/>
      <c r="VXW124" s="381"/>
      <c r="VXX124" s="381"/>
      <c r="VXY124" s="381"/>
      <c r="VXZ124" s="381"/>
      <c r="VYA124" s="381"/>
      <c r="VYB124" s="381"/>
      <c r="VYC124" s="381"/>
      <c r="VYD124" s="381"/>
      <c r="VYE124" s="381"/>
      <c r="VYF124" s="381"/>
      <c r="VYG124" s="381"/>
      <c r="VYH124" s="381"/>
      <c r="VYI124" s="381"/>
      <c r="VYJ124" s="381"/>
      <c r="VYK124" s="381"/>
      <c r="VYL124" s="381"/>
      <c r="VYM124" s="381"/>
      <c r="VYN124" s="381"/>
      <c r="VYO124" s="381"/>
      <c r="VYP124" s="381"/>
      <c r="VYQ124" s="381"/>
      <c r="VYR124" s="381"/>
      <c r="VYS124" s="381"/>
      <c r="VYT124" s="381"/>
      <c r="VYU124" s="381"/>
      <c r="VYV124" s="381"/>
      <c r="VYW124" s="381"/>
      <c r="VYX124" s="381"/>
      <c r="VYY124" s="381"/>
      <c r="VYZ124" s="381"/>
      <c r="VZA124" s="381"/>
      <c r="VZB124" s="381"/>
      <c r="VZC124" s="381"/>
      <c r="VZD124" s="381"/>
      <c r="VZE124" s="381"/>
      <c r="VZF124" s="381"/>
      <c r="VZG124" s="381"/>
      <c r="VZH124" s="381"/>
      <c r="VZI124" s="381"/>
      <c r="VZJ124" s="381"/>
      <c r="VZK124" s="381"/>
      <c r="VZL124" s="381"/>
      <c r="VZM124" s="381"/>
      <c r="VZN124" s="381"/>
      <c r="VZO124" s="381"/>
      <c r="VZP124" s="381"/>
      <c r="VZQ124" s="381"/>
      <c r="VZR124" s="381"/>
      <c r="VZS124" s="381"/>
      <c r="VZT124" s="381"/>
      <c r="VZU124" s="381"/>
      <c r="VZV124" s="381"/>
      <c r="VZW124" s="381"/>
      <c r="VZX124" s="381"/>
      <c r="VZY124" s="381"/>
      <c r="VZZ124" s="381"/>
      <c r="WAA124" s="381"/>
      <c r="WAB124" s="381"/>
      <c r="WAC124" s="381"/>
      <c r="WAD124" s="381"/>
      <c r="WAE124" s="381"/>
      <c r="WAF124" s="381"/>
      <c r="WAG124" s="381"/>
      <c r="WAH124" s="381"/>
      <c r="WAI124" s="381"/>
      <c r="WAJ124" s="381"/>
      <c r="WAK124" s="381"/>
      <c r="WAL124" s="381"/>
      <c r="WAM124" s="381"/>
      <c r="WAN124" s="381"/>
      <c r="WAO124" s="381"/>
      <c r="WAP124" s="381"/>
      <c r="WAQ124" s="381"/>
      <c r="WAR124" s="381"/>
      <c r="WAS124" s="381"/>
      <c r="WAT124" s="381"/>
      <c r="WAU124" s="381"/>
      <c r="WAV124" s="381"/>
      <c r="WAW124" s="381"/>
      <c r="WAX124" s="381"/>
      <c r="WAY124" s="381"/>
      <c r="WAZ124" s="381"/>
      <c r="WBA124" s="381"/>
      <c r="WBB124" s="381"/>
      <c r="WBC124" s="381"/>
      <c r="WBD124" s="381"/>
      <c r="WBE124" s="381"/>
      <c r="WBF124" s="381"/>
      <c r="WBG124" s="381"/>
      <c r="WBH124" s="381"/>
      <c r="WBI124" s="381"/>
      <c r="WBJ124" s="381"/>
      <c r="WBK124" s="381"/>
      <c r="WBL124" s="381"/>
      <c r="WBM124" s="381"/>
      <c r="WBN124" s="381"/>
      <c r="WBO124" s="381"/>
      <c r="WBP124" s="381"/>
      <c r="WBQ124" s="381"/>
      <c r="WBR124" s="381"/>
      <c r="WBS124" s="381"/>
      <c r="WBT124" s="381"/>
      <c r="WBU124" s="381"/>
      <c r="WBV124" s="381"/>
      <c r="WBW124" s="381"/>
      <c r="WBX124" s="381"/>
      <c r="WBY124" s="381"/>
      <c r="WBZ124" s="381"/>
      <c r="WCA124" s="381"/>
      <c r="WCB124" s="381"/>
      <c r="WCC124" s="381"/>
      <c r="WCD124" s="381"/>
      <c r="WCE124" s="381"/>
      <c r="WCF124" s="381"/>
      <c r="WCG124" s="381"/>
      <c r="WCH124" s="381"/>
      <c r="WCI124" s="381"/>
      <c r="WCJ124" s="381"/>
      <c r="WCK124" s="381"/>
      <c r="WCL124" s="381"/>
      <c r="WCM124" s="381"/>
      <c r="WCN124" s="381"/>
      <c r="WCO124" s="381"/>
      <c r="WCP124" s="381"/>
      <c r="WCQ124" s="381"/>
      <c r="WCR124" s="381"/>
      <c r="WCS124" s="381"/>
      <c r="WCT124" s="381"/>
      <c r="WCU124" s="381"/>
      <c r="WCV124" s="381"/>
      <c r="WCW124" s="381"/>
      <c r="WCX124" s="381"/>
      <c r="WCY124" s="381"/>
      <c r="WCZ124" s="381"/>
      <c r="WDA124" s="381"/>
      <c r="WDB124" s="381"/>
      <c r="WDC124" s="381"/>
      <c r="WDD124" s="381"/>
      <c r="WDE124" s="381"/>
      <c r="WDF124" s="381"/>
      <c r="WDG124" s="381"/>
      <c r="WDH124" s="381"/>
      <c r="WDI124" s="381"/>
      <c r="WDJ124" s="381"/>
      <c r="WDK124" s="381"/>
      <c r="WDL124" s="381"/>
      <c r="WDM124" s="381"/>
      <c r="WDN124" s="381"/>
      <c r="WDO124" s="381"/>
      <c r="WDP124" s="381"/>
      <c r="WDQ124" s="381"/>
      <c r="WDR124" s="381"/>
      <c r="WDS124" s="381"/>
      <c r="WDT124" s="381"/>
      <c r="WDU124" s="381"/>
      <c r="WDV124" s="381"/>
      <c r="WDW124" s="381"/>
      <c r="WDX124" s="381"/>
      <c r="WDY124" s="381"/>
      <c r="WDZ124" s="381"/>
      <c r="WEA124" s="381"/>
      <c r="WEB124" s="381"/>
      <c r="WEC124" s="381"/>
      <c r="WED124" s="381"/>
      <c r="WEE124" s="381"/>
      <c r="WEF124" s="381"/>
      <c r="WEG124" s="381"/>
      <c r="WEH124" s="381"/>
      <c r="WEI124" s="381"/>
      <c r="WEJ124" s="381"/>
      <c r="WEK124" s="381"/>
      <c r="WEL124" s="381"/>
      <c r="WEM124" s="381"/>
      <c r="WEN124" s="381"/>
      <c r="WEO124" s="381"/>
      <c r="WEP124" s="381"/>
      <c r="WEQ124" s="381"/>
      <c r="WER124" s="381"/>
      <c r="WES124" s="381"/>
      <c r="WET124" s="381"/>
      <c r="WEU124" s="381"/>
      <c r="WEV124" s="381"/>
      <c r="WEW124" s="381"/>
      <c r="WEX124" s="381"/>
      <c r="WEY124" s="381"/>
      <c r="WEZ124" s="381"/>
      <c r="WFA124" s="381"/>
      <c r="WFB124" s="381"/>
      <c r="WFC124" s="381"/>
      <c r="WFD124" s="381"/>
      <c r="WFE124" s="381"/>
      <c r="WFF124" s="381"/>
      <c r="WFG124" s="381"/>
      <c r="WFH124" s="381"/>
      <c r="WFI124" s="381"/>
      <c r="WFJ124" s="381"/>
      <c r="WFK124" s="381"/>
      <c r="WFL124" s="381"/>
      <c r="WFM124" s="381"/>
      <c r="WFN124" s="381"/>
      <c r="WFO124" s="381"/>
      <c r="WFP124" s="381"/>
      <c r="WFQ124" s="381"/>
      <c r="WFR124" s="381"/>
      <c r="WFS124" s="381"/>
      <c r="WFT124" s="381"/>
      <c r="WFU124" s="381"/>
      <c r="WFV124" s="381"/>
      <c r="WFW124" s="381"/>
      <c r="WFX124" s="381"/>
      <c r="WFY124" s="381"/>
      <c r="WFZ124" s="381"/>
      <c r="WGA124" s="381"/>
      <c r="WGB124" s="381"/>
      <c r="WGC124" s="381"/>
      <c r="WGD124" s="381"/>
      <c r="WGE124" s="381"/>
      <c r="WGF124" s="381"/>
      <c r="WGG124" s="381"/>
      <c r="WGH124" s="381"/>
      <c r="WGI124" s="381"/>
      <c r="WGJ124" s="381"/>
      <c r="WGK124" s="381"/>
      <c r="WGL124" s="381"/>
      <c r="WGM124" s="381"/>
      <c r="WGN124" s="381"/>
      <c r="WGO124" s="381"/>
      <c r="WGP124" s="381"/>
      <c r="WGQ124" s="381"/>
      <c r="WGR124" s="381"/>
      <c r="WGS124" s="381"/>
      <c r="WGT124" s="381"/>
      <c r="WGU124" s="381"/>
      <c r="WGV124" s="381"/>
      <c r="WGW124" s="381"/>
      <c r="WGX124" s="381"/>
      <c r="WGY124" s="381"/>
      <c r="WGZ124" s="381"/>
      <c r="WHA124" s="381"/>
      <c r="WHB124" s="381"/>
      <c r="WHC124" s="381"/>
      <c r="WHD124" s="381"/>
      <c r="WHE124" s="381"/>
      <c r="WHF124" s="381"/>
      <c r="WHG124" s="381"/>
      <c r="WHH124" s="381"/>
      <c r="WHI124" s="381"/>
      <c r="WHJ124" s="381"/>
      <c r="WHK124" s="381"/>
      <c r="WHL124" s="381"/>
      <c r="WHM124" s="381"/>
      <c r="WHN124" s="381"/>
      <c r="WHO124" s="381"/>
      <c r="WHP124" s="381"/>
      <c r="WHQ124" s="381"/>
      <c r="WHR124" s="381"/>
      <c r="WHS124" s="381"/>
      <c r="WHT124" s="381"/>
      <c r="WHU124" s="381"/>
      <c r="WHV124" s="381"/>
      <c r="WHW124" s="381"/>
      <c r="WHX124" s="381"/>
      <c r="WHY124" s="381"/>
      <c r="WHZ124" s="381"/>
      <c r="WIA124" s="381"/>
      <c r="WIB124" s="381"/>
      <c r="WIC124" s="381"/>
      <c r="WID124" s="381"/>
      <c r="WIE124" s="381"/>
      <c r="WIF124" s="381"/>
      <c r="WIG124" s="381"/>
      <c r="WIH124" s="381"/>
      <c r="WII124" s="381"/>
      <c r="WIJ124" s="381"/>
      <c r="WIK124" s="381"/>
      <c r="WIL124" s="381"/>
      <c r="WIM124" s="381"/>
      <c r="WIN124" s="381"/>
      <c r="WIO124" s="381"/>
      <c r="WIP124" s="381"/>
      <c r="WIQ124" s="381"/>
      <c r="WIR124" s="381"/>
      <c r="WIS124" s="381"/>
      <c r="WIT124" s="381"/>
      <c r="WIU124" s="381"/>
      <c r="WIV124" s="381"/>
      <c r="WIW124" s="381"/>
      <c r="WIX124" s="381"/>
      <c r="WIY124" s="381"/>
      <c r="WIZ124" s="381"/>
      <c r="WJA124" s="381"/>
      <c r="WJB124" s="381"/>
      <c r="WJC124" s="381"/>
      <c r="WJD124" s="381"/>
      <c r="WJE124" s="381"/>
      <c r="WJF124" s="381"/>
      <c r="WJG124" s="381"/>
      <c r="WJH124" s="381"/>
      <c r="WJI124" s="381"/>
      <c r="WJJ124" s="381"/>
      <c r="WJK124" s="381"/>
      <c r="WJL124" s="381"/>
      <c r="WJM124" s="381"/>
      <c r="WJN124" s="381"/>
      <c r="WJO124" s="381"/>
      <c r="WJP124" s="381"/>
      <c r="WJQ124" s="381"/>
      <c r="WJR124" s="381"/>
      <c r="WJS124" s="381"/>
      <c r="WJT124" s="381"/>
      <c r="WJU124" s="381"/>
      <c r="WJV124" s="381"/>
      <c r="WJW124" s="381"/>
      <c r="WJX124" s="381"/>
      <c r="WJY124" s="381"/>
      <c r="WJZ124" s="381"/>
      <c r="WKA124" s="381"/>
      <c r="WKB124" s="381"/>
      <c r="WKC124" s="381"/>
      <c r="WKD124" s="381"/>
      <c r="WKE124" s="381"/>
      <c r="WKF124" s="381"/>
      <c r="WKG124" s="381"/>
      <c r="WKH124" s="381"/>
      <c r="WKI124" s="381"/>
      <c r="WKJ124" s="381"/>
      <c r="WKK124" s="381"/>
      <c r="WKL124" s="381"/>
      <c r="WKM124" s="381"/>
      <c r="WKN124" s="381"/>
      <c r="WKO124" s="381"/>
      <c r="WKP124" s="381"/>
      <c r="WKQ124" s="381"/>
      <c r="WKR124" s="381"/>
      <c r="WKS124" s="381"/>
      <c r="WKT124" s="381"/>
      <c r="WKU124" s="381"/>
      <c r="WKV124" s="381"/>
      <c r="WKW124" s="381"/>
      <c r="WKX124" s="381"/>
      <c r="WKY124" s="381"/>
      <c r="WKZ124" s="381"/>
      <c r="WLA124" s="381"/>
      <c r="WLB124" s="381"/>
      <c r="WLC124" s="381"/>
      <c r="WLD124" s="381"/>
      <c r="WLE124" s="381"/>
      <c r="WLF124" s="381"/>
      <c r="WLG124" s="381"/>
      <c r="WLH124" s="381"/>
      <c r="WLI124" s="381"/>
      <c r="WLJ124" s="381"/>
      <c r="WLK124" s="381"/>
      <c r="WLL124" s="381"/>
      <c r="WLM124" s="381"/>
      <c r="WLN124" s="381"/>
      <c r="WLO124" s="381"/>
      <c r="WLP124" s="381"/>
      <c r="WLQ124" s="381"/>
      <c r="WLR124" s="381"/>
      <c r="WLS124" s="381"/>
      <c r="WLT124" s="381"/>
      <c r="WLU124" s="381"/>
      <c r="WLV124" s="381"/>
      <c r="WLW124" s="381"/>
      <c r="WLX124" s="381"/>
      <c r="WLY124" s="381"/>
      <c r="WLZ124" s="381"/>
      <c r="WMA124" s="381"/>
      <c r="WMB124" s="381"/>
      <c r="WMC124" s="381"/>
      <c r="WMD124" s="381"/>
      <c r="WME124" s="381"/>
      <c r="WMF124" s="381"/>
      <c r="WMG124" s="381"/>
      <c r="WMH124" s="381"/>
      <c r="WMI124" s="381"/>
      <c r="WMJ124" s="381"/>
      <c r="WMK124" s="381"/>
      <c r="WML124" s="381"/>
      <c r="WMM124" s="381"/>
      <c r="WMN124" s="381"/>
      <c r="WMO124" s="381"/>
      <c r="WMP124" s="381"/>
      <c r="WMQ124" s="381"/>
      <c r="WMR124" s="381"/>
      <c r="WMS124" s="381"/>
      <c r="WMT124" s="381"/>
      <c r="WMU124" s="381"/>
      <c r="WMV124" s="381"/>
      <c r="WMW124" s="381"/>
      <c r="WMX124" s="381"/>
      <c r="WMY124" s="381"/>
      <c r="WMZ124" s="381"/>
      <c r="WNA124" s="381"/>
      <c r="WNB124" s="381"/>
      <c r="WNC124" s="381"/>
      <c r="WND124" s="381"/>
      <c r="WNE124" s="381"/>
      <c r="WNF124" s="381"/>
      <c r="WNG124" s="381"/>
      <c r="WNH124" s="381"/>
      <c r="WNI124" s="381"/>
      <c r="WNJ124" s="381"/>
      <c r="WNK124" s="381"/>
      <c r="WNL124" s="381"/>
      <c r="WNM124" s="381"/>
      <c r="WNN124" s="381"/>
      <c r="WNO124" s="381"/>
      <c r="WNP124" s="381"/>
      <c r="WNQ124" s="381"/>
      <c r="WNR124" s="381"/>
      <c r="WNS124" s="381"/>
      <c r="WNT124" s="381"/>
      <c r="WNU124" s="381"/>
      <c r="WNV124" s="381"/>
      <c r="WNW124" s="381"/>
      <c r="WNX124" s="381"/>
      <c r="WNY124" s="381"/>
      <c r="WNZ124" s="381"/>
      <c r="WOA124" s="381"/>
      <c r="WOB124" s="381"/>
      <c r="WOC124" s="381"/>
      <c r="WOD124" s="381"/>
      <c r="WOE124" s="381"/>
      <c r="WOF124" s="381"/>
      <c r="WOG124" s="381"/>
      <c r="WOH124" s="381"/>
      <c r="WOI124" s="381"/>
      <c r="WOJ124" s="381"/>
      <c r="WOK124" s="381"/>
      <c r="WOL124" s="381"/>
      <c r="WOM124" s="381"/>
      <c r="WON124" s="381"/>
      <c r="WOO124" s="381"/>
      <c r="WOP124" s="381"/>
      <c r="WOQ124" s="381"/>
      <c r="WOR124" s="381"/>
      <c r="WOS124" s="381"/>
      <c r="WOT124" s="381"/>
      <c r="WOU124" s="381"/>
      <c r="WOV124" s="381"/>
      <c r="WOW124" s="381"/>
      <c r="WOX124" s="381"/>
      <c r="WOY124" s="381"/>
      <c r="WOZ124" s="381"/>
      <c r="WPA124" s="381"/>
      <c r="WPB124" s="381"/>
      <c r="WPC124" s="381"/>
      <c r="WPD124" s="381"/>
      <c r="WPE124" s="381"/>
      <c r="WPF124" s="381"/>
      <c r="WPG124" s="381"/>
      <c r="WPH124" s="381"/>
      <c r="WPI124" s="381"/>
      <c r="WPJ124" s="381"/>
      <c r="WPK124" s="381"/>
      <c r="WPL124" s="381"/>
      <c r="WPM124" s="381"/>
      <c r="WPN124" s="381"/>
      <c r="WPO124" s="381"/>
      <c r="WPP124" s="381"/>
      <c r="WPQ124" s="381"/>
      <c r="WPR124" s="381"/>
      <c r="WPS124" s="381"/>
      <c r="WPT124" s="381"/>
      <c r="WPU124" s="381"/>
      <c r="WPV124" s="381"/>
      <c r="WPW124" s="381"/>
      <c r="WPX124" s="381"/>
      <c r="WPY124" s="381"/>
      <c r="WPZ124" s="381"/>
      <c r="WQA124" s="381"/>
      <c r="WQB124" s="381"/>
      <c r="WQC124" s="381"/>
      <c r="WQD124" s="381"/>
      <c r="WQE124" s="381"/>
      <c r="WQF124" s="381"/>
      <c r="WQG124" s="381"/>
      <c r="WQH124" s="381"/>
      <c r="WQI124" s="381"/>
      <c r="WQJ124" s="381"/>
      <c r="WQK124" s="381"/>
      <c r="WQL124" s="381"/>
      <c r="WQM124" s="381"/>
      <c r="WQN124" s="381"/>
      <c r="WQO124" s="381"/>
      <c r="WQP124" s="381"/>
      <c r="WQQ124" s="381"/>
      <c r="WQR124" s="381"/>
      <c r="WQS124" s="381"/>
      <c r="WQT124" s="381"/>
      <c r="WQU124" s="381"/>
      <c r="WQV124" s="381"/>
      <c r="WQW124" s="381"/>
      <c r="WQX124" s="381"/>
      <c r="WQY124" s="381"/>
      <c r="WQZ124" s="381"/>
      <c r="WRA124" s="381"/>
      <c r="WRB124" s="381"/>
      <c r="WRC124" s="381"/>
      <c r="WRD124" s="381"/>
      <c r="WRE124" s="381"/>
      <c r="WRF124" s="381"/>
      <c r="WRG124" s="381"/>
      <c r="WRH124" s="381"/>
      <c r="WRI124" s="381"/>
      <c r="WRJ124" s="381"/>
      <c r="WRK124" s="381"/>
      <c r="WRL124" s="381"/>
      <c r="WRM124" s="381"/>
      <c r="WRN124" s="381"/>
      <c r="WRO124" s="381"/>
      <c r="WRP124" s="381"/>
      <c r="WRQ124" s="381"/>
      <c r="WRR124" s="381"/>
      <c r="WRS124" s="381"/>
      <c r="WRT124" s="381"/>
      <c r="WRU124" s="381"/>
      <c r="WRV124" s="381"/>
      <c r="WRW124" s="381"/>
      <c r="WRX124" s="381"/>
      <c r="WRY124" s="381"/>
      <c r="WRZ124" s="381"/>
      <c r="WSA124" s="381"/>
      <c r="WSB124" s="381"/>
      <c r="WSC124" s="381"/>
      <c r="WSD124" s="381"/>
      <c r="WSE124" s="381"/>
      <c r="WSF124" s="381"/>
      <c r="WSG124" s="381"/>
      <c r="WSH124" s="381"/>
      <c r="WSI124" s="381"/>
      <c r="WSJ124" s="381"/>
      <c r="WSK124" s="381"/>
      <c r="WSL124" s="381"/>
      <c r="WSM124" s="381"/>
      <c r="WSN124" s="381"/>
      <c r="WSO124" s="381"/>
      <c r="WSP124" s="381"/>
      <c r="WSQ124" s="381"/>
      <c r="WSR124" s="381"/>
      <c r="WSS124" s="381"/>
      <c r="WST124" s="381"/>
      <c r="WSU124" s="381"/>
      <c r="WSV124" s="381"/>
      <c r="WSW124" s="381"/>
      <c r="WSX124" s="381"/>
      <c r="WSY124" s="381"/>
      <c r="WSZ124" s="381"/>
      <c r="WTA124" s="381"/>
      <c r="WTB124" s="381"/>
      <c r="WTC124" s="381"/>
      <c r="WTD124" s="381"/>
      <c r="WTE124" s="381"/>
      <c r="WTF124" s="381"/>
      <c r="WTG124" s="381"/>
      <c r="WTH124" s="381"/>
      <c r="WTI124" s="381"/>
      <c r="WTJ124" s="381"/>
      <c r="WTK124" s="381"/>
      <c r="WTL124" s="381"/>
      <c r="WTM124" s="381"/>
      <c r="WTN124" s="381"/>
      <c r="WTO124" s="381"/>
      <c r="WTP124" s="381"/>
      <c r="WTQ124" s="381"/>
      <c r="WTR124" s="381"/>
      <c r="WTS124" s="381"/>
      <c r="WTT124" s="381"/>
      <c r="WTU124" s="381"/>
      <c r="WTV124" s="381"/>
      <c r="WTW124" s="381"/>
      <c r="WTX124" s="381"/>
      <c r="WTY124" s="381"/>
      <c r="WTZ124" s="381"/>
      <c r="WUA124" s="381"/>
      <c r="WUB124" s="381"/>
      <c r="WUC124" s="381"/>
      <c r="WUD124" s="381"/>
      <c r="WUE124" s="381"/>
      <c r="WUF124" s="381"/>
      <c r="WUG124" s="381"/>
      <c r="WUH124" s="381"/>
      <c r="WUI124" s="381"/>
      <c r="WUJ124" s="381"/>
      <c r="WUK124" s="381"/>
      <c r="WUL124" s="381"/>
      <c r="WUM124" s="381"/>
      <c r="WUN124" s="381"/>
      <c r="WUO124" s="381"/>
      <c r="WUP124" s="381"/>
      <c r="WUQ124" s="381"/>
      <c r="WUR124" s="381"/>
      <c r="WUS124" s="381"/>
      <c r="WUT124" s="381"/>
      <c r="WUU124" s="381"/>
      <c r="WUV124" s="381"/>
      <c r="WUW124" s="381"/>
      <c r="WUX124" s="381"/>
      <c r="WUY124" s="381"/>
      <c r="WUZ124" s="381"/>
      <c r="WVA124" s="381"/>
      <c r="WVB124" s="381"/>
      <c r="WVC124" s="381"/>
      <c r="WVD124" s="381"/>
      <c r="WVE124" s="381"/>
      <c r="WVF124" s="381"/>
      <c r="WVG124" s="381"/>
      <c r="WVH124" s="381"/>
      <c r="WVI124" s="381"/>
      <c r="WVJ124" s="381"/>
      <c r="WVK124" s="381"/>
      <c r="WVL124" s="381"/>
      <c r="WVM124" s="381"/>
      <c r="WVN124" s="381"/>
      <c r="WVO124" s="381"/>
      <c r="WVP124" s="381"/>
      <c r="WVQ124" s="381"/>
      <c r="WVR124" s="381"/>
      <c r="WVS124" s="381"/>
      <c r="WVT124" s="381"/>
      <c r="WVU124" s="381"/>
      <c r="WVV124" s="381"/>
      <c r="WVW124" s="381"/>
      <c r="WVX124" s="381"/>
      <c r="WVY124" s="381"/>
      <c r="WVZ124" s="381"/>
      <c r="WWA124" s="381"/>
      <c r="WWB124" s="381"/>
      <c r="WWC124" s="381"/>
      <c r="WWD124" s="381"/>
      <c r="WWE124" s="381"/>
      <c r="WWF124" s="381"/>
      <c r="WWG124" s="381"/>
      <c r="WWH124" s="381"/>
      <c r="WWI124" s="381"/>
      <c r="WWJ124" s="381"/>
      <c r="WWK124" s="381"/>
      <c r="WWL124" s="381"/>
      <c r="WWM124" s="381"/>
      <c r="WWN124" s="381"/>
      <c r="WWO124" s="381"/>
      <c r="WWP124" s="381"/>
      <c r="WWQ124" s="381"/>
      <c r="WWR124" s="381"/>
      <c r="WWS124" s="381"/>
      <c r="WWT124" s="381"/>
      <c r="WWU124" s="381"/>
      <c r="WWV124" s="381"/>
      <c r="WWW124" s="381"/>
      <c r="WWX124" s="381"/>
      <c r="WWY124" s="381"/>
      <c r="WWZ124" s="381"/>
      <c r="WXA124" s="381"/>
      <c r="WXB124" s="381"/>
      <c r="WXC124" s="381"/>
      <c r="WXD124" s="381"/>
      <c r="WXE124" s="381"/>
      <c r="WXF124" s="381"/>
      <c r="WXG124" s="381"/>
      <c r="WXH124" s="381"/>
      <c r="WXI124" s="381"/>
      <c r="WXJ124" s="381"/>
      <c r="WXK124" s="381"/>
      <c r="WXL124" s="381"/>
      <c r="WXM124" s="381"/>
      <c r="WXN124" s="381"/>
      <c r="WXO124" s="381"/>
      <c r="WXP124" s="381"/>
      <c r="WXQ124" s="381"/>
      <c r="WXR124" s="381"/>
      <c r="WXS124" s="381"/>
      <c r="WXT124" s="381"/>
      <c r="WXU124" s="381"/>
      <c r="WXV124" s="381"/>
      <c r="WXW124" s="381"/>
      <c r="WXX124" s="381"/>
      <c r="WXY124" s="381"/>
      <c r="WXZ124" s="381"/>
      <c r="WYA124" s="381"/>
      <c r="WYB124" s="381"/>
      <c r="WYC124" s="381"/>
      <c r="WYD124" s="381"/>
      <c r="WYE124" s="381"/>
      <c r="WYF124" s="381"/>
      <c r="WYG124" s="381"/>
      <c r="WYH124" s="381"/>
      <c r="WYI124" s="381"/>
      <c r="WYJ124" s="381"/>
      <c r="WYK124" s="381"/>
      <c r="WYL124" s="381"/>
      <c r="WYM124" s="381"/>
      <c r="WYN124" s="381"/>
      <c r="WYO124" s="381"/>
      <c r="WYP124" s="381"/>
      <c r="WYQ124" s="381"/>
      <c r="WYR124" s="381"/>
      <c r="WYS124" s="381"/>
      <c r="WYT124" s="381"/>
      <c r="WYU124" s="381"/>
      <c r="WYV124" s="381"/>
      <c r="WYW124" s="381"/>
      <c r="WYX124" s="381"/>
      <c r="WYY124" s="381"/>
      <c r="WYZ124" s="381"/>
      <c r="WZA124" s="381"/>
      <c r="WZB124" s="381"/>
      <c r="WZC124" s="381"/>
      <c r="WZD124" s="381"/>
      <c r="WZE124" s="381"/>
      <c r="WZF124" s="381"/>
      <c r="WZG124" s="381"/>
      <c r="WZH124" s="381"/>
      <c r="WZI124" s="381"/>
      <c r="WZJ124" s="381"/>
      <c r="WZK124" s="381"/>
      <c r="WZL124" s="381"/>
      <c r="WZM124" s="381"/>
      <c r="WZN124" s="381"/>
      <c r="WZO124" s="381"/>
      <c r="WZP124" s="381"/>
      <c r="WZQ124" s="381"/>
      <c r="WZR124" s="381"/>
      <c r="WZS124" s="381"/>
      <c r="WZT124" s="381"/>
      <c r="WZU124" s="381"/>
      <c r="WZV124" s="381"/>
      <c r="WZW124" s="381"/>
      <c r="WZX124" s="381"/>
      <c r="WZY124" s="381"/>
      <c r="WZZ124" s="381"/>
      <c r="XAA124" s="381"/>
      <c r="XAB124" s="381"/>
      <c r="XAC124" s="381"/>
      <c r="XAD124" s="381"/>
      <c r="XAE124" s="381"/>
      <c r="XAF124" s="381"/>
      <c r="XAG124" s="381"/>
      <c r="XAH124" s="381"/>
      <c r="XAI124" s="381"/>
      <c r="XAJ124" s="381"/>
      <c r="XAK124" s="381"/>
      <c r="XAL124" s="381"/>
      <c r="XAM124" s="381"/>
      <c r="XAN124" s="381"/>
      <c r="XAO124" s="381"/>
      <c r="XAP124" s="381"/>
      <c r="XAQ124" s="381"/>
      <c r="XAR124" s="381"/>
      <c r="XAS124" s="381"/>
      <c r="XAT124" s="381"/>
      <c r="XAU124" s="381"/>
      <c r="XAV124" s="381"/>
      <c r="XAW124" s="381"/>
      <c r="XAX124" s="381"/>
      <c r="XAY124" s="381"/>
      <c r="XAZ124" s="381"/>
      <c r="XBA124" s="381"/>
      <c r="XBB124" s="381"/>
      <c r="XBC124" s="381"/>
      <c r="XBD124" s="381"/>
      <c r="XBE124" s="381"/>
      <c r="XBF124" s="381"/>
      <c r="XBG124" s="381"/>
      <c r="XBH124" s="381"/>
      <c r="XBI124" s="381"/>
      <c r="XBJ124" s="381"/>
      <c r="XBK124" s="381"/>
      <c r="XBL124" s="381"/>
      <c r="XBM124" s="381"/>
      <c r="XBN124" s="381"/>
      <c r="XBO124" s="381"/>
      <c r="XBP124" s="381"/>
      <c r="XBQ124" s="381"/>
      <c r="XBR124" s="381"/>
      <c r="XBS124" s="381"/>
      <c r="XBT124" s="381"/>
      <c r="XBU124" s="381"/>
      <c r="XBV124" s="381"/>
      <c r="XBW124" s="381"/>
      <c r="XBX124" s="381"/>
      <c r="XBY124" s="381"/>
      <c r="XBZ124" s="381"/>
      <c r="XCA124" s="381"/>
      <c r="XCB124" s="381"/>
      <c r="XCC124" s="381"/>
      <c r="XCD124" s="381"/>
      <c r="XCE124" s="381"/>
      <c r="XCF124" s="381"/>
      <c r="XCG124" s="381"/>
      <c r="XCH124" s="381"/>
      <c r="XCI124" s="381"/>
      <c r="XCJ124" s="381"/>
      <c r="XCK124" s="381"/>
      <c r="XCL124" s="381"/>
      <c r="XCM124" s="381"/>
      <c r="XCN124" s="381"/>
      <c r="XCO124" s="381"/>
      <c r="XCP124" s="381"/>
      <c r="XCQ124" s="381"/>
      <c r="XCR124" s="381"/>
      <c r="XCS124" s="381"/>
      <c r="XCT124" s="381"/>
      <c r="XCU124" s="381"/>
      <c r="XCV124" s="381"/>
      <c r="XCW124" s="381"/>
      <c r="XCX124" s="381"/>
      <c r="XCY124" s="381"/>
      <c r="XCZ124" s="381"/>
      <c r="XDA124" s="381"/>
      <c r="XDB124" s="381"/>
      <c r="XDC124" s="381"/>
      <c r="XDD124" s="381"/>
      <c r="XDE124" s="381"/>
      <c r="XDF124" s="381"/>
      <c r="XDG124" s="381"/>
      <c r="XDH124" s="381"/>
      <c r="XDI124" s="381"/>
      <c r="XDJ124" s="381"/>
      <c r="XDK124" s="381"/>
      <c r="XDL124" s="381"/>
      <c r="XDM124" s="381"/>
      <c r="XDN124" s="381"/>
      <c r="XDO124" s="381"/>
      <c r="XDP124" s="381"/>
      <c r="XDQ124" s="381"/>
      <c r="XDR124" s="381"/>
      <c r="XDS124" s="381"/>
      <c r="XDT124" s="381"/>
      <c r="XDU124" s="381"/>
      <c r="XDV124" s="381"/>
      <c r="XDW124" s="381"/>
      <c r="XDX124" s="381"/>
      <c r="XDY124" s="381"/>
      <c r="XDZ124" s="381"/>
      <c r="XEA124" s="381"/>
      <c r="XEB124" s="381"/>
      <c r="XEC124" s="381"/>
      <c r="XED124" s="381"/>
      <c r="XEE124" s="381"/>
      <c r="XEF124" s="381"/>
      <c r="XEG124" s="381"/>
      <c r="XEH124" s="381"/>
      <c r="XEI124" s="381"/>
      <c r="XEJ124" s="381"/>
      <c r="XEK124" s="381"/>
      <c r="XEL124" s="381"/>
      <c r="XEM124" s="381"/>
      <c r="XEN124" s="381"/>
      <c r="XEO124" s="381"/>
      <c r="XEP124" s="381"/>
      <c r="XEQ124" s="381"/>
      <c r="XER124" s="381"/>
      <c r="XES124" s="381"/>
      <c r="XET124" s="381"/>
      <c r="XEU124" s="381"/>
      <c r="XEV124" s="381"/>
      <c r="XEW124" s="381"/>
      <c r="XEX124" s="381"/>
      <c r="XEY124" s="381"/>
      <c r="XEZ124" s="381"/>
      <c r="XFA124" s="381"/>
      <c r="XFB124" s="381"/>
      <c r="XFC124" s="381"/>
      <c r="XFD124" s="381"/>
    </row>
    <row r="125" spans="1:16384" ht="32.25" customHeight="1">
      <c r="Q125" s="381"/>
      <c r="R125" s="194"/>
      <c r="S125" s="195"/>
    </row>
    <row r="126" spans="1:16384" ht="32.25" customHeight="1">
      <c r="A126" s="438" t="s">
        <v>4385</v>
      </c>
      <c r="B126" s="438" t="s">
        <v>4432</v>
      </c>
      <c r="C126" s="549" t="s">
        <v>4579</v>
      </c>
      <c r="D126" s="550"/>
      <c r="E126" s="550"/>
      <c r="F126" s="550"/>
      <c r="G126" s="550"/>
      <c r="H126" s="550"/>
      <c r="I126" s="550"/>
      <c r="J126" s="550"/>
      <c r="K126" s="550"/>
      <c r="L126" s="550"/>
      <c r="M126" s="550"/>
      <c r="N126" s="550"/>
      <c r="O126" s="550"/>
      <c r="P126" s="550"/>
      <c r="Q126" s="550"/>
      <c r="R126" s="550"/>
      <c r="S126" s="550"/>
    </row>
    <row r="127" spans="1:16384" ht="32.25" customHeight="1">
      <c r="A127" s="442" t="s">
        <v>4313</v>
      </c>
      <c r="B127" s="444">
        <f>COUNTIF(E12:P123,"&lt;=5")</f>
        <v>38</v>
      </c>
      <c r="C127" s="549"/>
      <c r="D127" s="550"/>
      <c r="E127" s="550"/>
      <c r="F127" s="550"/>
      <c r="G127" s="550"/>
      <c r="H127" s="550"/>
      <c r="I127" s="550"/>
      <c r="J127" s="550"/>
      <c r="K127" s="550"/>
      <c r="L127" s="550"/>
      <c r="M127" s="550"/>
      <c r="N127" s="550"/>
      <c r="O127" s="550"/>
      <c r="P127" s="550"/>
      <c r="Q127" s="550"/>
      <c r="R127" s="550"/>
      <c r="S127" s="550"/>
    </row>
    <row r="128" spans="1:16384" ht="32.25" customHeight="1">
      <c r="A128" s="428" t="s">
        <v>4314</v>
      </c>
      <c r="B128" s="441">
        <f>COUNTIFS(E12:P123,"&gt;5",E12:P123,"&lt;=14")</f>
        <v>2</v>
      </c>
      <c r="C128" s="500"/>
      <c r="D128" s="501"/>
      <c r="E128" s="501"/>
      <c r="F128" s="501"/>
      <c r="G128" s="501"/>
      <c r="H128" s="501"/>
      <c r="I128" s="501"/>
      <c r="J128" s="501"/>
      <c r="K128" s="501"/>
      <c r="L128" s="501"/>
      <c r="M128" s="501"/>
      <c r="N128" s="501"/>
      <c r="O128" s="501"/>
      <c r="P128" s="501"/>
      <c r="Q128" s="501"/>
    </row>
    <row r="129" spans="1:17" ht="32.25" customHeight="1">
      <c r="A129" s="429" t="s">
        <v>4315</v>
      </c>
      <c r="B129" s="435">
        <f>COUNTIFS(E12:P123,"&gt;14",E12:P123,"&lt;=35")</f>
        <v>13</v>
      </c>
      <c r="C129" s="1"/>
      <c r="D129" s="1"/>
      <c r="E129" s="4"/>
      <c r="F129" s="4"/>
      <c r="G129" s="4"/>
      <c r="H129" s="4"/>
      <c r="I129" s="4"/>
      <c r="J129" s="4"/>
      <c r="K129" s="4"/>
      <c r="L129" s="4"/>
      <c r="M129" s="4"/>
      <c r="N129" s="4"/>
      <c r="O129" s="4"/>
      <c r="P129" s="4"/>
      <c r="Q129" s="4"/>
    </row>
    <row r="130" spans="1:17" ht="32.25" customHeight="1">
      <c r="A130" s="430" t="s">
        <v>4316</v>
      </c>
      <c r="B130" s="435">
        <f>COUNTIFS(E12:P123,"&gt;35",E12:P123,"&lt;=80")</f>
        <v>32</v>
      </c>
      <c r="F130" t="s">
        <v>1720</v>
      </c>
    </row>
    <row r="131" spans="1:17" ht="32.25" customHeight="1">
      <c r="A131" s="431" t="s">
        <v>4317</v>
      </c>
      <c r="B131" s="435">
        <f>COUNTIFS(E12:P123,"&gt;80",E12:P123,"&lt;=100")</f>
        <v>108</v>
      </c>
    </row>
    <row r="132" spans="1:17" ht="32.25" customHeight="1">
      <c r="A132" s="451" t="s">
        <v>4318</v>
      </c>
      <c r="B132" s="452">
        <f>COUNT(E12:P123)</f>
        <v>193</v>
      </c>
    </row>
    <row r="133" spans="1:17" ht="36" customHeight="1">
      <c r="A133" s="434" t="s">
        <v>4321</v>
      </c>
      <c r="B133" s="436">
        <f>B132-B127</f>
        <v>155</v>
      </c>
    </row>
    <row r="134" spans="1:17"/>
    <row r="135" spans="1:17"/>
    <row r="136" spans="1:17"/>
    <row r="137" spans="1:17"/>
    <row r="138" spans="1:17"/>
    <row r="139" spans="1:17"/>
    <row r="140" spans="1:17"/>
    <row r="141" spans="1:17"/>
    <row r="142" spans="1:17"/>
    <row r="143" spans="1:17"/>
    <row r="144" spans="1:17"/>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hidden="1"/>
    <row r="328" hidden="1"/>
    <row r="329" hidden="1"/>
    <row r="330" hidden="1"/>
    <row r="331" hidden="1"/>
    <row r="332" hidden="1"/>
    <row r="333" hidden="1"/>
    <row r="334" hidden="1"/>
    <row r="335" hidden="1"/>
    <row r="336" hidden="1"/>
    <row r="337" hidden="1"/>
    <row r="338" hidden="1"/>
    <row r="339" hidden="1"/>
    <row r="340" hidden="1"/>
    <row r="341" hidden="1"/>
  </sheetData>
  <autoFilter ref="A11:W124">
    <sortState ref="A13:W122">
      <sortCondition ref="A11:A136"/>
    </sortState>
  </autoFilter>
  <customSheetViews>
    <customSheetView guid="{45C8AF51-29EC-46A5-AB7F-1F0634E55D82}" scale="60" hiddenRows="1" hiddenColumns="1">
      <pane xSplit="2.18957345971564" ySplit="11" topLeftCell="D12" activePane="bottomRight" state="frozenSplit"/>
      <selection pane="bottomRight" activeCell="C12" sqref="C12"/>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1" topLeftCell="D107" activePane="bottomRight" state="frozenSplit"/>
      <selection pane="bottomRight" activeCell="A12" sqref="A12:A121"/>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hiddenColumns="1">
      <pane xSplit="3" ySplit="11" topLeftCell="D93" activePane="bottomRight" state="frozenSplit"/>
      <selection pane="bottomRight" activeCell="S150" sqref="S150"/>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1" topLeftCell="G12" activePane="bottomRight" state="frozenSplit"/>
      <selection pane="bottomRight" activeCell="C21" sqref="C21"/>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1:W122">
        <sortState ref="A13:W122">
          <sortCondition ref="A11:A136"/>
        </sortState>
      </autoFilter>
    </customSheetView>
  </customSheetViews>
  <mergeCells count="23">
    <mergeCell ref="A10:A11"/>
    <mergeCell ref="E10:P10"/>
    <mergeCell ref="Q10:Q11"/>
    <mergeCell ref="C126:S127"/>
    <mergeCell ref="S10:S11"/>
    <mergeCell ref="R10:R11"/>
    <mergeCell ref="B10:B11"/>
    <mergeCell ref="C10:C11"/>
    <mergeCell ref="D10:D11"/>
    <mergeCell ref="A8:B8"/>
    <mergeCell ref="S5:S6"/>
    <mergeCell ref="A7:B7"/>
    <mergeCell ref="E5:G6"/>
    <mergeCell ref="B1:D1"/>
    <mergeCell ref="B2:D2"/>
    <mergeCell ref="B4:D4"/>
    <mergeCell ref="B5:B6"/>
    <mergeCell ref="C5:C6"/>
    <mergeCell ref="D5:D6"/>
    <mergeCell ref="H5:J6"/>
    <mergeCell ref="K5:M6"/>
    <mergeCell ref="N5:P6"/>
    <mergeCell ref="Q5:R6"/>
  </mergeCells>
  <phoneticPr fontId="2" type="noConversion"/>
  <conditionalFormatting sqref="E12:Q17 E19:Q63 Q123:Q125 E123:P124 E65:Q121">
    <cfRule type="containsBlanks" dxfId="3620" priority="2513" stopIfTrue="1">
      <formula>LEN(TRIM(E12))=0</formula>
    </cfRule>
    <cfRule type="cellIs" dxfId="3619" priority="2514" stopIfTrue="1" operator="between">
      <formula>80.1</formula>
      <formula>100</formula>
    </cfRule>
    <cfRule type="cellIs" dxfId="3618" priority="2515" stopIfTrue="1" operator="between">
      <formula>35.1</formula>
      <formula>80</formula>
    </cfRule>
    <cfRule type="cellIs" dxfId="3617" priority="2516" stopIfTrue="1" operator="between">
      <formula>14.1</formula>
      <formula>35</formula>
    </cfRule>
    <cfRule type="cellIs" dxfId="3616" priority="2517" stopIfTrue="1" operator="between">
      <formula>5.1</formula>
      <formula>14</formula>
    </cfRule>
    <cfRule type="cellIs" dxfId="3615" priority="2518" stopIfTrue="1" operator="between">
      <formula>0</formula>
      <formula>5</formula>
    </cfRule>
    <cfRule type="containsBlanks" dxfId="3614" priority="2519" stopIfTrue="1">
      <formula>LEN(TRIM(E12))=0</formula>
    </cfRule>
  </conditionalFormatting>
  <conditionalFormatting sqref="E53:P53 E82:J82 K82:P85 P86:P93 O88:O93 N86:N93 E107:P110 E75:P75">
    <cfRule type="containsBlanks" dxfId="3613" priority="883" stopIfTrue="1">
      <formula>LEN(TRIM(E53))=0</formula>
    </cfRule>
    <cfRule type="cellIs" dxfId="3612" priority="884" stopIfTrue="1" operator="between">
      <formula>79.1</formula>
      <formula>100</formula>
    </cfRule>
    <cfRule type="cellIs" dxfId="3611" priority="885" stopIfTrue="1" operator="between">
      <formula>34.1</formula>
      <formula>79</formula>
    </cfRule>
    <cfRule type="cellIs" dxfId="3610" priority="886" stopIfTrue="1" operator="between">
      <formula>13.1</formula>
      <formula>34</formula>
    </cfRule>
    <cfRule type="cellIs" dxfId="3609" priority="887" stopIfTrue="1" operator="between">
      <formula>5.1</formula>
      <formula>13</formula>
    </cfRule>
    <cfRule type="cellIs" dxfId="3608" priority="888" stopIfTrue="1" operator="between">
      <formula>0</formula>
      <formula>5</formula>
    </cfRule>
    <cfRule type="containsBlanks" dxfId="3607" priority="889" stopIfTrue="1">
      <formula>LEN(TRIM(E53))=0</formula>
    </cfRule>
  </conditionalFormatting>
  <conditionalFormatting sqref="F12:P12 F52:H52 K52:P52 G35:P35 O41:P41 F31:P32 N30:P30 F22:P23 O36 L25:P25 J24:P24 M38:P38 K33:P33 K30:L30 O29:P29 H28:P28 J40:P40 G27:P27 K26:P26">
    <cfRule type="containsBlanks" dxfId="3606" priority="918" stopIfTrue="1">
      <formula>LEN(TRIM(F12))=0</formula>
    </cfRule>
    <cfRule type="cellIs" dxfId="3605" priority="919" stopIfTrue="1" operator="between">
      <formula>80.1</formula>
      <formula>100</formula>
    </cfRule>
    <cfRule type="cellIs" dxfId="3604" priority="920" stopIfTrue="1" operator="between">
      <formula>35.1</formula>
      <formula>80</formula>
    </cfRule>
    <cfRule type="cellIs" dxfId="3603" priority="921" stopIfTrue="1" operator="between">
      <formula>14.1</formula>
      <formula>35</formula>
    </cfRule>
    <cfRule type="cellIs" dxfId="3602" priority="922" stopIfTrue="1" operator="between">
      <formula>5.1</formula>
      <formula>14</formula>
    </cfRule>
    <cfRule type="cellIs" dxfId="3601" priority="923" stopIfTrue="1" operator="between">
      <formula>0</formula>
      <formula>5</formula>
    </cfRule>
    <cfRule type="containsBlanks" dxfId="3600" priority="924" stopIfTrue="1">
      <formula>LEN(TRIM(F12))=0</formula>
    </cfRule>
  </conditionalFormatting>
  <conditionalFormatting sqref="G50:P50">
    <cfRule type="containsBlanks" dxfId="3599" priority="869" stopIfTrue="1">
      <formula>LEN(TRIM(G50))=0</formula>
    </cfRule>
    <cfRule type="cellIs" dxfId="3598" priority="870" stopIfTrue="1" operator="between">
      <formula>79.1</formula>
      <formula>100</formula>
    </cfRule>
    <cfRule type="cellIs" dxfId="3597" priority="871" stopIfTrue="1" operator="between">
      <formula>34.1</formula>
      <formula>79</formula>
    </cfRule>
    <cfRule type="cellIs" dxfId="3596" priority="872" stopIfTrue="1" operator="between">
      <formula>13.1</formula>
      <formula>34</formula>
    </cfRule>
    <cfRule type="cellIs" dxfId="3595" priority="873" stopIfTrue="1" operator="between">
      <formula>5.1</formula>
      <formula>13</formula>
    </cfRule>
    <cfRule type="cellIs" dxfId="3594" priority="874" stopIfTrue="1" operator="between">
      <formula>0</formula>
      <formula>5</formula>
    </cfRule>
    <cfRule type="containsBlanks" dxfId="3593" priority="875" stopIfTrue="1">
      <formula>LEN(TRIM(G50))=0</formula>
    </cfRule>
  </conditionalFormatting>
  <conditionalFormatting sqref="E21:P21">
    <cfRule type="containsBlanks" dxfId="3592" priority="890" stopIfTrue="1">
      <formula>LEN(TRIM(E21))=0</formula>
    </cfRule>
    <cfRule type="cellIs" dxfId="3591" priority="891" stopIfTrue="1" operator="between">
      <formula>79.1</formula>
      <formula>100</formula>
    </cfRule>
    <cfRule type="cellIs" dxfId="3590" priority="892" stopIfTrue="1" operator="between">
      <formula>34.1</formula>
      <formula>79</formula>
    </cfRule>
    <cfRule type="cellIs" dxfId="3589" priority="893" stopIfTrue="1" operator="between">
      <formula>13.1</formula>
      <formula>34</formula>
    </cfRule>
    <cfRule type="cellIs" dxfId="3588" priority="894" stopIfTrue="1" operator="between">
      <formula>5.1</formula>
      <formula>13</formula>
    </cfRule>
    <cfRule type="cellIs" dxfId="3587" priority="895" stopIfTrue="1" operator="between">
      <formula>0</formula>
      <formula>5</formula>
    </cfRule>
    <cfRule type="containsBlanks" dxfId="3586" priority="896" stopIfTrue="1">
      <formula>LEN(TRIM(E21))=0</formula>
    </cfRule>
  </conditionalFormatting>
  <conditionalFormatting sqref="J52">
    <cfRule type="containsBlanks" dxfId="3585" priority="862" stopIfTrue="1">
      <formula>LEN(TRIM(J52))=0</formula>
    </cfRule>
    <cfRule type="cellIs" dxfId="3584" priority="863" stopIfTrue="1" operator="between">
      <formula>79.1</formula>
      <formula>100</formula>
    </cfRule>
    <cfRule type="cellIs" dxfId="3583" priority="864" stopIfTrue="1" operator="between">
      <formula>34.1</formula>
      <formula>79</formula>
    </cfRule>
    <cfRule type="cellIs" dxfId="3582" priority="865" stopIfTrue="1" operator="between">
      <formula>13.1</formula>
      <formula>34</formula>
    </cfRule>
    <cfRule type="cellIs" dxfId="3581" priority="866" stopIfTrue="1" operator="between">
      <formula>5.1</formula>
      <formula>13</formula>
    </cfRule>
    <cfRule type="cellIs" dxfId="3580" priority="867" stopIfTrue="1" operator="between">
      <formula>0</formula>
      <formula>5</formula>
    </cfRule>
    <cfRule type="containsBlanks" dxfId="3579" priority="868" stopIfTrue="1">
      <formula>LEN(TRIM(J52))=0</formula>
    </cfRule>
  </conditionalFormatting>
  <conditionalFormatting sqref="E44:P44">
    <cfRule type="containsBlanks" dxfId="3578" priority="806" stopIfTrue="1">
      <formula>LEN(TRIM(E44))=0</formula>
    </cfRule>
    <cfRule type="cellIs" dxfId="3577" priority="807" stopIfTrue="1" operator="between">
      <formula>79.1</formula>
      <formula>100</formula>
    </cfRule>
    <cfRule type="cellIs" dxfId="3576" priority="808" stopIfTrue="1" operator="between">
      <formula>34.1</formula>
      <formula>79</formula>
    </cfRule>
    <cfRule type="cellIs" dxfId="3575" priority="809" stopIfTrue="1" operator="between">
      <formula>13.1</formula>
      <formula>34</formula>
    </cfRule>
    <cfRule type="cellIs" dxfId="3574" priority="810" stopIfTrue="1" operator="between">
      <formula>5.1</formula>
      <formula>13</formula>
    </cfRule>
    <cfRule type="cellIs" dxfId="3573" priority="811" stopIfTrue="1" operator="between">
      <formula>0</formula>
      <formula>5</formula>
    </cfRule>
    <cfRule type="containsBlanks" dxfId="3572" priority="812" stopIfTrue="1">
      <formula>LEN(TRIM(E44))=0</formula>
    </cfRule>
  </conditionalFormatting>
  <conditionalFormatting sqref="E45:P45">
    <cfRule type="containsBlanks" dxfId="3571" priority="841" stopIfTrue="1">
      <formula>LEN(TRIM(E45))=0</formula>
    </cfRule>
    <cfRule type="cellIs" dxfId="3570" priority="842" stopIfTrue="1" operator="between">
      <formula>79.1</formula>
      <formula>100</formula>
    </cfRule>
    <cfRule type="cellIs" dxfId="3569" priority="843" stopIfTrue="1" operator="between">
      <formula>34.1</formula>
      <formula>79</formula>
    </cfRule>
    <cfRule type="cellIs" dxfId="3568" priority="844" stopIfTrue="1" operator="between">
      <formula>13.1</formula>
      <formula>34</formula>
    </cfRule>
    <cfRule type="cellIs" dxfId="3567" priority="845" stopIfTrue="1" operator="between">
      <formula>5.1</formula>
      <formula>13</formula>
    </cfRule>
    <cfRule type="cellIs" dxfId="3566" priority="846" stopIfTrue="1" operator="between">
      <formula>0</formula>
      <formula>5</formula>
    </cfRule>
    <cfRule type="containsBlanks" dxfId="3565" priority="847" stopIfTrue="1">
      <formula>LEN(TRIM(E45))=0</formula>
    </cfRule>
  </conditionalFormatting>
  <conditionalFormatting sqref="E49:P49">
    <cfRule type="containsBlanks" dxfId="3564" priority="855" stopIfTrue="1">
      <formula>LEN(TRIM(E49))=0</formula>
    </cfRule>
    <cfRule type="cellIs" dxfId="3563" priority="856" stopIfTrue="1" operator="between">
      <formula>79.1</formula>
      <formula>100</formula>
    </cfRule>
    <cfRule type="cellIs" dxfId="3562" priority="857" stopIfTrue="1" operator="between">
      <formula>34.1</formula>
      <formula>79</formula>
    </cfRule>
    <cfRule type="cellIs" dxfId="3561" priority="858" stopIfTrue="1" operator="between">
      <formula>13.1</formula>
      <formula>34</formula>
    </cfRule>
    <cfRule type="cellIs" dxfId="3560" priority="859" stopIfTrue="1" operator="between">
      <formula>5.1</formula>
      <formula>13</formula>
    </cfRule>
    <cfRule type="cellIs" dxfId="3559" priority="860" stopIfTrue="1" operator="between">
      <formula>0</formula>
      <formula>5</formula>
    </cfRule>
    <cfRule type="containsBlanks" dxfId="3558" priority="861" stopIfTrue="1">
      <formula>LEN(TRIM(E49))=0</formula>
    </cfRule>
  </conditionalFormatting>
  <conditionalFormatting sqref="E48:P48">
    <cfRule type="containsBlanks" dxfId="3557" priority="792" stopIfTrue="1">
      <formula>LEN(TRIM(E48))=0</formula>
    </cfRule>
    <cfRule type="cellIs" dxfId="3556" priority="793" stopIfTrue="1" operator="between">
      <formula>79.1</formula>
      <formula>100</formula>
    </cfRule>
    <cfRule type="cellIs" dxfId="3555" priority="794" stopIfTrue="1" operator="between">
      <formula>34.1</formula>
      <formula>79</formula>
    </cfRule>
    <cfRule type="cellIs" dxfId="3554" priority="795" stopIfTrue="1" operator="between">
      <formula>13.1</formula>
      <formula>34</formula>
    </cfRule>
    <cfRule type="cellIs" dxfId="3553" priority="796" stopIfTrue="1" operator="between">
      <formula>5.1</formula>
      <formula>13</formula>
    </cfRule>
    <cfRule type="cellIs" dxfId="3552" priority="797" stopIfTrue="1" operator="between">
      <formula>0</formula>
      <formula>5</formula>
    </cfRule>
    <cfRule type="containsBlanks" dxfId="3551" priority="798" stopIfTrue="1">
      <formula>LEN(TRIM(E48))=0</formula>
    </cfRule>
  </conditionalFormatting>
  <conditionalFormatting sqref="N39:P39">
    <cfRule type="containsBlanks" dxfId="3550" priority="813" stopIfTrue="1">
      <formula>LEN(TRIM(N39))=0</formula>
    </cfRule>
    <cfRule type="cellIs" dxfId="3549" priority="814" stopIfTrue="1" operator="between">
      <formula>79.1</formula>
      <formula>100</formula>
    </cfRule>
    <cfRule type="cellIs" dxfId="3548" priority="815" stopIfTrue="1" operator="between">
      <formula>34.1</formula>
      <formula>79</formula>
    </cfRule>
    <cfRule type="cellIs" dxfId="3547" priority="816" stopIfTrue="1" operator="between">
      <formula>13.1</formula>
      <formula>34</formula>
    </cfRule>
    <cfRule type="cellIs" dxfId="3546" priority="817" stopIfTrue="1" operator="between">
      <formula>5.1</formula>
      <formula>13</formula>
    </cfRule>
    <cfRule type="cellIs" dxfId="3545" priority="818" stopIfTrue="1" operator="between">
      <formula>0</formula>
      <formula>5</formula>
    </cfRule>
    <cfRule type="containsBlanks" dxfId="3544" priority="819" stopIfTrue="1">
      <formula>LEN(TRIM(N39))=0</formula>
    </cfRule>
  </conditionalFormatting>
  <conditionalFormatting sqref="K36:N36 P36">
    <cfRule type="containsBlanks" dxfId="3543" priority="827" stopIfTrue="1">
      <formula>LEN(TRIM(K36))=0</formula>
    </cfRule>
    <cfRule type="cellIs" dxfId="3542" priority="828" stopIfTrue="1" operator="between">
      <formula>79.1</formula>
      <formula>100</formula>
    </cfRule>
    <cfRule type="cellIs" dxfId="3541" priority="829" stopIfTrue="1" operator="between">
      <formula>34.1</formula>
      <formula>79</formula>
    </cfRule>
    <cfRule type="cellIs" dxfId="3540" priority="830" stopIfTrue="1" operator="between">
      <formula>13.1</formula>
      <formula>34</formula>
    </cfRule>
    <cfRule type="cellIs" dxfId="3539" priority="831" stopIfTrue="1" operator="between">
      <formula>5.1</formula>
      <formula>13</formula>
    </cfRule>
    <cfRule type="cellIs" dxfId="3538" priority="832" stopIfTrue="1" operator="between">
      <formula>0</formula>
      <formula>5</formula>
    </cfRule>
    <cfRule type="containsBlanks" dxfId="3537" priority="833" stopIfTrue="1">
      <formula>LEN(TRIM(K36))=0</formula>
    </cfRule>
  </conditionalFormatting>
  <conditionalFormatting sqref="I34:P34">
    <cfRule type="containsBlanks" dxfId="3536" priority="820" stopIfTrue="1">
      <formula>LEN(TRIM(I34))=0</formula>
    </cfRule>
    <cfRule type="cellIs" dxfId="3535" priority="821" stopIfTrue="1" operator="between">
      <formula>79.1</formula>
      <formula>100</formula>
    </cfRule>
    <cfRule type="cellIs" dxfId="3534" priority="822" stopIfTrue="1" operator="between">
      <formula>34.1</formula>
      <formula>79</formula>
    </cfRule>
    <cfRule type="cellIs" dxfId="3533" priority="823" stopIfTrue="1" operator="between">
      <formula>13.1</formula>
      <formula>34</formula>
    </cfRule>
    <cfRule type="cellIs" dxfId="3532" priority="824" stopIfTrue="1" operator="between">
      <formula>5.1</formula>
      <formula>13</formula>
    </cfRule>
    <cfRule type="cellIs" dxfId="3531" priority="825" stopIfTrue="1" operator="between">
      <formula>0</formula>
      <formula>5</formula>
    </cfRule>
    <cfRule type="containsBlanks" dxfId="3530" priority="826" stopIfTrue="1">
      <formula>LEN(TRIM(I34))=0</formula>
    </cfRule>
  </conditionalFormatting>
  <conditionalFormatting sqref="I51:P51 I52">
    <cfRule type="containsBlanks" dxfId="3529" priority="799" stopIfTrue="1">
      <formula>LEN(TRIM(I51))=0</formula>
    </cfRule>
    <cfRule type="cellIs" dxfId="3528" priority="800" stopIfTrue="1" operator="between">
      <formula>79.1</formula>
      <formula>100</formula>
    </cfRule>
    <cfRule type="cellIs" dxfId="3527" priority="801" stopIfTrue="1" operator="between">
      <formula>34.1</formula>
      <formula>79</formula>
    </cfRule>
    <cfRule type="cellIs" dxfId="3526" priority="802" stopIfTrue="1" operator="between">
      <formula>13.1</formula>
      <formula>34</formula>
    </cfRule>
    <cfRule type="cellIs" dxfId="3525" priority="803" stopIfTrue="1" operator="between">
      <formula>5.1</formula>
      <formula>13</formula>
    </cfRule>
    <cfRule type="cellIs" dxfId="3524" priority="804" stopIfTrue="1" operator="between">
      <formula>0</formula>
      <formula>5</formula>
    </cfRule>
    <cfRule type="containsBlanks" dxfId="3523" priority="805" stopIfTrue="1">
      <formula>LEN(TRIM(I51))=0</formula>
    </cfRule>
  </conditionalFormatting>
  <conditionalFormatting sqref="E83:J83 J85 H84:J84">
    <cfRule type="containsBlanks" dxfId="3522" priority="771" stopIfTrue="1">
      <formula>LEN(TRIM(E83))=0</formula>
    </cfRule>
    <cfRule type="cellIs" dxfId="3521" priority="772" stopIfTrue="1" operator="between">
      <formula>79.1</formula>
      <formula>100</formula>
    </cfRule>
    <cfRule type="cellIs" dxfId="3520" priority="773" stopIfTrue="1" operator="between">
      <formula>34.1</formula>
      <formula>79</formula>
    </cfRule>
    <cfRule type="cellIs" dxfId="3519" priority="774" stopIfTrue="1" operator="between">
      <formula>13.1</formula>
      <formula>34</formula>
    </cfRule>
    <cfRule type="cellIs" dxfId="3518" priority="775" stopIfTrue="1" operator="between">
      <formula>5.1</formula>
      <formula>13</formula>
    </cfRule>
    <cfRule type="cellIs" dxfId="3517" priority="776" stopIfTrue="1" operator="between">
      <formula>0</formula>
      <formula>5</formula>
    </cfRule>
    <cfRule type="containsBlanks" dxfId="3516" priority="777" stopIfTrue="1">
      <formula>LEN(TRIM(E83))=0</formula>
    </cfRule>
  </conditionalFormatting>
  <conditionalFormatting sqref="M30">
    <cfRule type="containsBlanks" dxfId="3515" priority="701" stopIfTrue="1">
      <formula>LEN(TRIM(M30))=0</formula>
    </cfRule>
    <cfRule type="cellIs" dxfId="3514" priority="702" stopIfTrue="1" operator="between">
      <formula>79.1</formula>
      <formula>100</formula>
    </cfRule>
    <cfRule type="cellIs" dxfId="3513" priority="703" stopIfTrue="1" operator="between">
      <formula>34.1</formula>
      <formula>79</formula>
    </cfRule>
    <cfRule type="cellIs" dxfId="3512" priority="704" stopIfTrue="1" operator="between">
      <formula>13.1</formula>
      <formula>34</formula>
    </cfRule>
    <cfRule type="cellIs" dxfId="3511" priority="705" stopIfTrue="1" operator="between">
      <formula>5.1</formula>
      <formula>13</formula>
    </cfRule>
    <cfRule type="cellIs" dxfId="3510" priority="706" stopIfTrue="1" operator="between">
      <formula>0</formula>
      <formula>5</formula>
    </cfRule>
    <cfRule type="containsBlanks" dxfId="3509" priority="707" stopIfTrue="1">
      <formula>LEN(TRIM(M30))=0</formula>
    </cfRule>
  </conditionalFormatting>
  <conditionalFormatting sqref="E43:H43 K43 O43:P43">
    <cfRule type="containsBlanks" dxfId="3508" priority="729" stopIfTrue="1">
      <formula>LEN(TRIM(E43))=0</formula>
    </cfRule>
    <cfRule type="cellIs" dxfId="3507" priority="730" stopIfTrue="1" operator="between">
      <formula>79.1</formula>
      <formula>100</formula>
    </cfRule>
    <cfRule type="cellIs" dxfId="3506" priority="731" stopIfTrue="1" operator="between">
      <formula>34.1</formula>
      <formula>79</formula>
    </cfRule>
    <cfRule type="cellIs" dxfId="3505" priority="732" stopIfTrue="1" operator="between">
      <formula>13.1</formula>
      <formula>34</formula>
    </cfRule>
    <cfRule type="cellIs" dxfId="3504" priority="733" stopIfTrue="1" operator="between">
      <formula>5.1</formula>
      <formula>13</formula>
    </cfRule>
    <cfRule type="cellIs" dxfId="3503" priority="734" stopIfTrue="1" operator="between">
      <formula>0</formula>
      <formula>5</formula>
    </cfRule>
    <cfRule type="containsBlanks" dxfId="3502" priority="735" stopIfTrue="1">
      <formula>LEN(TRIM(E43))=0</formula>
    </cfRule>
  </conditionalFormatting>
  <conditionalFormatting sqref="I43:J43">
    <cfRule type="containsBlanks" dxfId="3501" priority="722" stopIfTrue="1">
      <formula>LEN(TRIM(I43))=0</formula>
    </cfRule>
    <cfRule type="cellIs" dxfId="3500" priority="723" stopIfTrue="1" operator="between">
      <formula>79.1</formula>
      <formula>100</formula>
    </cfRule>
    <cfRule type="cellIs" dxfId="3499" priority="724" stopIfTrue="1" operator="between">
      <formula>34.1</formula>
      <formula>79</formula>
    </cfRule>
    <cfRule type="cellIs" dxfId="3498" priority="725" stopIfTrue="1" operator="between">
      <formula>13.1</formula>
      <formula>34</formula>
    </cfRule>
    <cfRule type="cellIs" dxfId="3497" priority="726" stopIfTrue="1" operator="between">
      <formula>5.1</formula>
      <formula>13</formula>
    </cfRule>
    <cfRule type="cellIs" dxfId="3496" priority="727" stopIfTrue="1" operator="between">
      <formula>0</formula>
      <formula>5</formula>
    </cfRule>
    <cfRule type="containsBlanks" dxfId="3495" priority="728" stopIfTrue="1">
      <formula>LEN(TRIM(I43))=0</formula>
    </cfRule>
  </conditionalFormatting>
  <conditionalFormatting sqref="L43:N43">
    <cfRule type="containsBlanks" dxfId="3494" priority="715" stopIfTrue="1">
      <formula>LEN(TRIM(L43))=0</formula>
    </cfRule>
    <cfRule type="cellIs" dxfId="3493" priority="716" stopIfTrue="1" operator="between">
      <formula>79.1</formula>
      <formula>100</formula>
    </cfRule>
    <cfRule type="cellIs" dxfId="3492" priority="717" stopIfTrue="1" operator="between">
      <formula>34.1</formula>
      <formula>79</formula>
    </cfRule>
    <cfRule type="cellIs" dxfId="3491" priority="718" stopIfTrue="1" operator="between">
      <formula>13.1</formula>
      <formula>34</formula>
    </cfRule>
    <cfRule type="cellIs" dxfId="3490" priority="719" stopIfTrue="1" operator="between">
      <formula>5.1</formula>
      <formula>13</formula>
    </cfRule>
    <cfRule type="cellIs" dxfId="3489" priority="720" stopIfTrue="1" operator="between">
      <formula>0</formula>
      <formula>5</formula>
    </cfRule>
    <cfRule type="containsBlanks" dxfId="3488" priority="721" stopIfTrue="1">
      <formula>LEN(TRIM(L43))=0</formula>
    </cfRule>
  </conditionalFormatting>
  <conditionalFormatting sqref="G42:H42 J42:M42 O42:P42">
    <cfRule type="containsBlanks" dxfId="3487" priority="694" stopIfTrue="1">
      <formula>LEN(TRIM(G42))=0</formula>
    </cfRule>
    <cfRule type="cellIs" dxfId="3486" priority="695" stopIfTrue="1" operator="between">
      <formula>79.1</formula>
      <formula>100</formula>
    </cfRule>
    <cfRule type="cellIs" dxfId="3485" priority="696" stopIfTrue="1" operator="between">
      <formula>34.1</formula>
      <formula>79</formula>
    </cfRule>
    <cfRule type="cellIs" dxfId="3484" priority="697" stopIfTrue="1" operator="between">
      <formula>13.1</formula>
      <formula>34</formula>
    </cfRule>
    <cfRule type="cellIs" dxfId="3483" priority="698" stopIfTrue="1" operator="between">
      <formula>5.1</formula>
      <formula>13</formula>
    </cfRule>
    <cfRule type="cellIs" dxfId="3482" priority="699" stopIfTrue="1" operator="between">
      <formula>0</formula>
      <formula>5</formula>
    </cfRule>
    <cfRule type="containsBlanks" dxfId="3481" priority="700" stopIfTrue="1">
      <formula>LEN(TRIM(G42))=0</formula>
    </cfRule>
  </conditionalFormatting>
  <conditionalFormatting sqref="I42">
    <cfRule type="containsBlanks" dxfId="3480" priority="687" stopIfTrue="1">
      <formula>LEN(TRIM(I42))=0</formula>
    </cfRule>
    <cfRule type="cellIs" dxfId="3479" priority="688" stopIfTrue="1" operator="between">
      <formula>79.1</formula>
      <formula>100</formula>
    </cfRule>
    <cfRule type="cellIs" dxfId="3478" priority="689" stopIfTrue="1" operator="between">
      <formula>34.1</formula>
      <formula>79</formula>
    </cfRule>
    <cfRule type="cellIs" dxfId="3477" priority="690" stopIfTrue="1" operator="between">
      <formula>13.1</formula>
      <formula>34</formula>
    </cfRule>
    <cfRule type="cellIs" dxfId="3476" priority="691" stopIfTrue="1" operator="between">
      <formula>5.1</formula>
      <formula>13</formula>
    </cfRule>
    <cfRule type="cellIs" dxfId="3475" priority="692" stopIfTrue="1" operator="between">
      <formula>0</formula>
      <formula>5</formula>
    </cfRule>
    <cfRule type="containsBlanks" dxfId="3474" priority="693" stopIfTrue="1">
      <formula>LEN(TRIM(I42))=0</formula>
    </cfRule>
  </conditionalFormatting>
  <conditionalFormatting sqref="N42">
    <cfRule type="containsBlanks" dxfId="3473" priority="680" stopIfTrue="1">
      <formula>LEN(TRIM(N42))=0</formula>
    </cfRule>
    <cfRule type="cellIs" dxfId="3472" priority="681" stopIfTrue="1" operator="between">
      <formula>79.1</formula>
      <formula>100</formula>
    </cfRule>
    <cfRule type="cellIs" dxfId="3471" priority="682" stopIfTrue="1" operator="between">
      <formula>34.1</formula>
      <formula>79</formula>
    </cfRule>
    <cfRule type="cellIs" dxfId="3470" priority="683" stopIfTrue="1" operator="between">
      <formula>13.1</formula>
      <formula>34</formula>
    </cfRule>
    <cfRule type="cellIs" dxfId="3469" priority="684" stopIfTrue="1" operator="between">
      <formula>5.1</formula>
      <formula>13</formula>
    </cfRule>
    <cfRule type="cellIs" dxfId="3468" priority="685" stopIfTrue="1" operator="between">
      <formula>0</formula>
      <formula>5</formula>
    </cfRule>
    <cfRule type="containsBlanks" dxfId="3467" priority="686" stopIfTrue="1">
      <formula>LEN(TRIM(N42))=0</formula>
    </cfRule>
  </conditionalFormatting>
  <conditionalFormatting sqref="E54:P56 L70:P71 H57:P57 O58:P58">
    <cfRule type="containsBlanks" dxfId="3466" priority="673" stopIfTrue="1">
      <formula>LEN(TRIM(E54))=0</formula>
    </cfRule>
    <cfRule type="cellIs" dxfId="3465" priority="674" stopIfTrue="1" operator="between">
      <formula>79.1</formula>
      <formula>100</formula>
    </cfRule>
    <cfRule type="cellIs" dxfId="3464" priority="675" stopIfTrue="1" operator="between">
      <formula>34.1</formula>
      <formula>79</formula>
    </cfRule>
    <cfRule type="cellIs" dxfId="3463" priority="676" stopIfTrue="1" operator="between">
      <formula>13.1</formula>
      <formula>34</formula>
    </cfRule>
    <cfRule type="cellIs" dxfId="3462" priority="677" stopIfTrue="1" operator="between">
      <formula>5.1</formula>
      <formula>13</formula>
    </cfRule>
    <cfRule type="cellIs" dxfId="3461" priority="678" stopIfTrue="1" operator="between">
      <formula>0</formula>
      <formula>5</formula>
    </cfRule>
    <cfRule type="containsBlanks" dxfId="3460" priority="679" stopIfTrue="1">
      <formula>LEN(TRIM(E54))=0</formula>
    </cfRule>
  </conditionalFormatting>
  <conditionalFormatting sqref="K72:P72 P73:P74 O77:P77">
    <cfRule type="containsBlanks" dxfId="3459" priority="666" stopIfTrue="1">
      <formula>LEN(TRIM(K72))=0</formula>
    </cfRule>
    <cfRule type="cellIs" dxfId="3458" priority="667" stopIfTrue="1" operator="between">
      <formula>79.1</formula>
      <formula>100</formula>
    </cfRule>
    <cfRule type="cellIs" dxfId="3457" priority="668" stopIfTrue="1" operator="between">
      <formula>34.1</formula>
      <formula>79</formula>
    </cfRule>
    <cfRule type="cellIs" dxfId="3456" priority="669" stopIfTrue="1" operator="between">
      <formula>13.1</formula>
      <formula>34</formula>
    </cfRule>
    <cfRule type="cellIs" dxfId="3455" priority="670" stopIfTrue="1" operator="between">
      <formula>5.1</formula>
      <formula>13</formula>
    </cfRule>
    <cfRule type="cellIs" dxfId="3454" priority="671" stopIfTrue="1" operator="between">
      <formula>0</formula>
      <formula>5</formula>
    </cfRule>
    <cfRule type="containsBlanks" dxfId="3453" priority="672" stopIfTrue="1">
      <formula>LEN(TRIM(K72))=0</formula>
    </cfRule>
  </conditionalFormatting>
  <conditionalFormatting sqref="E100:P103 O99:P99">
    <cfRule type="containsBlanks" dxfId="3452" priority="631" stopIfTrue="1">
      <formula>LEN(TRIM(E99))=0</formula>
    </cfRule>
    <cfRule type="cellIs" dxfId="3451" priority="632" stopIfTrue="1" operator="between">
      <formula>79.1</formula>
      <formula>100</formula>
    </cfRule>
    <cfRule type="cellIs" dxfId="3450" priority="633" stopIfTrue="1" operator="between">
      <formula>34.1</formula>
      <formula>79</formula>
    </cfRule>
    <cfRule type="cellIs" dxfId="3449" priority="634" stopIfTrue="1" operator="between">
      <formula>13.1</formula>
      <formula>34</formula>
    </cfRule>
    <cfRule type="cellIs" dxfId="3448" priority="635" stopIfTrue="1" operator="between">
      <formula>5.1</formula>
      <formula>13</formula>
    </cfRule>
    <cfRule type="cellIs" dxfId="3447" priority="636" stopIfTrue="1" operator="between">
      <formula>0</formula>
      <formula>5</formula>
    </cfRule>
    <cfRule type="containsBlanks" dxfId="3446" priority="637" stopIfTrue="1">
      <formula>LEN(TRIM(E99))=0</formula>
    </cfRule>
  </conditionalFormatting>
  <conditionalFormatting sqref="E86:J88">
    <cfRule type="containsBlanks" dxfId="3445" priority="638" stopIfTrue="1">
      <formula>LEN(TRIM(E86))=0</formula>
    </cfRule>
    <cfRule type="cellIs" dxfId="3444" priority="639" stopIfTrue="1" operator="between">
      <formula>79.1</formula>
      <formula>100</formula>
    </cfRule>
    <cfRule type="cellIs" dxfId="3443" priority="640" stopIfTrue="1" operator="between">
      <formula>34.1</formula>
      <formula>79</formula>
    </cfRule>
    <cfRule type="cellIs" dxfId="3442" priority="641" stopIfTrue="1" operator="between">
      <formula>13.1</formula>
      <formula>34</formula>
    </cfRule>
    <cfRule type="cellIs" dxfId="3441" priority="642" stopIfTrue="1" operator="between">
      <formula>5.1</formula>
      <formula>13</formula>
    </cfRule>
    <cfRule type="cellIs" dxfId="3440" priority="643" stopIfTrue="1" operator="between">
      <formula>0</formula>
      <formula>5</formula>
    </cfRule>
    <cfRule type="containsBlanks" dxfId="3439" priority="644" stopIfTrue="1">
      <formula>LEN(TRIM(E86))=0</formula>
    </cfRule>
  </conditionalFormatting>
  <conditionalFormatting sqref="O86:O87 M88">
    <cfRule type="containsBlanks" dxfId="3438" priority="624" stopIfTrue="1">
      <formula>LEN(TRIM(M86))=0</formula>
    </cfRule>
    <cfRule type="cellIs" dxfId="3437" priority="625" stopIfTrue="1" operator="between">
      <formula>79.1</formula>
      <formula>100</formula>
    </cfRule>
    <cfRule type="cellIs" dxfId="3436" priority="626" stopIfTrue="1" operator="between">
      <formula>34.1</formula>
      <formula>79</formula>
    </cfRule>
    <cfRule type="cellIs" dxfId="3435" priority="627" stopIfTrue="1" operator="between">
      <formula>13.1</formula>
      <formula>34</formula>
    </cfRule>
    <cfRule type="cellIs" dxfId="3434" priority="628" stopIfTrue="1" operator="between">
      <formula>5.1</formula>
      <formula>13</formula>
    </cfRule>
    <cfRule type="cellIs" dxfId="3433" priority="629" stopIfTrue="1" operator="between">
      <formula>0</formula>
      <formula>5</formula>
    </cfRule>
    <cfRule type="containsBlanks" dxfId="3432" priority="630" stopIfTrue="1">
      <formula>LEN(TRIM(M86))=0</formula>
    </cfRule>
  </conditionalFormatting>
  <conditionalFormatting sqref="M86:M87">
    <cfRule type="containsBlanks" dxfId="3431" priority="596" stopIfTrue="1">
      <formula>LEN(TRIM(M86))=0</formula>
    </cfRule>
    <cfRule type="cellIs" dxfId="3430" priority="597" stopIfTrue="1" operator="between">
      <formula>79.1</formula>
      <formula>100</formula>
    </cfRule>
    <cfRule type="cellIs" dxfId="3429" priority="598" stopIfTrue="1" operator="between">
      <formula>34.1</formula>
      <formula>79</formula>
    </cfRule>
    <cfRule type="cellIs" dxfId="3428" priority="599" stopIfTrue="1" operator="between">
      <formula>13.1</formula>
      <formula>34</formula>
    </cfRule>
    <cfRule type="cellIs" dxfId="3427" priority="600" stopIfTrue="1" operator="between">
      <formula>5.1</formula>
      <formula>13</formula>
    </cfRule>
    <cfRule type="cellIs" dxfId="3426" priority="601" stopIfTrue="1" operator="between">
      <formula>0</formula>
      <formula>5</formula>
    </cfRule>
    <cfRule type="containsBlanks" dxfId="3425" priority="602" stopIfTrue="1">
      <formula>LEN(TRIM(M86))=0</formula>
    </cfRule>
  </conditionalFormatting>
  <conditionalFormatting sqref="L86:L88">
    <cfRule type="containsBlanks" dxfId="3424" priority="589" stopIfTrue="1">
      <formula>LEN(TRIM(L86))=0</formula>
    </cfRule>
    <cfRule type="cellIs" dxfId="3423" priority="590" stopIfTrue="1" operator="between">
      <formula>79.1</formula>
      <formula>100</formula>
    </cfRule>
    <cfRule type="cellIs" dxfId="3422" priority="591" stopIfTrue="1" operator="between">
      <formula>34.1</formula>
      <formula>79</formula>
    </cfRule>
    <cfRule type="cellIs" dxfId="3421" priority="592" stopIfTrue="1" operator="between">
      <formula>13.1</formula>
      <formula>34</formula>
    </cfRule>
    <cfRule type="cellIs" dxfId="3420" priority="593" stopIfTrue="1" operator="between">
      <formula>5.1</formula>
      <formula>13</formula>
    </cfRule>
    <cfRule type="cellIs" dxfId="3419" priority="594" stopIfTrue="1" operator="between">
      <formula>0</formula>
      <formula>5</formula>
    </cfRule>
    <cfRule type="containsBlanks" dxfId="3418" priority="595" stopIfTrue="1">
      <formula>LEN(TRIM(L86))=0</formula>
    </cfRule>
  </conditionalFormatting>
  <conditionalFormatting sqref="K86:K88">
    <cfRule type="containsBlanks" dxfId="3417" priority="575" stopIfTrue="1">
      <formula>LEN(TRIM(K86))=0</formula>
    </cfRule>
    <cfRule type="cellIs" dxfId="3416" priority="576" stopIfTrue="1" operator="between">
      <formula>79.1</formula>
      <formula>100</formula>
    </cfRule>
    <cfRule type="cellIs" dxfId="3415" priority="577" stopIfTrue="1" operator="between">
      <formula>34.1</formula>
      <formula>79</formula>
    </cfRule>
    <cfRule type="cellIs" dxfId="3414" priority="578" stopIfTrue="1" operator="between">
      <formula>13.1</formula>
      <formula>34</formula>
    </cfRule>
    <cfRule type="cellIs" dxfId="3413" priority="579" stopIfTrue="1" operator="between">
      <formula>5.1</formula>
      <formula>13</formula>
    </cfRule>
    <cfRule type="cellIs" dxfId="3412" priority="580" stopIfTrue="1" operator="between">
      <formula>0</formula>
      <formula>5</formula>
    </cfRule>
    <cfRule type="containsBlanks" dxfId="3411" priority="581" stopIfTrue="1">
      <formula>LEN(TRIM(K86))=0</formula>
    </cfRule>
  </conditionalFormatting>
  <conditionalFormatting sqref="R12:R17 R19:R63 R65:R121 R123:R125">
    <cfRule type="cellIs" dxfId="3410" priority="539" stopIfTrue="1" operator="equal">
      <formula>"NO"</formula>
    </cfRule>
  </conditionalFormatting>
  <conditionalFormatting sqref="S124:S125">
    <cfRule type="cellIs" dxfId="3409" priority="540" stopIfTrue="1" operator="equal">
      <formula>"INVIABLE SANITARIAMENTE"</formula>
    </cfRule>
  </conditionalFormatting>
  <conditionalFormatting sqref="S124:S125">
    <cfRule type="containsText" dxfId="3408" priority="527" stopIfTrue="1" operator="containsText" text="INVIABLE SANITARIAMENTE">
      <formula>NOT(ISERROR(SEARCH("INVIABLE SANITARIAMENTE",S124)))</formula>
    </cfRule>
    <cfRule type="containsText" dxfId="3407" priority="528" stopIfTrue="1" operator="containsText" text="ALTO">
      <formula>NOT(ISERROR(SEARCH("ALTO",S124)))</formula>
    </cfRule>
    <cfRule type="containsText" dxfId="3406" priority="529" stopIfTrue="1" operator="containsText" text="MEDIO">
      <formula>NOT(ISERROR(SEARCH("MEDIO",S124)))</formula>
    </cfRule>
    <cfRule type="containsText" dxfId="3405" priority="530" stopIfTrue="1" operator="containsText" text="BAJO">
      <formula>NOT(ISERROR(SEARCH("BAJO",S124)))</formula>
    </cfRule>
    <cfRule type="containsText" dxfId="3404" priority="531" stopIfTrue="1" operator="containsText" text="SIN RIESGO">
      <formula>NOT(ISERROR(SEARCH("SIN RIESGO",S124)))</formula>
    </cfRule>
  </conditionalFormatting>
  <conditionalFormatting sqref="S124:S125">
    <cfRule type="containsText" dxfId="3403" priority="526" stopIfTrue="1" operator="containsText" text="SIN RIESGO">
      <formula>NOT(ISERROR(SEARCH("SIN RIESGO",S124)))</formula>
    </cfRule>
  </conditionalFormatting>
  <conditionalFormatting sqref="E13:P13">
    <cfRule type="containsBlanks" dxfId="3402" priority="519" stopIfTrue="1">
      <formula>LEN(TRIM(E13))=0</formula>
    </cfRule>
    <cfRule type="cellIs" dxfId="3401" priority="520" stopIfTrue="1" operator="between">
      <formula>80.1</formula>
      <formula>100</formula>
    </cfRule>
    <cfRule type="cellIs" dxfId="3400" priority="521" stopIfTrue="1" operator="between">
      <formula>35.1</formula>
      <formula>80</formula>
    </cfRule>
    <cfRule type="cellIs" dxfId="3399" priority="522" stopIfTrue="1" operator="between">
      <formula>14.1</formula>
      <formula>35</formula>
    </cfRule>
    <cfRule type="cellIs" dxfId="3398" priority="523" stopIfTrue="1" operator="between">
      <formula>5.1</formula>
      <formula>14</formula>
    </cfRule>
    <cfRule type="cellIs" dxfId="3397" priority="524" stopIfTrue="1" operator="between">
      <formula>0</formula>
      <formula>5</formula>
    </cfRule>
    <cfRule type="containsBlanks" dxfId="3396" priority="525" stopIfTrue="1">
      <formula>LEN(TRIM(E13))=0</formula>
    </cfRule>
  </conditionalFormatting>
  <conditionalFormatting sqref="E57:G57">
    <cfRule type="containsBlanks" dxfId="3395" priority="385" stopIfTrue="1">
      <formula>LEN(TRIM(E57))=0</formula>
    </cfRule>
    <cfRule type="cellIs" dxfId="3394" priority="386" stopIfTrue="1" operator="between">
      <formula>79.1</formula>
      <formula>100</formula>
    </cfRule>
    <cfRule type="cellIs" dxfId="3393" priority="387" stopIfTrue="1" operator="between">
      <formula>34.1</formula>
      <formula>79</formula>
    </cfRule>
    <cfRule type="cellIs" dxfId="3392" priority="388" stopIfTrue="1" operator="between">
      <formula>13.1</formula>
      <formula>34</formula>
    </cfRule>
    <cfRule type="cellIs" dxfId="3391" priority="389" stopIfTrue="1" operator="between">
      <formula>5.1</formula>
      <formula>13</formula>
    </cfRule>
    <cfRule type="cellIs" dxfId="3390" priority="390" stopIfTrue="1" operator="between">
      <formula>0</formula>
      <formula>5</formula>
    </cfRule>
    <cfRule type="containsBlanks" dxfId="3389" priority="391" stopIfTrue="1">
      <formula>LEN(TRIM(E57))=0</formula>
    </cfRule>
  </conditionalFormatting>
  <conditionalFormatting sqref="E24:H24">
    <cfRule type="containsBlanks" dxfId="3388" priority="483" stopIfTrue="1">
      <formula>LEN(TRIM(E24))=0</formula>
    </cfRule>
    <cfRule type="cellIs" dxfId="3387" priority="484" stopIfTrue="1" operator="between">
      <formula>79.1</formula>
      <formula>100</formula>
    </cfRule>
    <cfRule type="cellIs" dxfId="3386" priority="485" stopIfTrue="1" operator="between">
      <formula>34.1</formula>
      <formula>79</formula>
    </cfRule>
    <cfRule type="cellIs" dxfId="3385" priority="486" stopIfTrue="1" operator="between">
      <formula>13.1</formula>
      <formula>34</formula>
    </cfRule>
    <cfRule type="cellIs" dxfId="3384" priority="487" stopIfTrue="1" operator="between">
      <formula>5.1</formula>
      <formula>13</formula>
    </cfRule>
    <cfRule type="cellIs" dxfId="3383" priority="488" stopIfTrue="1" operator="between">
      <formula>0</formula>
      <formula>5</formula>
    </cfRule>
    <cfRule type="containsBlanks" dxfId="3382" priority="489" stopIfTrue="1">
      <formula>LEN(TRIM(E24))=0</formula>
    </cfRule>
  </conditionalFormatting>
  <conditionalFormatting sqref="I24">
    <cfRule type="containsBlanks" dxfId="3381" priority="476" stopIfTrue="1">
      <formula>LEN(TRIM(I24))=0</formula>
    </cfRule>
    <cfRule type="cellIs" dxfId="3380" priority="477" stopIfTrue="1" operator="between">
      <formula>79.1</formula>
      <formula>100</formula>
    </cfRule>
    <cfRule type="cellIs" dxfId="3379" priority="478" stopIfTrue="1" operator="between">
      <formula>34.1</formula>
      <formula>79</formula>
    </cfRule>
    <cfRule type="cellIs" dxfId="3378" priority="479" stopIfTrue="1" operator="between">
      <formula>13.1</formula>
      <formula>34</formula>
    </cfRule>
    <cfRule type="cellIs" dxfId="3377" priority="480" stopIfTrue="1" operator="between">
      <formula>5.1</formula>
      <formula>13</formula>
    </cfRule>
    <cfRule type="cellIs" dxfId="3376" priority="481" stopIfTrue="1" operator="between">
      <formula>0</formula>
      <formula>5</formula>
    </cfRule>
    <cfRule type="containsBlanks" dxfId="3375" priority="482" stopIfTrue="1">
      <formula>LEN(TRIM(I24))=0</formula>
    </cfRule>
  </conditionalFormatting>
  <conditionalFormatting sqref="E46:H46 K46 O46:P46">
    <cfRule type="containsBlanks" dxfId="3374" priority="469" stopIfTrue="1">
      <formula>LEN(TRIM(E46))=0</formula>
    </cfRule>
    <cfRule type="cellIs" dxfId="3373" priority="470" stopIfTrue="1" operator="between">
      <formula>79.1</formula>
      <formula>100</formula>
    </cfRule>
    <cfRule type="cellIs" dxfId="3372" priority="471" stopIfTrue="1" operator="between">
      <formula>34.1</formula>
      <formula>79</formula>
    </cfRule>
    <cfRule type="cellIs" dxfId="3371" priority="472" stopIfTrue="1" operator="between">
      <formula>13.1</formula>
      <formula>34</formula>
    </cfRule>
    <cfRule type="cellIs" dxfId="3370" priority="473" stopIfTrue="1" operator="between">
      <formula>5.1</formula>
      <formula>13</formula>
    </cfRule>
    <cfRule type="cellIs" dxfId="3369" priority="474" stopIfTrue="1" operator="between">
      <formula>0</formula>
      <formula>5</formula>
    </cfRule>
    <cfRule type="containsBlanks" dxfId="3368" priority="475" stopIfTrue="1">
      <formula>LEN(TRIM(E46))=0</formula>
    </cfRule>
  </conditionalFormatting>
  <conditionalFormatting sqref="I46:J46">
    <cfRule type="containsBlanks" dxfId="3367" priority="462" stopIfTrue="1">
      <formula>LEN(TRIM(I46))=0</formula>
    </cfRule>
    <cfRule type="cellIs" dxfId="3366" priority="463" stopIfTrue="1" operator="between">
      <formula>79.1</formula>
      <formula>100</formula>
    </cfRule>
    <cfRule type="cellIs" dxfId="3365" priority="464" stopIfTrue="1" operator="between">
      <formula>34.1</formula>
      <formula>79</formula>
    </cfRule>
    <cfRule type="cellIs" dxfId="3364" priority="465" stopIfTrue="1" operator="between">
      <formula>13.1</formula>
      <formula>34</formula>
    </cfRule>
    <cfRule type="cellIs" dxfId="3363" priority="466" stopIfTrue="1" operator="between">
      <formula>5.1</formula>
      <formula>13</formula>
    </cfRule>
    <cfRule type="cellIs" dxfId="3362" priority="467" stopIfTrue="1" operator="between">
      <formula>0</formula>
      <formula>5</formula>
    </cfRule>
    <cfRule type="containsBlanks" dxfId="3361" priority="468" stopIfTrue="1">
      <formula>LEN(TRIM(I46))=0</formula>
    </cfRule>
  </conditionalFormatting>
  <conditionalFormatting sqref="L46:N46">
    <cfRule type="containsBlanks" dxfId="3360" priority="455" stopIfTrue="1">
      <formula>LEN(TRIM(L46))=0</formula>
    </cfRule>
    <cfRule type="cellIs" dxfId="3359" priority="456" stopIfTrue="1" operator="between">
      <formula>79.1</formula>
      <formula>100</formula>
    </cfRule>
    <cfRule type="cellIs" dxfId="3358" priority="457" stopIfTrue="1" operator="between">
      <formula>34.1</formula>
      <formula>79</formula>
    </cfRule>
    <cfRule type="cellIs" dxfId="3357" priority="458" stopIfTrue="1" operator="between">
      <formula>13.1</formula>
      <formula>34</formula>
    </cfRule>
    <cfRule type="cellIs" dxfId="3356" priority="459" stopIfTrue="1" operator="between">
      <formula>5.1</formula>
      <formula>13</formula>
    </cfRule>
    <cfRule type="cellIs" dxfId="3355" priority="460" stopIfTrue="1" operator="between">
      <formula>0</formula>
      <formula>5</formula>
    </cfRule>
    <cfRule type="containsBlanks" dxfId="3354" priority="461" stopIfTrue="1">
      <formula>LEN(TRIM(L46))=0</formula>
    </cfRule>
  </conditionalFormatting>
  <conditionalFormatting sqref="E47:H47 K47 O47:P47">
    <cfRule type="containsBlanks" dxfId="3353" priority="448" stopIfTrue="1">
      <formula>LEN(TRIM(E47))=0</formula>
    </cfRule>
    <cfRule type="cellIs" dxfId="3352" priority="449" stopIfTrue="1" operator="between">
      <formula>79.1</formula>
      <formula>100</formula>
    </cfRule>
    <cfRule type="cellIs" dxfId="3351" priority="450" stopIfTrue="1" operator="between">
      <formula>34.1</formula>
      <formula>79</formula>
    </cfRule>
    <cfRule type="cellIs" dxfId="3350" priority="451" stopIfTrue="1" operator="between">
      <formula>13.1</formula>
      <formula>34</formula>
    </cfRule>
    <cfRule type="cellIs" dxfId="3349" priority="452" stopIfTrue="1" operator="between">
      <formula>5.1</formula>
      <formula>13</formula>
    </cfRule>
    <cfRule type="cellIs" dxfId="3348" priority="453" stopIfTrue="1" operator="between">
      <formula>0</formula>
      <formula>5</formula>
    </cfRule>
    <cfRule type="containsBlanks" dxfId="3347" priority="454" stopIfTrue="1">
      <formula>LEN(TRIM(E47))=0</formula>
    </cfRule>
  </conditionalFormatting>
  <conditionalFormatting sqref="I47:J47">
    <cfRule type="containsBlanks" dxfId="3346" priority="441" stopIfTrue="1">
      <formula>LEN(TRIM(I47))=0</formula>
    </cfRule>
    <cfRule type="cellIs" dxfId="3345" priority="442" stopIfTrue="1" operator="between">
      <formula>79.1</formula>
      <formula>100</formula>
    </cfRule>
    <cfRule type="cellIs" dxfId="3344" priority="443" stopIfTrue="1" operator="between">
      <formula>34.1</formula>
      <formula>79</formula>
    </cfRule>
    <cfRule type="cellIs" dxfId="3343" priority="444" stopIfTrue="1" operator="between">
      <formula>13.1</formula>
      <formula>34</formula>
    </cfRule>
    <cfRule type="cellIs" dxfId="3342" priority="445" stopIfTrue="1" operator="between">
      <formula>5.1</formula>
      <formula>13</formula>
    </cfRule>
    <cfRule type="cellIs" dxfId="3341" priority="446" stopIfTrue="1" operator="between">
      <formula>0</formula>
      <formula>5</formula>
    </cfRule>
    <cfRule type="containsBlanks" dxfId="3340" priority="447" stopIfTrue="1">
      <formula>LEN(TRIM(I47))=0</formula>
    </cfRule>
  </conditionalFormatting>
  <conditionalFormatting sqref="L47:N47">
    <cfRule type="containsBlanks" dxfId="3339" priority="434" stopIfTrue="1">
      <formula>LEN(TRIM(L47))=0</formula>
    </cfRule>
    <cfRule type="cellIs" dxfId="3338" priority="435" stopIfTrue="1" operator="between">
      <formula>79.1</formula>
      <formula>100</formula>
    </cfRule>
    <cfRule type="cellIs" dxfId="3337" priority="436" stopIfTrue="1" operator="between">
      <formula>34.1</formula>
      <formula>79</formula>
    </cfRule>
    <cfRule type="cellIs" dxfId="3336" priority="437" stopIfTrue="1" operator="between">
      <formula>13.1</formula>
      <formula>34</formula>
    </cfRule>
    <cfRule type="cellIs" dxfId="3335" priority="438" stopIfTrue="1" operator="between">
      <formula>5.1</formula>
      <formula>13</formula>
    </cfRule>
    <cfRule type="cellIs" dxfId="3334" priority="439" stopIfTrue="1" operator="between">
      <formula>0</formula>
      <formula>5</formula>
    </cfRule>
    <cfRule type="containsBlanks" dxfId="3333" priority="440" stopIfTrue="1">
      <formula>LEN(TRIM(L47))=0</formula>
    </cfRule>
  </conditionalFormatting>
  <conditionalFormatting sqref="E37:P37">
    <cfRule type="containsBlanks" dxfId="3332" priority="427" stopIfTrue="1">
      <formula>LEN(TRIM(E37))=0</formula>
    </cfRule>
    <cfRule type="cellIs" dxfId="3331" priority="428" stopIfTrue="1" operator="between">
      <formula>79.1</formula>
      <formula>100</formula>
    </cfRule>
    <cfRule type="cellIs" dxfId="3330" priority="429" stopIfTrue="1" operator="between">
      <formula>34.1</formula>
      <formula>79</formula>
    </cfRule>
    <cfRule type="cellIs" dxfId="3329" priority="430" stopIfTrue="1" operator="between">
      <formula>13.1</formula>
      <formula>34</formula>
    </cfRule>
    <cfRule type="cellIs" dxfId="3328" priority="431" stopIfTrue="1" operator="between">
      <formula>5.1</formula>
      <formula>13</formula>
    </cfRule>
    <cfRule type="cellIs" dxfId="3327" priority="432" stopIfTrue="1" operator="between">
      <formula>0</formula>
      <formula>5</formula>
    </cfRule>
    <cfRule type="containsBlanks" dxfId="3326" priority="433" stopIfTrue="1">
      <formula>LEN(TRIM(E37))=0</formula>
    </cfRule>
  </conditionalFormatting>
  <conditionalFormatting sqref="E34:H34">
    <cfRule type="containsBlanks" dxfId="3325" priority="420" stopIfTrue="1">
      <formula>LEN(TRIM(E34))=0</formula>
    </cfRule>
    <cfRule type="cellIs" dxfId="3324" priority="421" stopIfTrue="1" operator="between">
      <formula>79.1</formula>
      <formula>100</formula>
    </cfRule>
    <cfRule type="cellIs" dxfId="3323" priority="422" stopIfTrue="1" operator="between">
      <formula>34.1</formula>
      <formula>79</formula>
    </cfRule>
    <cfRule type="cellIs" dxfId="3322" priority="423" stopIfTrue="1" operator="between">
      <formula>13.1</formula>
      <formula>34</formula>
    </cfRule>
    <cfRule type="cellIs" dxfId="3321" priority="424" stopIfTrue="1" operator="between">
      <formula>5.1</formula>
      <formula>13</formula>
    </cfRule>
    <cfRule type="cellIs" dxfId="3320" priority="425" stopIfTrue="1" operator="between">
      <formula>0</formula>
      <formula>5</formula>
    </cfRule>
    <cfRule type="containsBlanks" dxfId="3319" priority="426" stopIfTrue="1">
      <formula>LEN(TRIM(E34))=0</formula>
    </cfRule>
  </conditionalFormatting>
  <conditionalFormatting sqref="E33:J33">
    <cfRule type="containsBlanks" dxfId="3318" priority="413" stopIfTrue="1">
      <formula>LEN(TRIM(E33))=0</formula>
    </cfRule>
    <cfRule type="cellIs" dxfId="3317" priority="414" stopIfTrue="1" operator="between">
      <formula>79.1</formula>
      <formula>100</formula>
    </cfRule>
    <cfRule type="cellIs" dxfId="3316" priority="415" stopIfTrue="1" operator="between">
      <formula>34.1</formula>
      <formula>79</formula>
    </cfRule>
    <cfRule type="cellIs" dxfId="3315" priority="416" stopIfTrue="1" operator="between">
      <formula>13.1</formula>
      <formula>34</formula>
    </cfRule>
    <cfRule type="cellIs" dxfId="3314" priority="417" stopIfTrue="1" operator="between">
      <formula>5.1</formula>
      <formula>13</formula>
    </cfRule>
    <cfRule type="cellIs" dxfId="3313" priority="418" stopIfTrue="1" operator="between">
      <formula>0</formula>
      <formula>5</formula>
    </cfRule>
    <cfRule type="containsBlanks" dxfId="3312" priority="419" stopIfTrue="1">
      <formula>LEN(TRIM(E33))=0</formula>
    </cfRule>
  </conditionalFormatting>
  <conditionalFormatting sqref="E36:J36">
    <cfRule type="containsBlanks" dxfId="3311" priority="406" stopIfTrue="1">
      <formula>LEN(TRIM(E36))=0</formula>
    </cfRule>
    <cfRule type="cellIs" dxfId="3310" priority="407" stopIfTrue="1" operator="between">
      <formula>79.1</formula>
      <formula>100</formula>
    </cfRule>
    <cfRule type="cellIs" dxfId="3309" priority="408" stopIfTrue="1" operator="between">
      <formula>34.1</formula>
      <formula>79</formula>
    </cfRule>
    <cfRule type="cellIs" dxfId="3308" priority="409" stopIfTrue="1" operator="between">
      <formula>13.1</formula>
      <formula>34</formula>
    </cfRule>
    <cfRule type="cellIs" dxfId="3307" priority="410" stopIfTrue="1" operator="between">
      <formula>5.1</formula>
      <formula>13</formula>
    </cfRule>
    <cfRule type="cellIs" dxfId="3306" priority="411" stopIfTrue="1" operator="between">
      <formula>0</formula>
      <formula>5</formula>
    </cfRule>
    <cfRule type="containsBlanks" dxfId="3305" priority="412" stopIfTrue="1">
      <formula>LEN(TRIM(E36))=0</formula>
    </cfRule>
  </conditionalFormatting>
  <conditionalFormatting sqref="E35:F35">
    <cfRule type="containsBlanks" dxfId="3304" priority="399" stopIfTrue="1">
      <formula>LEN(TRIM(E35))=0</formula>
    </cfRule>
    <cfRule type="cellIs" dxfId="3303" priority="400" stopIfTrue="1" operator="between">
      <formula>79.1</formula>
      <formula>100</formula>
    </cfRule>
    <cfRule type="cellIs" dxfId="3302" priority="401" stopIfTrue="1" operator="between">
      <formula>34.1</formula>
      <formula>79</formula>
    </cfRule>
    <cfRule type="cellIs" dxfId="3301" priority="402" stopIfTrue="1" operator="between">
      <formula>13.1</formula>
      <formula>34</formula>
    </cfRule>
    <cfRule type="cellIs" dxfId="3300" priority="403" stopIfTrue="1" operator="between">
      <formula>5.1</formula>
      <formula>13</formula>
    </cfRule>
    <cfRule type="cellIs" dxfId="3299" priority="404" stopIfTrue="1" operator="between">
      <formula>0</formula>
      <formula>5</formula>
    </cfRule>
    <cfRule type="containsBlanks" dxfId="3298" priority="405" stopIfTrue="1">
      <formula>LEN(TRIM(E35))=0</formula>
    </cfRule>
  </conditionalFormatting>
  <conditionalFormatting sqref="E42:F42">
    <cfRule type="containsBlanks" dxfId="3297" priority="392" stopIfTrue="1">
      <formula>LEN(TRIM(E42))=0</formula>
    </cfRule>
    <cfRule type="cellIs" dxfId="3296" priority="393" stopIfTrue="1" operator="between">
      <formula>79.1</formula>
      <formula>100</formula>
    </cfRule>
    <cfRule type="cellIs" dxfId="3295" priority="394" stopIfTrue="1" operator="between">
      <formula>34.1</formula>
      <formula>79</formula>
    </cfRule>
    <cfRule type="cellIs" dxfId="3294" priority="395" stopIfTrue="1" operator="between">
      <formula>13.1</formula>
      <formula>34</formula>
    </cfRule>
    <cfRule type="cellIs" dxfId="3293" priority="396" stopIfTrue="1" operator="between">
      <formula>5.1</formula>
      <formula>13</formula>
    </cfRule>
    <cfRule type="cellIs" dxfId="3292" priority="397" stopIfTrue="1" operator="between">
      <formula>0</formula>
      <formula>5</formula>
    </cfRule>
    <cfRule type="containsBlanks" dxfId="3291" priority="398" stopIfTrue="1">
      <formula>LEN(TRIM(E42))=0</formula>
    </cfRule>
  </conditionalFormatting>
  <conditionalFormatting sqref="E30:H30 J30">
    <cfRule type="containsBlanks" dxfId="3290" priority="378" stopIfTrue="1">
      <formula>LEN(TRIM(E30))=0</formula>
    </cfRule>
    <cfRule type="cellIs" dxfId="3289" priority="379" stopIfTrue="1" operator="between">
      <formula>79.1</formula>
      <formula>100</formula>
    </cfRule>
    <cfRule type="cellIs" dxfId="3288" priority="380" stopIfTrue="1" operator="between">
      <formula>34.1</formula>
      <formula>79</formula>
    </cfRule>
    <cfRule type="cellIs" dxfId="3287" priority="381" stopIfTrue="1" operator="between">
      <formula>13.1</formula>
      <formula>34</formula>
    </cfRule>
    <cfRule type="cellIs" dxfId="3286" priority="382" stopIfTrue="1" operator="between">
      <formula>5.1</formula>
      <formula>13</formula>
    </cfRule>
    <cfRule type="cellIs" dxfId="3285" priority="383" stopIfTrue="1" operator="between">
      <formula>0</formula>
      <formula>5</formula>
    </cfRule>
    <cfRule type="containsBlanks" dxfId="3284" priority="384" stopIfTrue="1">
      <formula>LEN(TRIM(E30))=0</formula>
    </cfRule>
  </conditionalFormatting>
  <conditionalFormatting sqref="I30">
    <cfRule type="containsBlanks" dxfId="3283" priority="371" stopIfTrue="1">
      <formula>LEN(TRIM(I30))=0</formula>
    </cfRule>
    <cfRule type="cellIs" dxfId="3282" priority="372" stopIfTrue="1" operator="between">
      <formula>79.1</formula>
      <formula>100</formula>
    </cfRule>
    <cfRule type="cellIs" dxfId="3281" priority="373" stopIfTrue="1" operator="between">
      <formula>34.1</formula>
      <formula>79</formula>
    </cfRule>
    <cfRule type="cellIs" dxfId="3280" priority="374" stopIfTrue="1" operator="between">
      <formula>13.1</formula>
      <formula>34</formula>
    </cfRule>
    <cfRule type="cellIs" dxfId="3279" priority="375" stopIfTrue="1" operator="between">
      <formula>5.1</formula>
      <formula>13</formula>
    </cfRule>
    <cfRule type="cellIs" dxfId="3278" priority="376" stopIfTrue="1" operator="between">
      <formula>0</formula>
      <formula>5</formula>
    </cfRule>
    <cfRule type="containsBlanks" dxfId="3277" priority="377" stopIfTrue="1">
      <formula>LEN(TRIM(I30))=0</formula>
    </cfRule>
  </conditionalFormatting>
  <conditionalFormatting sqref="E39:H39 J39:M39">
    <cfRule type="containsBlanks" dxfId="3276" priority="364" stopIfTrue="1">
      <formula>LEN(TRIM(E39))=0</formula>
    </cfRule>
    <cfRule type="cellIs" dxfId="3275" priority="365" stopIfTrue="1" operator="between">
      <formula>79.1</formula>
      <formula>100</formula>
    </cfRule>
    <cfRule type="cellIs" dxfId="3274" priority="366" stopIfTrue="1" operator="between">
      <formula>34.1</formula>
      <formula>79</formula>
    </cfRule>
    <cfRule type="cellIs" dxfId="3273" priority="367" stopIfTrue="1" operator="between">
      <formula>13.1</formula>
      <formula>34</formula>
    </cfRule>
    <cfRule type="cellIs" dxfId="3272" priority="368" stopIfTrue="1" operator="between">
      <formula>5.1</formula>
      <formula>13</formula>
    </cfRule>
    <cfRule type="cellIs" dxfId="3271" priority="369" stopIfTrue="1" operator="between">
      <formula>0</formula>
      <formula>5</formula>
    </cfRule>
    <cfRule type="containsBlanks" dxfId="3270" priority="370" stopIfTrue="1">
      <formula>LEN(TRIM(E39))=0</formula>
    </cfRule>
  </conditionalFormatting>
  <conditionalFormatting sqref="I39">
    <cfRule type="containsBlanks" dxfId="3269" priority="357" stopIfTrue="1">
      <formula>LEN(TRIM(I39))=0</formula>
    </cfRule>
    <cfRule type="cellIs" dxfId="3268" priority="358" stopIfTrue="1" operator="between">
      <formula>79.1</formula>
      <formula>100</formula>
    </cfRule>
    <cfRule type="cellIs" dxfId="3267" priority="359" stopIfTrue="1" operator="between">
      <formula>34.1</formula>
      <formula>79</formula>
    </cfRule>
    <cfRule type="cellIs" dxfId="3266" priority="360" stopIfTrue="1" operator="between">
      <formula>13.1</formula>
      <formula>34</formula>
    </cfRule>
    <cfRule type="cellIs" dxfId="3265" priority="361" stopIfTrue="1" operator="between">
      <formula>5.1</formula>
      <formula>13</formula>
    </cfRule>
    <cfRule type="cellIs" dxfId="3264" priority="362" stopIfTrue="1" operator="between">
      <formula>0</formula>
      <formula>5</formula>
    </cfRule>
    <cfRule type="containsBlanks" dxfId="3263" priority="363" stopIfTrue="1">
      <formula>LEN(TRIM(I39))=0</formula>
    </cfRule>
  </conditionalFormatting>
  <conditionalFormatting sqref="E29:L29 N29">
    <cfRule type="containsBlanks" dxfId="3262" priority="350" stopIfTrue="1">
      <formula>LEN(TRIM(E29))=0</formula>
    </cfRule>
    <cfRule type="cellIs" dxfId="3261" priority="351" stopIfTrue="1" operator="between">
      <formula>79.1</formula>
      <formula>100</formula>
    </cfRule>
    <cfRule type="cellIs" dxfId="3260" priority="352" stopIfTrue="1" operator="between">
      <formula>34.1</formula>
      <formula>79</formula>
    </cfRule>
    <cfRule type="cellIs" dxfId="3259" priority="353" stopIfTrue="1" operator="between">
      <formula>13.1</formula>
      <formula>34</formula>
    </cfRule>
    <cfRule type="cellIs" dxfId="3258" priority="354" stopIfTrue="1" operator="between">
      <formula>5.1</formula>
      <formula>13</formula>
    </cfRule>
    <cfRule type="cellIs" dxfId="3257" priority="355" stopIfTrue="1" operator="between">
      <formula>0</formula>
      <formula>5</formula>
    </cfRule>
    <cfRule type="containsBlanks" dxfId="3256" priority="356" stopIfTrue="1">
      <formula>LEN(TRIM(E29))=0</formula>
    </cfRule>
  </conditionalFormatting>
  <conditionalFormatting sqref="M29">
    <cfRule type="containsBlanks" dxfId="3255" priority="343" stopIfTrue="1">
      <formula>LEN(TRIM(M29))=0</formula>
    </cfRule>
    <cfRule type="cellIs" dxfId="3254" priority="344" stopIfTrue="1" operator="between">
      <formula>79.1</formula>
      <formula>100</formula>
    </cfRule>
    <cfRule type="cellIs" dxfId="3253" priority="345" stopIfTrue="1" operator="between">
      <formula>34.1</formula>
      <formula>79</formula>
    </cfRule>
    <cfRule type="cellIs" dxfId="3252" priority="346" stopIfTrue="1" operator="between">
      <formula>13.1</formula>
      <formula>34</formula>
    </cfRule>
    <cfRule type="cellIs" dxfId="3251" priority="347" stopIfTrue="1" operator="between">
      <formula>5.1</formula>
      <formula>13</formula>
    </cfRule>
    <cfRule type="cellIs" dxfId="3250" priority="348" stopIfTrue="1" operator="between">
      <formula>0</formula>
      <formula>5</formula>
    </cfRule>
    <cfRule type="containsBlanks" dxfId="3249" priority="349" stopIfTrue="1">
      <formula>LEN(TRIM(M29))=0</formula>
    </cfRule>
  </conditionalFormatting>
  <conditionalFormatting sqref="E38:L38">
    <cfRule type="containsBlanks" dxfId="3248" priority="336" stopIfTrue="1">
      <formula>LEN(TRIM(E38))=0</formula>
    </cfRule>
    <cfRule type="cellIs" dxfId="3247" priority="337" stopIfTrue="1" operator="between">
      <formula>79.1</formula>
      <formula>100</formula>
    </cfRule>
    <cfRule type="cellIs" dxfId="3246" priority="338" stopIfTrue="1" operator="between">
      <formula>34.1</formula>
      <formula>79</formula>
    </cfRule>
    <cfRule type="cellIs" dxfId="3245" priority="339" stopIfTrue="1" operator="between">
      <formula>13.1</formula>
      <formula>34</formula>
    </cfRule>
    <cfRule type="cellIs" dxfId="3244" priority="340" stopIfTrue="1" operator="between">
      <formula>5.1</formula>
      <formula>13</formula>
    </cfRule>
    <cfRule type="cellIs" dxfId="3243" priority="341" stopIfTrue="1" operator="between">
      <formula>0</formula>
      <formula>5</formula>
    </cfRule>
    <cfRule type="containsBlanks" dxfId="3242" priority="342" stopIfTrue="1">
      <formula>LEN(TRIM(E38))=0</formula>
    </cfRule>
  </conditionalFormatting>
  <conditionalFormatting sqref="E28:G28">
    <cfRule type="containsBlanks" dxfId="3241" priority="329" stopIfTrue="1">
      <formula>LEN(TRIM(E28))=0</formula>
    </cfRule>
    <cfRule type="cellIs" dxfId="3240" priority="330" stopIfTrue="1" operator="between">
      <formula>79.1</formula>
      <formula>100</formula>
    </cfRule>
    <cfRule type="cellIs" dxfId="3239" priority="331" stopIfTrue="1" operator="between">
      <formula>34.1</formula>
      <formula>79</formula>
    </cfRule>
    <cfRule type="cellIs" dxfId="3238" priority="332" stopIfTrue="1" operator="between">
      <formula>13.1</formula>
      <formula>34</formula>
    </cfRule>
    <cfRule type="cellIs" dxfId="3237" priority="333" stopIfTrue="1" operator="between">
      <formula>5.1</formula>
      <formula>13</formula>
    </cfRule>
    <cfRule type="cellIs" dxfId="3236" priority="334" stopIfTrue="1" operator="between">
      <formula>0</formula>
      <formula>5</formula>
    </cfRule>
    <cfRule type="containsBlanks" dxfId="3235" priority="335" stopIfTrue="1">
      <formula>LEN(TRIM(E28))=0</formula>
    </cfRule>
  </conditionalFormatting>
  <conditionalFormatting sqref="E40:H40">
    <cfRule type="containsBlanks" dxfId="3234" priority="322" stopIfTrue="1">
      <formula>LEN(TRIM(E40))=0</formula>
    </cfRule>
    <cfRule type="cellIs" dxfId="3233" priority="323" stopIfTrue="1" operator="between">
      <formula>79.1</formula>
      <formula>100</formula>
    </cfRule>
    <cfRule type="cellIs" dxfId="3232" priority="324" stopIfTrue="1" operator="between">
      <formula>34.1</formula>
      <formula>79</formula>
    </cfRule>
    <cfRule type="cellIs" dxfId="3231" priority="325" stopIfTrue="1" operator="between">
      <formula>13.1</formula>
      <formula>34</formula>
    </cfRule>
    <cfRule type="cellIs" dxfId="3230" priority="326" stopIfTrue="1" operator="between">
      <formula>5.1</formula>
      <formula>13</formula>
    </cfRule>
    <cfRule type="cellIs" dxfId="3229" priority="327" stopIfTrue="1" operator="between">
      <formula>0</formula>
      <formula>5</formula>
    </cfRule>
    <cfRule type="containsBlanks" dxfId="3228" priority="328" stopIfTrue="1">
      <formula>LEN(TRIM(E40))=0</formula>
    </cfRule>
  </conditionalFormatting>
  <conditionalFormatting sqref="I40">
    <cfRule type="containsBlanks" dxfId="3227" priority="315" stopIfTrue="1">
      <formula>LEN(TRIM(I40))=0</formula>
    </cfRule>
    <cfRule type="cellIs" dxfId="3226" priority="316" stopIfTrue="1" operator="between">
      <formula>79.1</formula>
      <formula>100</formula>
    </cfRule>
    <cfRule type="cellIs" dxfId="3225" priority="317" stopIfTrue="1" operator="between">
      <formula>34.1</formula>
      <formula>79</formula>
    </cfRule>
    <cfRule type="cellIs" dxfId="3224" priority="318" stopIfTrue="1" operator="between">
      <formula>13.1</formula>
      <formula>34</formula>
    </cfRule>
    <cfRule type="cellIs" dxfId="3223" priority="319" stopIfTrue="1" operator="between">
      <formula>5.1</formula>
      <formula>13</formula>
    </cfRule>
    <cfRule type="cellIs" dxfId="3222" priority="320" stopIfTrue="1" operator="between">
      <formula>0</formula>
      <formula>5</formula>
    </cfRule>
    <cfRule type="containsBlanks" dxfId="3221" priority="321" stopIfTrue="1">
      <formula>LEN(TRIM(I40))=0</formula>
    </cfRule>
  </conditionalFormatting>
  <conditionalFormatting sqref="E41:H41 J41:N41">
    <cfRule type="containsBlanks" dxfId="3220" priority="308" stopIfTrue="1">
      <formula>LEN(TRIM(E41))=0</formula>
    </cfRule>
    <cfRule type="cellIs" dxfId="3219" priority="309" stopIfTrue="1" operator="between">
      <formula>79.1</formula>
      <formula>100</formula>
    </cfRule>
    <cfRule type="cellIs" dxfId="3218" priority="310" stopIfTrue="1" operator="between">
      <formula>34.1</formula>
      <formula>79</formula>
    </cfRule>
    <cfRule type="cellIs" dxfId="3217" priority="311" stopIfTrue="1" operator="between">
      <formula>13.1</formula>
      <formula>34</formula>
    </cfRule>
    <cfRule type="cellIs" dxfId="3216" priority="312" stopIfTrue="1" operator="between">
      <formula>5.1</formula>
      <formula>13</formula>
    </cfRule>
    <cfRule type="cellIs" dxfId="3215" priority="313" stopIfTrue="1" operator="between">
      <formula>0</formula>
      <formula>5</formula>
    </cfRule>
    <cfRule type="containsBlanks" dxfId="3214" priority="314" stopIfTrue="1">
      <formula>LEN(TRIM(E41))=0</formula>
    </cfRule>
  </conditionalFormatting>
  <conditionalFormatting sqref="I41">
    <cfRule type="containsBlanks" dxfId="3213" priority="301" stopIfTrue="1">
      <formula>LEN(TRIM(I41))=0</formula>
    </cfRule>
    <cfRule type="cellIs" dxfId="3212" priority="302" stopIfTrue="1" operator="between">
      <formula>79.1</formula>
      <formula>100</formula>
    </cfRule>
    <cfRule type="cellIs" dxfId="3211" priority="303" stopIfTrue="1" operator="between">
      <formula>34.1</formula>
      <formula>79</formula>
    </cfRule>
    <cfRule type="cellIs" dxfId="3210" priority="304" stopIfTrue="1" operator="between">
      <formula>13.1</formula>
      <formula>34</formula>
    </cfRule>
    <cfRule type="cellIs" dxfId="3209" priority="305" stopIfTrue="1" operator="between">
      <formula>5.1</formula>
      <formula>13</formula>
    </cfRule>
    <cfRule type="cellIs" dxfId="3208" priority="306" stopIfTrue="1" operator="between">
      <formula>0</formula>
      <formula>5</formula>
    </cfRule>
    <cfRule type="containsBlanks" dxfId="3207" priority="307" stopIfTrue="1">
      <formula>LEN(TRIM(I41))=0</formula>
    </cfRule>
  </conditionalFormatting>
  <conditionalFormatting sqref="E27:F27">
    <cfRule type="containsBlanks" dxfId="3206" priority="294" stopIfTrue="1">
      <formula>LEN(TRIM(E27))=0</formula>
    </cfRule>
    <cfRule type="cellIs" dxfId="3205" priority="295" stopIfTrue="1" operator="between">
      <formula>79.1</formula>
      <formula>100</formula>
    </cfRule>
    <cfRule type="cellIs" dxfId="3204" priority="296" stopIfTrue="1" operator="between">
      <formula>34.1</formula>
      <formula>79</formula>
    </cfRule>
    <cfRule type="cellIs" dxfId="3203" priority="297" stopIfTrue="1" operator="between">
      <formula>13.1</formula>
      <formula>34</formula>
    </cfRule>
    <cfRule type="cellIs" dxfId="3202" priority="298" stopIfTrue="1" operator="between">
      <formula>5.1</formula>
      <formula>13</formula>
    </cfRule>
    <cfRule type="cellIs" dxfId="3201" priority="299" stopIfTrue="1" operator="between">
      <formula>0</formula>
      <formula>5</formula>
    </cfRule>
    <cfRule type="containsBlanks" dxfId="3200" priority="300" stopIfTrue="1">
      <formula>LEN(TRIM(E27))=0</formula>
    </cfRule>
  </conditionalFormatting>
  <conditionalFormatting sqref="E51:H51">
    <cfRule type="containsBlanks" dxfId="3199" priority="287" stopIfTrue="1">
      <formula>LEN(TRIM(E51))=0</formula>
    </cfRule>
    <cfRule type="cellIs" dxfId="3198" priority="288" stopIfTrue="1" operator="between">
      <formula>79.1</formula>
      <formula>100</formula>
    </cfRule>
    <cfRule type="cellIs" dxfId="3197" priority="289" stopIfTrue="1" operator="between">
      <formula>34.1</formula>
      <formula>79</formula>
    </cfRule>
    <cfRule type="cellIs" dxfId="3196" priority="290" stopIfTrue="1" operator="between">
      <formula>13.1</formula>
      <formula>34</formula>
    </cfRule>
    <cfRule type="cellIs" dxfId="3195" priority="291" stopIfTrue="1" operator="between">
      <formula>5.1</formula>
      <formula>13</formula>
    </cfRule>
    <cfRule type="cellIs" dxfId="3194" priority="292" stopIfTrue="1" operator="between">
      <formula>0</formula>
      <formula>5</formula>
    </cfRule>
    <cfRule type="containsBlanks" dxfId="3193" priority="293" stopIfTrue="1">
      <formula>LEN(TRIM(E51))=0</formula>
    </cfRule>
  </conditionalFormatting>
  <conditionalFormatting sqref="E26:H26 J26">
    <cfRule type="containsBlanks" dxfId="3192" priority="280" stopIfTrue="1">
      <formula>LEN(TRIM(E26))=0</formula>
    </cfRule>
    <cfRule type="cellIs" dxfId="3191" priority="281" stopIfTrue="1" operator="between">
      <formula>79.1</formula>
      <formula>100</formula>
    </cfRule>
    <cfRule type="cellIs" dxfId="3190" priority="282" stopIfTrue="1" operator="between">
      <formula>34.1</formula>
      <formula>79</formula>
    </cfRule>
    <cfRule type="cellIs" dxfId="3189" priority="283" stopIfTrue="1" operator="between">
      <formula>13.1</formula>
      <formula>34</formula>
    </cfRule>
    <cfRule type="cellIs" dxfId="3188" priority="284" stopIfTrue="1" operator="between">
      <formula>5.1</formula>
      <formula>13</formula>
    </cfRule>
    <cfRule type="cellIs" dxfId="3187" priority="285" stopIfTrue="1" operator="between">
      <formula>0</formula>
      <formula>5</formula>
    </cfRule>
    <cfRule type="containsBlanks" dxfId="3186" priority="286" stopIfTrue="1">
      <formula>LEN(TRIM(E26))=0</formula>
    </cfRule>
  </conditionalFormatting>
  <conditionalFormatting sqref="I26">
    <cfRule type="containsBlanks" dxfId="3185" priority="273" stopIfTrue="1">
      <formula>LEN(TRIM(I26))=0</formula>
    </cfRule>
    <cfRule type="cellIs" dxfId="3184" priority="274" stopIfTrue="1" operator="between">
      <formula>79.1</formula>
      <formula>100</formula>
    </cfRule>
    <cfRule type="cellIs" dxfId="3183" priority="275" stopIfTrue="1" operator="between">
      <formula>34.1</formula>
      <formula>79</formula>
    </cfRule>
    <cfRule type="cellIs" dxfId="3182" priority="276" stopIfTrue="1" operator="between">
      <formula>13.1</formula>
      <formula>34</formula>
    </cfRule>
    <cfRule type="cellIs" dxfId="3181" priority="277" stopIfTrue="1" operator="between">
      <formula>5.1</formula>
      <formula>13</formula>
    </cfRule>
    <cfRule type="cellIs" dxfId="3180" priority="278" stopIfTrue="1" operator="between">
      <formula>0</formula>
      <formula>5</formula>
    </cfRule>
    <cfRule type="containsBlanks" dxfId="3179" priority="279" stopIfTrue="1">
      <formula>LEN(TRIM(I26))=0</formula>
    </cfRule>
  </conditionalFormatting>
  <conditionalFormatting sqref="E50:F50">
    <cfRule type="containsBlanks" dxfId="3178" priority="266" stopIfTrue="1">
      <formula>LEN(TRIM(E50))=0</formula>
    </cfRule>
    <cfRule type="cellIs" dxfId="3177" priority="267" stopIfTrue="1" operator="between">
      <formula>79.1</formula>
      <formula>100</formula>
    </cfRule>
    <cfRule type="cellIs" dxfId="3176" priority="268" stopIfTrue="1" operator="between">
      <formula>34.1</formula>
      <formula>79</formula>
    </cfRule>
    <cfRule type="cellIs" dxfId="3175" priority="269" stopIfTrue="1" operator="between">
      <formula>13.1</formula>
      <formula>34</formula>
    </cfRule>
    <cfRule type="cellIs" dxfId="3174" priority="270" stopIfTrue="1" operator="between">
      <formula>5.1</formula>
      <formula>13</formula>
    </cfRule>
    <cfRule type="cellIs" dxfId="3173" priority="271" stopIfTrue="1" operator="between">
      <formula>0</formula>
      <formula>5</formula>
    </cfRule>
    <cfRule type="containsBlanks" dxfId="3172" priority="272" stopIfTrue="1">
      <formula>LEN(TRIM(E50))=0</formula>
    </cfRule>
  </conditionalFormatting>
  <conditionalFormatting sqref="E25:H25 J25:K25">
    <cfRule type="containsBlanks" dxfId="3171" priority="259" stopIfTrue="1">
      <formula>LEN(TRIM(E25))=0</formula>
    </cfRule>
    <cfRule type="cellIs" dxfId="3170" priority="260" stopIfTrue="1" operator="between">
      <formula>79.1</formula>
      <formula>100</formula>
    </cfRule>
    <cfRule type="cellIs" dxfId="3169" priority="261" stopIfTrue="1" operator="between">
      <formula>34.1</formula>
      <formula>79</formula>
    </cfRule>
    <cfRule type="cellIs" dxfId="3168" priority="262" stopIfTrue="1" operator="between">
      <formula>13.1</formula>
      <formula>34</formula>
    </cfRule>
    <cfRule type="cellIs" dxfId="3167" priority="263" stopIfTrue="1" operator="between">
      <formula>5.1</formula>
      <formula>13</formula>
    </cfRule>
    <cfRule type="cellIs" dxfId="3166" priority="264" stopIfTrue="1" operator="between">
      <formula>0</formula>
      <formula>5</formula>
    </cfRule>
    <cfRule type="containsBlanks" dxfId="3165" priority="265" stopIfTrue="1">
      <formula>LEN(TRIM(E25))=0</formula>
    </cfRule>
  </conditionalFormatting>
  <conditionalFormatting sqref="I25">
    <cfRule type="containsBlanks" dxfId="3164" priority="252" stopIfTrue="1">
      <formula>LEN(TRIM(I25))=0</formula>
    </cfRule>
    <cfRule type="cellIs" dxfId="3163" priority="253" stopIfTrue="1" operator="between">
      <formula>79.1</formula>
      <formula>100</formula>
    </cfRule>
    <cfRule type="cellIs" dxfId="3162" priority="254" stopIfTrue="1" operator="between">
      <formula>34.1</formula>
      <formula>79</formula>
    </cfRule>
    <cfRule type="cellIs" dxfId="3161" priority="255" stopIfTrue="1" operator="between">
      <formula>13.1</formula>
      <formula>34</formula>
    </cfRule>
    <cfRule type="cellIs" dxfId="3160" priority="256" stopIfTrue="1" operator="between">
      <formula>5.1</formula>
      <formula>13</formula>
    </cfRule>
    <cfRule type="cellIs" dxfId="3159" priority="257" stopIfTrue="1" operator="between">
      <formula>0</formula>
      <formula>5</formula>
    </cfRule>
    <cfRule type="containsBlanks" dxfId="3158" priority="258" stopIfTrue="1">
      <formula>LEN(TRIM(I25))=0</formula>
    </cfRule>
  </conditionalFormatting>
  <conditionalFormatting sqref="E58:N58">
    <cfRule type="containsBlanks" dxfId="3157" priority="245" stopIfTrue="1">
      <formula>LEN(TRIM(E58))=0</formula>
    </cfRule>
    <cfRule type="cellIs" dxfId="3156" priority="246" stopIfTrue="1" operator="between">
      <formula>79.1</formula>
      <formula>100</formula>
    </cfRule>
    <cfRule type="cellIs" dxfId="3155" priority="247" stopIfTrue="1" operator="between">
      <formula>34.1</formula>
      <formula>79</formula>
    </cfRule>
    <cfRule type="cellIs" dxfId="3154" priority="248" stopIfTrue="1" operator="between">
      <formula>13.1</formula>
      <formula>34</formula>
    </cfRule>
    <cfRule type="cellIs" dxfId="3153" priority="249" stopIfTrue="1" operator="between">
      <formula>5.1</formula>
      <formula>13</formula>
    </cfRule>
    <cfRule type="cellIs" dxfId="3152" priority="250" stopIfTrue="1" operator="between">
      <formula>0</formula>
      <formula>5</formula>
    </cfRule>
    <cfRule type="containsBlanks" dxfId="3151" priority="251" stopIfTrue="1">
      <formula>LEN(TRIM(E58))=0</formula>
    </cfRule>
  </conditionalFormatting>
  <conditionalFormatting sqref="E59:P63">
    <cfRule type="containsBlanks" dxfId="3150" priority="238" stopIfTrue="1">
      <formula>LEN(TRIM(E59))=0</formula>
    </cfRule>
    <cfRule type="cellIs" dxfId="3149" priority="239" stopIfTrue="1" operator="between">
      <formula>79.1</formula>
      <formula>100</formula>
    </cfRule>
    <cfRule type="cellIs" dxfId="3148" priority="240" stopIfTrue="1" operator="between">
      <formula>34.1</formula>
      <formula>79</formula>
    </cfRule>
    <cfRule type="cellIs" dxfId="3147" priority="241" stopIfTrue="1" operator="between">
      <formula>13.1</formula>
      <formula>34</formula>
    </cfRule>
    <cfRule type="cellIs" dxfId="3146" priority="242" stopIfTrue="1" operator="between">
      <formula>5.1</formula>
      <formula>13</formula>
    </cfRule>
    <cfRule type="cellIs" dxfId="3145" priority="243" stopIfTrue="1" operator="between">
      <formula>0</formula>
      <formula>5</formula>
    </cfRule>
    <cfRule type="containsBlanks" dxfId="3144" priority="244" stopIfTrue="1">
      <formula>LEN(TRIM(E59))=0</formula>
    </cfRule>
  </conditionalFormatting>
  <conditionalFormatting sqref="E65:P69">
    <cfRule type="containsBlanks" dxfId="3143" priority="231" stopIfTrue="1">
      <formula>LEN(TRIM(E65))=0</formula>
    </cfRule>
    <cfRule type="cellIs" dxfId="3142" priority="232" stopIfTrue="1" operator="between">
      <formula>79.1</formula>
      <formula>100</formula>
    </cfRule>
    <cfRule type="cellIs" dxfId="3141" priority="233" stopIfTrue="1" operator="between">
      <formula>34.1</formula>
      <formula>79</formula>
    </cfRule>
    <cfRule type="cellIs" dxfId="3140" priority="234" stopIfTrue="1" operator="between">
      <formula>13.1</formula>
      <formula>34</formula>
    </cfRule>
    <cfRule type="cellIs" dxfId="3139" priority="235" stopIfTrue="1" operator="between">
      <formula>5.1</formula>
      <formula>13</formula>
    </cfRule>
    <cfRule type="cellIs" dxfId="3138" priority="236" stopIfTrue="1" operator="between">
      <formula>0</formula>
      <formula>5</formula>
    </cfRule>
    <cfRule type="containsBlanks" dxfId="3137" priority="237" stopIfTrue="1">
      <formula>LEN(TRIM(E65))=0</formula>
    </cfRule>
  </conditionalFormatting>
  <conditionalFormatting sqref="K70:K71">
    <cfRule type="containsBlanks" dxfId="3136" priority="224" stopIfTrue="1">
      <formula>LEN(TRIM(K70))=0</formula>
    </cfRule>
    <cfRule type="cellIs" dxfId="3135" priority="225" stopIfTrue="1" operator="between">
      <formula>79.1</formula>
      <formula>100</formula>
    </cfRule>
    <cfRule type="cellIs" dxfId="3134" priority="226" stopIfTrue="1" operator="between">
      <formula>34.1</formula>
      <formula>79</formula>
    </cfRule>
    <cfRule type="cellIs" dxfId="3133" priority="227" stopIfTrue="1" operator="between">
      <formula>13.1</formula>
      <formula>34</formula>
    </cfRule>
    <cfRule type="cellIs" dxfId="3132" priority="228" stopIfTrue="1" operator="between">
      <formula>5.1</formula>
      <formula>13</formula>
    </cfRule>
    <cfRule type="cellIs" dxfId="3131" priority="229" stopIfTrue="1" operator="between">
      <formula>0</formula>
      <formula>5</formula>
    </cfRule>
    <cfRule type="containsBlanks" dxfId="3130" priority="230" stopIfTrue="1">
      <formula>LEN(TRIM(K70))=0</formula>
    </cfRule>
  </conditionalFormatting>
  <conditionalFormatting sqref="E70:J71">
    <cfRule type="containsBlanks" dxfId="3129" priority="217" stopIfTrue="1">
      <formula>LEN(TRIM(E70))=0</formula>
    </cfRule>
    <cfRule type="cellIs" dxfId="3128" priority="218" stopIfTrue="1" operator="between">
      <formula>79.1</formula>
      <formula>100</formula>
    </cfRule>
    <cfRule type="cellIs" dxfId="3127" priority="219" stopIfTrue="1" operator="between">
      <formula>34.1</formula>
      <formula>79</formula>
    </cfRule>
    <cfRule type="cellIs" dxfId="3126" priority="220" stopIfTrue="1" operator="between">
      <formula>13.1</formula>
      <formula>34</formula>
    </cfRule>
    <cfRule type="cellIs" dxfId="3125" priority="221" stopIfTrue="1" operator="between">
      <formula>5.1</formula>
      <formula>13</formula>
    </cfRule>
    <cfRule type="cellIs" dxfId="3124" priority="222" stopIfTrue="1" operator="between">
      <formula>0</formula>
      <formula>5</formula>
    </cfRule>
    <cfRule type="containsBlanks" dxfId="3123" priority="223" stopIfTrue="1">
      <formula>LEN(TRIM(E70))=0</formula>
    </cfRule>
  </conditionalFormatting>
  <conditionalFormatting sqref="E72:J72">
    <cfRule type="containsBlanks" dxfId="3122" priority="210" stopIfTrue="1">
      <formula>LEN(TRIM(E72))=0</formula>
    </cfRule>
    <cfRule type="cellIs" dxfId="3121" priority="211" stopIfTrue="1" operator="between">
      <formula>79.1</formula>
      <formula>100</formula>
    </cfRule>
    <cfRule type="cellIs" dxfId="3120" priority="212" stopIfTrue="1" operator="between">
      <formula>34.1</formula>
      <formula>79</formula>
    </cfRule>
    <cfRule type="cellIs" dxfId="3119" priority="213" stopIfTrue="1" operator="between">
      <formula>13.1</formula>
      <formula>34</formula>
    </cfRule>
    <cfRule type="cellIs" dxfId="3118" priority="214" stopIfTrue="1" operator="between">
      <formula>5.1</formula>
      <formula>13</formula>
    </cfRule>
    <cfRule type="cellIs" dxfId="3117" priority="215" stopIfTrue="1" operator="between">
      <formula>0</formula>
      <formula>5</formula>
    </cfRule>
    <cfRule type="containsBlanks" dxfId="3116" priority="216" stopIfTrue="1">
      <formula>LEN(TRIM(E72))=0</formula>
    </cfRule>
  </conditionalFormatting>
  <conditionalFormatting sqref="E73:O74">
    <cfRule type="containsBlanks" dxfId="3115" priority="203" stopIfTrue="1">
      <formula>LEN(TRIM(E73))=0</formula>
    </cfRule>
    <cfRule type="cellIs" dxfId="3114" priority="204" stopIfTrue="1" operator="between">
      <formula>79.1</formula>
      <formula>100</formula>
    </cfRule>
    <cfRule type="cellIs" dxfId="3113" priority="205" stopIfTrue="1" operator="between">
      <formula>34.1</formula>
      <formula>79</formula>
    </cfRule>
    <cfRule type="cellIs" dxfId="3112" priority="206" stopIfTrue="1" operator="between">
      <formula>13.1</formula>
      <formula>34</formula>
    </cfRule>
    <cfRule type="cellIs" dxfId="3111" priority="207" stopIfTrue="1" operator="between">
      <formula>5.1</formula>
      <formula>13</formula>
    </cfRule>
    <cfRule type="cellIs" dxfId="3110" priority="208" stopIfTrue="1" operator="between">
      <formula>0</formula>
      <formula>5</formula>
    </cfRule>
    <cfRule type="containsBlanks" dxfId="3109" priority="209" stopIfTrue="1">
      <formula>LEN(TRIM(E73))=0</formula>
    </cfRule>
  </conditionalFormatting>
  <conditionalFormatting sqref="E76:P76">
    <cfRule type="containsBlanks" dxfId="3108" priority="196" stopIfTrue="1">
      <formula>LEN(TRIM(E76))=0</formula>
    </cfRule>
    <cfRule type="cellIs" dxfId="3107" priority="197" stopIfTrue="1" operator="between">
      <formula>80.1</formula>
      <formula>100</formula>
    </cfRule>
    <cfRule type="cellIs" dxfId="3106" priority="198" stopIfTrue="1" operator="between">
      <formula>35.1</formula>
      <formula>80</formula>
    </cfRule>
    <cfRule type="cellIs" dxfId="3105" priority="199" stopIfTrue="1" operator="between">
      <formula>14.1</formula>
      <formula>35</formula>
    </cfRule>
    <cfRule type="cellIs" dxfId="3104" priority="200" stopIfTrue="1" operator="between">
      <formula>5.1</formula>
      <formula>14</formula>
    </cfRule>
    <cfRule type="cellIs" dxfId="3103" priority="201" stopIfTrue="1" operator="between">
      <formula>0</formula>
      <formula>5</formula>
    </cfRule>
    <cfRule type="containsBlanks" dxfId="3102" priority="202" stopIfTrue="1">
      <formula>LEN(TRIM(E76))=0</formula>
    </cfRule>
  </conditionalFormatting>
  <conditionalFormatting sqref="E77:N77">
    <cfRule type="containsBlanks" dxfId="3101" priority="189" stopIfTrue="1">
      <formula>LEN(TRIM(E77))=0</formula>
    </cfRule>
    <cfRule type="cellIs" dxfId="3100" priority="190" stopIfTrue="1" operator="between">
      <formula>80.1</formula>
      <formula>100</formula>
    </cfRule>
    <cfRule type="cellIs" dxfId="3099" priority="191" stopIfTrue="1" operator="between">
      <formula>35.1</formula>
      <formula>80</formula>
    </cfRule>
    <cfRule type="cellIs" dxfId="3098" priority="192" stopIfTrue="1" operator="between">
      <formula>14.1</formula>
      <formula>35</formula>
    </cfRule>
    <cfRule type="cellIs" dxfId="3097" priority="193" stopIfTrue="1" operator="between">
      <formula>5.1</formula>
      <formula>14</formula>
    </cfRule>
    <cfRule type="cellIs" dxfId="3096" priority="194" stopIfTrue="1" operator="between">
      <formula>0</formula>
      <formula>5</formula>
    </cfRule>
    <cfRule type="containsBlanks" dxfId="3095" priority="195" stopIfTrue="1">
      <formula>LEN(TRIM(E77))=0</formula>
    </cfRule>
  </conditionalFormatting>
  <conditionalFormatting sqref="E78:P81">
    <cfRule type="containsBlanks" dxfId="3094" priority="182" stopIfTrue="1">
      <formula>LEN(TRIM(E78))=0</formula>
    </cfRule>
    <cfRule type="cellIs" dxfId="3093" priority="183" stopIfTrue="1" operator="between">
      <formula>80.1</formula>
      <formula>100</formula>
    </cfRule>
    <cfRule type="cellIs" dxfId="3092" priority="184" stopIfTrue="1" operator="between">
      <formula>35.1</formula>
      <formula>80</formula>
    </cfRule>
    <cfRule type="cellIs" dxfId="3091" priority="185" stopIfTrue="1" operator="between">
      <formula>14.1</formula>
      <formula>35</formula>
    </cfRule>
    <cfRule type="cellIs" dxfId="3090" priority="186" stopIfTrue="1" operator="between">
      <formula>5.1</formula>
      <formula>14</formula>
    </cfRule>
    <cfRule type="cellIs" dxfId="3089" priority="187" stopIfTrue="1" operator="between">
      <formula>0</formula>
      <formula>5</formula>
    </cfRule>
    <cfRule type="containsBlanks" dxfId="3088" priority="188" stopIfTrue="1">
      <formula>LEN(TRIM(E78))=0</formula>
    </cfRule>
  </conditionalFormatting>
  <conditionalFormatting sqref="E84:G84">
    <cfRule type="containsBlanks" dxfId="3087" priority="175" stopIfTrue="1">
      <formula>LEN(TRIM(E84))=0</formula>
    </cfRule>
    <cfRule type="cellIs" dxfId="3086" priority="176" stopIfTrue="1" operator="between">
      <formula>80.1</formula>
      <formula>100</formula>
    </cfRule>
    <cfRule type="cellIs" dxfId="3085" priority="177" stopIfTrue="1" operator="between">
      <formula>35.1</formula>
      <formula>80</formula>
    </cfRule>
    <cfRule type="cellIs" dxfId="3084" priority="178" stopIfTrue="1" operator="between">
      <formula>14.1</formula>
      <formula>35</formula>
    </cfRule>
    <cfRule type="cellIs" dxfId="3083" priority="179" stopIfTrue="1" operator="between">
      <formula>5.1</formula>
      <formula>14</formula>
    </cfRule>
    <cfRule type="cellIs" dxfId="3082" priority="180" stopIfTrue="1" operator="between">
      <formula>0</formula>
      <formula>5</formula>
    </cfRule>
    <cfRule type="containsBlanks" dxfId="3081" priority="181" stopIfTrue="1">
      <formula>LEN(TRIM(E84))=0</formula>
    </cfRule>
  </conditionalFormatting>
  <conditionalFormatting sqref="E85:I85">
    <cfRule type="containsBlanks" dxfId="3080" priority="168" stopIfTrue="1">
      <formula>LEN(TRIM(E85))=0</formula>
    </cfRule>
    <cfRule type="cellIs" dxfId="3079" priority="169" stopIfTrue="1" operator="between">
      <formula>79.1</formula>
      <formula>100</formula>
    </cfRule>
    <cfRule type="cellIs" dxfId="3078" priority="170" stopIfTrue="1" operator="between">
      <formula>34.1</formula>
      <formula>79</formula>
    </cfRule>
    <cfRule type="cellIs" dxfId="3077" priority="171" stopIfTrue="1" operator="between">
      <formula>13.1</formula>
      <formula>34</formula>
    </cfRule>
    <cfRule type="cellIs" dxfId="3076" priority="172" stopIfTrue="1" operator="between">
      <formula>5.1</formula>
      <formula>13</formula>
    </cfRule>
    <cfRule type="cellIs" dxfId="3075" priority="173" stopIfTrue="1" operator="between">
      <formula>0</formula>
      <formula>5</formula>
    </cfRule>
    <cfRule type="containsBlanks" dxfId="3074" priority="174" stopIfTrue="1">
      <formula>LEN(TRIM(E85))=0</formula>
    </cfRule>
  </conditionalFormatting>
  <conditionalFormatting sqref="E89:M93">
    <cfRule type="containsBlanks" dxfId="3073" priority="161" stopIfTrue="1">
      <formula>LEN(TRIM(E89))=0</formula>
    </cfRule>
    <cfRule type="cellIs" dxfId="3072" priority="162" stopIfTrue="1" operator="between">
      <formula>79.1</formula>
      <formula>100</formula>
    </cfRule>
    <cfRule type="cellIs" dxfId="3071" priority="163" stopIfTrue="1" operator="between">
      <formula>34.1</formula>
      <formula>79</formula>
    </cfRule>
    <cfRule type="cellIs" dxfId="3070" priority="164" stopIfTrue="1" operator="between">
      <formula>13.1</formula>
      <formula>34</formula>
    </cfRule>
    <cfRule type="cellIs" dxfId="3069" priority="165" stopIfTrue="1" operator="between">
      <formula>5.1</formula>
      <formula>13</formula>
    </cfRule>
    <cfRule type="cellIs" dxfId="3068" priority="166" stopIfTrue="1" operator="between">
      <formula>0</formula>
      <formula>5</formula>
    </cfRule>
    <cfRule type="containsBlanks" dxfId="3067" priority="167" stopIfTrue="1">
      <formula>LEN(TRIM(E89))=0</formula>
    </cfRule>
  </conditionalFormatting>
  <conditionalFormatting sqref="E94:P98">
    <cfRule type="containsBlanks" dxfId="3066" priority="154" stopIfTrue="1">
      <formula>LEN(TRIM(E94))=0</formula>
    </cfRule>
    <cfRule type="cellIs" dxfId="3065" priority="155" stopIfTrue="1" operator="between">
      <formula>79.1</formula>
      <formula>100</formula>
    </cfRule>
    <cfRule type="cellIs" dxfId="3064" priority="156" stopIfTrue="1" operator="between">
      <formula>34.1</formula>
      <formula>79</formula>
    </cfRule>
    <cfRule type="cellIs" dxfId="3063" priority="157" stopIfTrue="1" operator="between">
      <formula>13.1</formula>
      <formula>34</formula>
    </cfRule>
    <cfRule type="cellIs" dxfId="3062" priority="158" stopIfTrue="1" operator="between">
      <formula>5.1</formula>
      <formula>13</formula>
    </cfRule>
    <cfRule type="cellIs" dxfId="3061" priority="159" stopIfTrue="1" operator="between">
      <formula>0</formula>
      <formula>5</formula>
    </cfRule>
    <cfRule type="containsBlanks" dxfId="3060" priority="160" stopIfTrue="1">
      <formula>LEN(TRIM(E94))=0</formula>
    </cfRule>
  </conditionalFormatting>
  <conditionalFormatting sqref="E99:N99">
    <cfRule type="containsBlanks" dxfId="3059" priority="147" stopIfTrue="1">
      <formula>LEN(TRIM(E99))=0</formula>
    </cfRule>
    <cfRule type="cellIs" dxfId="3058" priority="148" stopIfTrue="1" operator="between">
      <formula>79.1</formula>
      <formula>100</formula>
    </cfRule>
    <cfRule type="cellIs" dxfId="3057" priority="149" stopIfTrue="1" operator="between">
      <formula>34.1</formula>
      <formula>79</formula>
    </cfRule>
    <cfRule type="cellIs" dxfId="3056" priority="150" stopIfTrue="1" operator="between">
      <formula>13.1</formula>
      <formula>34</formula>
    </cfRule>
    <cfRule type="cellIs" dxfId="3055" priority="151" stopIfTrue="1" operator="between">
      <formula>5.1</formula>
      <formula>13</formula>
    </cfRule>
    <cfRule type="cellIs" dxfId="3054" priority="152" stopIfTrue="1" operator="between">
      <formula>0</formula>
      <formula>5</formula>
    </cfRule>
    <cfRule type="containsBlanks" dxfId="3053" priority="153" stopIfTrue="1">
      <formula>LEN(TRIM(E99))=0</formula>
    </cfRule>
  </conditionalFormatting>
  <conditionalFormatting sqref="E104:P106">
    <cfRule type="containsBlanks" dxfId="3052" priority="140" stopIfTrue="1">
      <formula>LEN(TRIM(E104))=0</formula>
    </cfRule>
    <cfRule type="cellIs" dxfId="3051" priority="141" stopIfTrue="1" operator="between">
      <formula>79.1</formula>
      <formula>100</formula>
    </cfRule>
    <cfRule type="cellIs" dxfId="3050" priority="142" stopIfTrue="1" operator="between">
      <formula>34.1</formula>
      <formula>79</formula>
    </cfRule>
    <cfRule type="cellIs" dxfId="3049" priority="143" stopIfTrue="1" operator="between">
      <formula>13.1</formula>
      <formula>34</formula>
    </cfRule>
    <cfRule type="cellIs" dxfId="3048" priority="144" stopIfTrue="1" operator="between">
      <formula>5.1</formula>
      <formula>13</formula>
    </cfRule>
    <cfRule type="cellIs" dxfId="3047" priority="145" stopIfTrue="1" operator="between">
      <formula>0</formula>
      <formula>5</formula>
    </cfRule>
    <cfRule type="containsBlanks" dxfId="3046" priority="146" stopIfTrue="1">
      <formula>LEN(TRIM(E104))=0</formula>
    </cfRule>
  </conditionalFormatting>
  <conditionalFormatting sqref="Q111">
    <cfRule type="containsBlanks" dxfId="3045" priority="124" stopIfTrue="1">
      <formula>LEN(TRIM(Q111))=0</formula>
    </cfRule>
    <cfRule type="cellIs" dxfId="3044" priority="125" stopIfTrue="1" operator="between">
      <formula>80.1</formula>
      <formula>100</formula>
    </cfRule>
    <cfRule type="cellIs" dxfId="3043" priority="126" stopIfTrue="1" operator="between">
      <formula>35.1</formula>
      <formula>80</formula>
    </cfRule>
    <cfRule type="cellIs" dxfId="3042" priority="127" stopIfTrue="1" operator="between">
      <formula>14.1</formula>
      <formula>35</formula>
    </cfRule>
    <cfRule type="cellIs" dxfId="3041" priority="128" stopIfTrue="1" operator="between">
      <formula>5.1</formula>
      <formula>14</formula>
    </cfRule>
    <cfRule type="cellIs" dxfId="3040" priority="129" stopIfTrue="1" operator="between">
      <formula>0</formula>
      <formula>5</formula>
    </cfRule>
    <cfRule type="containsBlanks" dxfId="3039" priority="130" stopIfTrue="1">
      <formula>LEN(TRIM(Q111))=0</formula>
    </cfRule>
  </conditionalFormatting>
  <conditionalFormatting sqref="E111:M111">
    <cfRule type="containsBlanks" dxfId="3038" priority="111" stopIfTrue="1">
      <formula>LEN(TRIM(E111))=0</formula>
    </cfRule>
    <cfRule type="cellIs" dxfId="3037" priority="112" stopIfTrue="1" operator="between">
      <formula>79.1</formula>
      <formula>100</formula>
    </cfRule>
    <cfRule type="cellIs" dxfId="3036" priority="113" stopIfTrue="1" operator="between">
      <formula>34.1</formula>
      <formula>79</formula>
    </cfRule>
    <cfRule type="cellIs" dxfId="3035" priority="114" stopIfTrue="1" operator="between">
      <formula>13.1</formula>
      <formula>34</formula>
    </cfRule>
    <cfRule type="cellIs" dxfId="3034" priority="115" stopIfTrue="1" operator="between">
      <formula>5.1</formula>
      <formula>13</formula>
    </cfRule>
    <cfRule type="cellIs" dxfId="3033" priority="116" stopIfTrue="1" operator="between">
      <formula>0</formula>
      <formula>5</formula>
    </cfRule>
    <cfRule type="containsBlanks" dxfId="3032" priority="117" stopIfTrue="1">
      <formula>LEN(TRIM(E111))=0</formula>
    </cfRule>
  </conditionalFormatting>
  <conditionalFormatting sqref="S124:S125">
    <cfRule type="containsText" dxfId="3031" priority="97" stopIfTrue="1" operator="containsText" text="INVIABLE SANITARIAMENTE">
      <formula>NOT(ISERROR(SEARCH("INVIABLE SANITARIAMENTE",S124)))</formula>
    </cfRule>
    <cfRule type="containsText" dxfId="3030" priority="98" stopIfTrue="1" operator="containsText" text="ALTO">
      <formula>NOT(ISERROR(SEARCH("ALTO",S124)))</formula>
    </cfRule>
    <cfRule type="containsText" dxfId="3029" priority="99" stopIfTrue="1" operator="containsText" text="MEDIO">
      <formula>NOT(ISERROR(SEARCH("MEDIO",S124)))</formula>
    </cfRule>
    <cfRule type="containsText" dxfId="3028" priority="100" stopIfTrue="1" operator="containsText" text="BAJO">
      <formula>NOT(ISERROR(SEARCH("BAJO",S124)))</formula>
    </cfRule>
    <cfRule type="containsText" dxfId="3027" priority="101" stopIfTrue="1" operator="containsText" text="SIN RIESGO">
      <formula>NOT(ISERROR(SEARCH("SIN RIESGO",S124)))</formula>
    </cfRule>
  </conditionalFormatting>
  <conditionalFormatting sqref="R124:S125 R111:R121 R123">
    <cfRule type="containsBlanks" dxfId="3026" priority="89" stopIfTrue="1">
      <formula>LEN(TRIM(R111))=0</formula>
    </cfRule>
    <cfRule type="cellIs" dxfId="3025" priority="90" stopIfTrue="1" operator="between">
      <formula>80.1</formula>
      <formula>100</formula>
    </cfRule>
    <cfRule type="cellIs" dxfId="3024" priority="91" stopIfTrue="1" operator="between">
      <formula>35.1</formula>
      <formula>80</formula>
    </cfRule>
    <cfRule type="cellIs" dxfId="3023" priority="92" stopIfTrue="1" operator="between">
      <formula>14.1</formula>
      <formula>35</formula>
    </cfRule>
    <cfRule type="cellIs" dxfId="3022" priority="93" stopIfTrue="1" operator="between">
      <formula>5.1</formula>
      <formula>14</formula>
    </cfRule>
    <cfRule type="cellIs" dxfId="3021" priority="94" stopIfTrue="1" operator="between">
      <formula>0</formula>
      <formula>5</formula>
    </cfRule>
    <cfRule type="containsBlanks" dxfId="3020" priority="95" stopIfTrue="1">
      <formula>LEN(TRIM(R111))=0</formula>
    </cfRule>
  </conditionalFormatting>
  <conditionalFormatting sqref="R112">
    <cfRule type="containsBlanks" dxfId="3019" priority="82" stopIfTrue="1">
      <formula>LEN(TRIM(R112))=0</formula>
    </cfRule>
    <cfRule type="cellIs" dxfId="3018" priority="83" stopIfTrue="1" operator="between">
      <formula>80.1</formula>
      <formula>100</formula>
    </cfRule>
    <cfRule type="cellIs" dxfId="3017" priority="84" stopIfTrue="1" operator="between">
      <formula>35.1</formula>
      <formula>80</formula>
    </cfRule>
    <cfRule type="cellIs" dxfId="3016" priority="85" stopIfTrue="1" operator="between">
      <formula>14.1</formula>
      <formula>35</formula>
    </cfRule>
    <cfRule type="cellIs" dxfId="3015" priority="86" stopIfTrue="1" operator="between">
      <formula>5.1</formula>
      <formula>14</formula>
    </cfRule>
    <cfRule type="cellIs" dxfId="3014" priority="87" stopIfTrue="1" operator="between">
      <formula>0</formula>
      <formula>5</formula>
    </cfRule>
    <cfRule type="containsBlanks" dxfId="3013" priority="88" stopIfTrue="1">
      <formula>LEN(TRIM(R112))=0</formula>
    </cfRule>
  </conditionalFormatting>
  <conditionalFormatting sqref="R18">
    <cfRule type="cellIs" dxfId="3012" priority="66" stopIfTrue="1" operator="equal">
      <formula>"NO"</formula>
    </cfRule>
  </conditionalFormatting>
  <conditionalFormatting sqref="E18:Q18">
    <cfRule type="containsBlanks" dxfId="3011" priority="58" stopIfTrue="1">
      <formula>LEN(TRIM(E18))=0</formula>
    </cfRule>
    <cfRule type="cellIs" dxfId="3010" priority="59" stopIfTrue="1" operator="between">
      <formula>80.1</formula>
      <formula>100</formula>
    </cfRule>
    <cfRule type="cellIs" dxfId="3009" priority="60" stopIfTrue="1" operator="between">
      <formula>35.1</formula>
      <formula>80</formula>
    </cfRule>
    <cfRule type="cellIs" dxfId="3008" priority="61" stopIfTrue="1" operator="between">
      <formula>14.1</formula>
      <formula>35</formula>
    </cfRule>
    <cfRule type="cellIs" dxfId="3007" priority="62" stopIfTrue="1" operator="between">
      <formula>5.1</formula>
      <formula>14</formula>
    </cfRule>
    <cfRule type="cellIs" dxfId="3006" priority="63" stopIfTrue="1" operator="between">
      <formula>0</formula>
      <formula>5</formula>
    </cfRule>
    <cfRule type="containsBlanks" dxfId="3005" priority="64" stopIfTrue="1">
      <formula>LEN(TRIM(E18))=0</formula>
    </cfRule>
  </conditionalFormatting>
  <conditionalFormatting sqref="S12:S63 S65:S121 S123">
    <cfRule type="cellIs" dxfId="3004" priority="51" stopIfTrue="1" operator="equal">
      <formula>"INVIABLE SANITARIAMENTE"</formula>
    </cfRule>
  </conditionalFormatting>
  <conditionalFormatting sqref="S12:S63 S65:S121 S123">
    <cfRule type="containsText" dxfId="3003" priority="46" stopIfTrue="1" operator="containsText" text="INVIABLE SANITARIAMENTE">
      <formula>NOT(ISERROR(SEARCH("INVIABLE SANITARIAMENTE",S12)))</formula>
    </cfRule>
    <cfRule type="containsText" dxfId="3002" priority="47" stopIfTrue="1" operator="containsText" text="ALTO">
      <formula>NOT(ISERROR(SEARCH("ALTO",S12)))</formula>
    </cfRule>
    <cfRule type="containsText" dxfId="3001" priority="48" stopIfTrue="1" operator="containsText" text="MEDIO">
      <formula>NOT(ISERROR(SEARCH("MEDIO",S12)))</formula>
    </cfRule>
    <cfRule type="containsText" dxfId="3000" priority="49" stopIfTrue="1" operator="containsText" text="BAJO">
      <formula>NOT(ISERROR(SEARCH("BAJO",S12)))</formula>
    </cfRule>
    <cfRule type="containsText" dxfId="2999" priority="50" stopIfTrue="1" operator="containsText" text="SIN RIESGO">
      <formula>NOT(ISERROR(SEARCH("SIN RIESGO",S12)))</formula>
    </cfRule>
  </conditionalFormatting>
  <conditionalFormatting sqref="S12:S63 S65:S121 S123">
    <cfRule type="containsText" dxfId="2998" priority="45" stopIfTrue="1" operator="containsText" text="SIN RIESGO">
      <formula>NOT(ISERROR(SEARCH("SIN RIESGO",S12)))</formula>
    </cfRule>
  </conditionalFormatting>
  <conditionalFormatting sqref="E64:Q64">
    <cfRule type="containsBlanks" dxfId="2997" priority="38" stopIfTrue="1">
      <formula>LEN(TRIM(E64))=0</formula>
    </cfRule>
    <cfRule type="cellIs" dxfId="2996" priority="39" stopIfTrue="1" operator="between">
      <formula>80.1</formula>
      <formula>100</formula>
    </cfRule>
    <cfRule type="cellIs" dxfId="2995" priority="40" stopIfTrue="1" operator="between">
      <formula>35.1</formula>
      <formula>80</formula>
    </cfRule>
    <cfRule type="cellIs" dxfId="2994" priority="41" stopIfTrue="1" operator="between">
      <formula>14.1</formula>
      <formula>35</formula>
    </cfRule>
    <cfRule type="cellIs" dxfId="2993" priority="42" stopIfTrue="1" operator="between">
      <formula>5.1</formula>
      <formula>14</formula>
    </cfRule>
    <cfRule type="cellIs" dxfId="2992" priority="43" stopIfTrue="1" operator="between">
      <formula>0</formula>
      <formula>5</formula>
    </cfRule>
    <cfRule type="containsBlanks" dxfId="2991" priority="44" stopIfTrue="1">
      <formula>LEN(TRIM(E64))=0</formula>
    </cfRule>
  </conditionalFormatting>
  <conditionalFormatting sqref="R64">
    <cfRule type="cellIs" dxfId="2990" priority="37" stopIfTrue="1" operator="equal">
      <formula>"NO"</formula>
    </cfRule>
  </conditionalFormatting>
  <conditionalFormatting sqref="E64:P64">
    <cfRule type="containsBlanks" dxfId="2989" priority="30" stopIfTrue="1">
      <formula>LEN(TRIM(E64))=0</formula>
    </cfRule>
    <cfRule type="cellIs" dxfId="2988" priority="31" stopIfTrue="1" operator="between">
      <formula>79.1</formula>
      <formula>100</formula>
    </cfRule>
    <cfRule type="cellIs" dxfId="2987" priority="32" stopIfTrue="1" operator="between">
      <formula>34.1</formula>
      <formula>79</formula>
    </cfRule>
    <cfRule type="cellIs" dxfId="2986" priority="33" stopIfTrue="1" operator="between">
      <formula>13.1</formula>
      <formula>34</formula>
    </cfRule>
    <cfRule type="cellIs" dxfId="2985" priority="34" stopIfTrue="1" operator="between">
      <formula>5.1</formula>
      <formula>13</formula>
    </cfRule>
    <cfRule type="cellIs" dxfId="2984" priority="35" stopIfTrue="1" operator="between">
      <formula>0</formula>
      <formula>5</formula>
    </cfRule>
    <cfRule type="containsBlanks" dxfId="2983" priority="36" stopIfTrue="1">
      <formula>LEN(TRIM(E64))=0</formula>
    </cfRule>
  </conditionalFormatting>
  <conditionalFormatting sqref="S64">
    <cfRule type="cellIs" dxfId="2982" priority="29" stopIfTrue="1" operator="equal">
      <formula>"INVIABLE SANITARIAMENTE"</formula>
    </cfRule>
  </conditionalFormatting>
  <conditionalFormatting sqref="S64">
    <cfRule type="containsText" dxfId="2981" priority="24" stopIfTrue="1" operator="containsText" text="INVIABLE SANITARIAMENTE">
      <formula>NOT(ISERROR(SEARCH("INVIABLE SANITARIAMENTE",S64)))</formula>
    </cfRule>
    <cfRule type="containsText" dxfId="2980" priority="25" stopIfTrue="1" operator="containsText" text="ALTO">
      <formula>NOT(ISERROR(SEARCH("ALTO",S64)))</formula>
    </cfRule>
    <cfRule type="containsText" dxfId="2979" priority="26" stopIfTrue="1" operator="containsText" text="MEDIO">
      <formula>NOT(ISERROR(SEARCH("MEDIO",S64)))</formula>
    </cfRule>
    <cfRule type="containsText" dxfId="2978" priority="27" stopIfTrue="1" operator="containsText" text="BAJO">
      <formula>NOT(ISERROR(SEARCH("BAJO",S64)))</formula>
    </cfRule>
    <cfRule type="containsText" dxfId="2977" priority="28" stopIfTrue="1" operator="containsText" text="SIN RIESGO">
      <formula>NOT(ISERROR(SEARCH("SIN RIESGO",S64)))</formula>
    </cfRule>
  </conditionalFormatting>
  <conditionalFormatting sqref="S64">
    <cfRule type="containsText" dxfId="2976" priority="23" stopIfTrue="1" operator="containsText" text="SIN RIESGO">
      <formula>NOT(ISERROR(SEARCH("SIN RIESGO",S64)))</formula>
    </cfRule>
  </conditionalFormatting>
  <conditionalFormatting sqref="E122:Q122">
    <cfRule type="containsBlanks" dxfId="2975" priority="16" stopIfTrue="1">
      <formula>LEN(TRIM(E122))=0</formula>
    </cfRule>
    <cfRule type="cellIs" dxfId="2974" priority="17" stopIfTrue="1" operator="between">
      <formula>80.1</formula>
      <formula>100</formula>
    </cfRule>
    <cfRule type="cellIs" dxfId="2973" priority="18" stopIfTrue="1" operator="between">
      <formula>35.1</formula>
      <formula>80</formula>
    </cfRule>
    <cfRule type="cellIs" dxfId="2972" priority="19" stopIfTrue="1" operator="between">
      <formula>14.1</formula>
      <formula>35</formula>
    </cfRule>
    <cfRule type="cellIs" dxfId="2971" priority="20" stopIfTrue="1" operator="between">
      <formula>5.1</formula>
      <formula>14</formula>
    </cfRule>
    <cfRule type="cellIs" dxfId="2970" priority="21" stopIfTrue="1" operator="between">
      <formula>0</formula>
      <formula>5</formula>
    </cfRule>
    <cfRule type="containsBlanks" dxfId="2969" priority="22" stopIfTrue="1">
      <formula>LEN(TRIM(E122))=0</formula>
    </cfRule>
  </conditionalFormatting>
  <conditionalFormatting sqref="R122">
    <cfRule type="cellIs" dxfId="2968" priority="15" stopIfTrue="1" operator="equal">
      <formula>"NO"</formula>
    </cfRule>
  </conditionalFormatting>
  <conditionalFormatting sqref="R122">
    <cfRule type="containsBlanks" dxfId="2967" priority="8" stopIfTrue="1">
      <formula>LEN(TRIM(R122))=0</formula>
    </cfRule>
    <cfRule type="cellIs" dxfId="2966" priority="9" stopIfTrue="1" operator="between">
      <formula>80.1</formula>
      <formula>100</formula>
    </cfRule>
    <cfRule type="cellIs" dxfId="2965" priority="10" stopIfTrue="1" operator="between">
      <formula>35.1</formula>
      <formula>80</formula>
    </cfRule>
    <cfRule type="cellIs" dxfId="2964" priority="11" stopIfTrue="1" operator="between">
      <formula>14.1</formula>
      <formula>35</formula>
    </cfRule>
    <cfRule type="cellIs" dxfId="2963" priority="12" stopIfTrue="1" operator="between">
      <formula>5.1</formula>
      <formula>14</formula>
    </cfRule>
    <cfRule type="cellIs" dxfId="2962" priority="13" stopIfTrue="1" operator="between">
      <formula>0</formula>
      <formula>5</formula>
    </cfRule>
    <cfRule type="containsBlanks" dxfId="2961" priority="14" stopIfTrue="1">
      <formula>LEN(TRIM(R122))=0</formula>
    </cfRule>
  </conditionalFormatting>
  <conditionalFormatting sqref="S122">
    <cfRule type="cellIs" dxfId="2960" priority="7" stopIfTrue="1" operator="equal">
      <formula>"INVIABLE SANITARIAMENTE"</formula>
    </cfRule>
  </conditionalFormatting>
  <conditionalFormatting sqref="S122">
    <cfRule type="containsText" dxfId="2959" priority="2" stopIfTrue="1" operator="containsText" text="INVIABLE SANITARIAMENTE">
      <formula>NOT(ISERROR(SEARCH("INVIABLE SANITARIAMENTE",S122)))</formula>
    </cfRule>
    <cfRule type="containsText" dxfId="2958" priority="3" stopIfTrue="1" operator="containsText" text="ALTO">
      <formula>NOT(ISERROR(SEARCH("ALTO",S122)))</formula>
    </cfRule>
    <cfRule type="containsText" dxfId="2957" priority="4" stopIfTrue="1" operator="containsText" text="MEDIO">
      <formula>NOT(ISERROR(SEARCH("MEDIO",S122)))</formula>
    </cfRule>
    <cfRule type="containsText" dxfId="2956" priority="5" stopIfTrue="1" operator="containsText" text="BAJO">
      <formula>NOT(ISERROR(SEARCH("BAJO",S122)))</formula>
    </cfRule>
    <cfRule type="containsText" dxfId="2955" priority="6" stopIfTrue="1" operator="containsText" text="SIN RIESGO">
      <formula>NOT(ISERROR(SEARCH("SIN RIESGO",S122)))</formula>
    </cfRule>
  </conditionalFormatting>
  <conditionalFormatting sqref="S122">
    <cfRule type="containsText" dxfId="2954" priority="1" stopIfTrue="1" operator="containsText" text="SIN RIESGO">
      <formula>NOT(ISERROR(SEARCH("SIN RIESGO",S122)))</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W719"/>
  <sheetViews>
    <sheetView zoomScale="60" zoomScaleNormal="80" workbookViewId="0">
      <pane xSplit="3" ySplit="11" topLeftCell="D12" activePane="bottomRight" state="frozenSplit"/>
      <selection pane="topRight" activeCell="D1" sqref="D1"/>
      <selection pane="bottomLeft" activeCell="A12" sqref="A12"/>
      <selection pane="bottomRight" activeCell="A12" sqref="A12"/>
    </sheetView>
  </sheetViews>
  <sheetFormatPr baseColWidth="10" defaultColWidth="0" defaultRowHeight="0" customHeight="1" zeroHeight="1"/>
  <cols>
    <col min="1" max="1" width="34.85546875" style="141" customWidth="1"/>
    <col min="2" max="2" width="43.7109375" style="175" customWidth="1"/>
    <col min="3" max="3" width="70.85546875" style="175" customWidth="1"/>
    <col min="4" max="4" width="24.7109375" style="176" customWidth="1"/>
    <col min="5" max="18" width="10.7109375" style="159" customWidth="1"/>
    <col min="19" max="19" width="42.28515625" style="159" bestFit="1" customWidth="1"/>
    <col min="20" max="20" width="9.85546875" style="159" hidden="1" customWidth="1"/>
    <col min="21" max="16384" width="11.42578125" style="159" hidden="1"/>
  </cols>
  <sheetData>
    <row r="1" spans="1:23" ht="18" customHeight="1">
      <c r="A1" s="129"/>
      <c r="B1" s="551" t="s">
        <v>258</v>
      </c>
      <c r="C1" s="551"/>
      <c r="D1" s="551"/>
      <c r="E1" s="131"/>
      <c r="F1" s="131"/>
      <c r="G1" s="131"/>
      <c r="H1" s="131"/>
      <c r="I1" s="131"/>
      <c r="J1" s="131"/>
      <c r="K1" s="131"/>
      <c r="L1" s="131"/>
      <c r="M1" s="131"/>
      <c r="N1" s="131"/>
      <c r="O1" s="131"/>
      <c r="P1" s="131"/>
      <c r="Q1" s="131"/>
      <c r="R1" s="132"/>
      <c r="S1" s="157" t="s">
        <v>546</v>
      </c>
      <c r="T1" s="133"/>
      <c r="U1" s="158"/>
      <c r="V1" s="158"/>
      <c r="W1" s="158"/>
    </row>
    <row r="2" spans="1:23" s="162" customFormat="1" ht="18" customHeight="1">
      <c r="A2" s="129"/>
      <c r="B2" s="551" t="s">
        <v>259</v>
      </c>
      <c r="C2" s="551"/>
      <c r="D2" s="551"/>
      <c r="E2" s="305"/>
      <c r="F2" s="305"/>
      <c r="G2" s="305"/>
      <c r="H2" s="305"/>
      <c r="I2" s="305"/>
      <c r="J2" s="305"/>
      <c r="K2" s="305"/>
      <c r="L2" s="305"/>
      <c r="M2" s="305"/>
      <c r="N2" s="305"/>
      <c r="O2" s="305"/>
      <c r="P2" s="305"/>
      <c r="Q2" s="305"/>
      <c r="R2" s="134"/>
      <c r="S2" s="160" t="s">
        <v>260</v>
      </c>
      <c r="T2" s="133"/>
      <c r="U2" s="161"/>
      <c r="V2" s="158"/>
      <c r="W2" s="158"/>
    </row>
    <row r="3" spans="1:23" ht="18" customHeight="1">
      <c r="A3" s="129"/>
      <c r="B3" s="424" t="s">
        <v>4367</v>
      </c>
      <c r="C3" s="426"/>
      <c r="D3" s="425"/>
      <c r="E3" s="304"/>
      <c r="F3" s="304"/>
      <c r="G3" s="304"/>
      <c r="H3" s="304"/>
      <c r="I3" s="304"/>
      <c r="J3" s="304"/>
      <c r="K3" s="304"/>
      <c r="L3" s="304"/>
      <c r="M3" s="304"/>
      <c r="N3" s="304"/>
      <c r="O3" s="304"/>
      <c r="P3" s="304"/>
      <c r="Q3" s="304"/>
      <c r="R3" s="135"/>
      <c r="S3" s="160" t="s">
        <v>547</v>
      </c>
      <c r="T3" s="133"/>
      <c r="U3" s="158"/>
      <c r="V3" s="158"/>
      <c r="W3" s="158"/>
    </row>
    <row r="4" spans="1:23" ht="18" customHeight="1">
      <c r="A4" s="129"/>
      <c r="B4" s="551" t="s">
        <v>4569</v>
      </c>
      <c r="C4" s="551"/>
      <c r="D4" s="551"/>
      <c r="R4" s="164"/>
      <c r="S4" s="160" t="s">
        <v>261</v>
      </c>
      <c r="T4" s="133"/>
      <c r="U4" s="158"/>
      <c r="V4" s="158"/>
      <c r="W4" s="158"/>
    </row>
    <row r="5" spans="1:23" s="165" customFormat="1" ht="15" customHeight="1">
      <c r="A5" s="130"/>
      <c r="B5" s="558"/>
      <c r="C5" s="580"/>
      <c r="D5" s="557" t="s">
        <v>266</v>
      </c>
      <c r="E5" s="544" t="s">
        <v>255</v>
      </c>
      <c r="F5" s="544"/>
      <c r="G5" s="544"/>
      <c r="H5" s="581" t="s">
        <v>263</v>
      </c>
      <c r="I5" s="581"/>
      <c r="J5" s="581"/>
      <c r="K5" s="546" t="s">
        <v>264</v>
      </c>
      <c r="L5" s="546"/>
      <c r="M5" s="546"/>
      <c r="N5" s="543" t="s">
        <v>474</v>
      </c>
      <c r="O5" s="543"/>
      <c r="P5" s="543"/>
      <c r="Q5" s="562" t="s">
        <v>265</v>
      </c>
      <c r="R5" s="562"/>
      <c r="S5" s="538" t="s">
        <v>267</v>
      </c>
    </row>
    <row r="6" spans="1:23" s="165" customFormat="1" ht="12.75" customHeight="1">
      <c r="A6" s="130"/>
      <c r="B6" s="558"/>
      <c r="C6" s="580"/>
      <c r="D6" s="557"/>
      <c r="E6" s="544"/>
      <c r="F6" s="544"/>
      <c r="G6" s="544"/>
      <c r="H6" s="581"/>
      <c r="I6" s="581"/>
      <c r="J6" s="581"/>
      <c r="K6" s="546"/>
      <c r="L6" s="546"/>
      <c r="M6" s="546"/>
      <c r="N6" s="543"/>
      <c r="O6" s="543"/>
      <c r="P6" s="543"/>
      <c r="Q6" s="562"/>
      <c r="R6" s="562"/>
      <c r="S6" s="538"/>
    </row>
    <row r="7" spans="1:23" s="165" customFormat="1" ht="9.75" customHeight="1">
      <c r="A7" s="579"/>
      <c r="B7" s="579"/>
      <c r="C7" s="177"/>
      <c r="D7" s="126"/>
      <c r="E7" s="136"/>
      <c r="F7" s="136"/>
      <c r="G7" s="136"/>
      <c r="H7" s="136"/>
      <c r="I7" s="136"/>
      <c r="J7" s="136"/>
      <c r="K7" s="136"/>
      <c r="L7" s="136"/>
      <c r="M7" s="136"/>
      <c r="N7" s="136"/>
      <c r="O7" s="136"/>
      <c r="P7" s="136"/>
      <c r="Q7" s="136"/>
      <c r="R7" s="136"/>
      <c r="S7" s="166"/>
    </row>
    <row r="8" spans="1:23" s="165" customFormat="1" ht="5.25" customHeight="1">
      <c r="A8" s="578"/>
      <c r="B8" s="578"/>
      <c r="C8" s="177"/>
      <c r="D8" s="126"/>
      <c r="E8" s="136"/>
      <c r="F8" s="136"/>
      <c r="G8" s="136"/>
      <c r="H8" s="136"/>
      <c r="I8" s="136"/>
      <c r="J8" s="136"/>
      <c r="K8" s="136"/>
      <c r="L8" s="136"/>
      <c r="M8" s="136"/>
      <c r="N8" s="136"/>
      <c r="O8" s="136"/>
      <c r="P8" s="136"/>
      <c r="Q8" s="136"/>
      <c r="R8" s="136"/>
      <c r="S8" s="166"/>
    </row>
    <row r="9" spans="1:23" s="165" customFormat="1" ht="19.5" customHeight="1">
      <c r="A9" s="437" t="s">
        <v>624</v>
      </c>
      <c r="B9" s="122"/>
      <c r="C9" s="178"/>
      <c r="D9" s="127"/>
      <c r="E9" s="118"/>
      <c r="F9" s="118"/>
      <c r="G9" s="118"/>
      <c r="H9" s="118"/>
      <c r="I9" s="118"/>
      <c r="J9" s="118"/>
      <c r="K9" s="118"/>
      <c r="L9" s="118"/>
      <c r="M9" s="118"/>
      <c r="N9" s="118"/>
      <c r="O9" s="118"/>
      <c r="P9" s="118"/>
      <c r="Q9" s="118"/>
      <c r="R9" s="118"/>
      <c r="S9" s="123"/>
    </row>
    <row r="10" spans="1:23" ht="18" customHeight="1">
      <c r="A10" s="556" t="s">
        <v>37</v>
      </c>
      <c r="B10" s="554" t="s">
        <v>38</v>
      </c>
      <c r="C10" s="554" t="s">
        <v>262</v>
      </c>
      <c r="D10" s="569" t="s">
        <v>454</v>
      </c>
      <c r="E10" s="540" t="s">
        <v>33</v>
      </c>
      <c r="F10" s="540"/>
      <c r="G10" s="540"/>
      <c r="H10" s="540"/>
      <c r="I10" s="540"/>
      <c r="J10" s="540"/>
      <c r="K10" s="540"/>
      <c r="L10" s="540"/>
      <c r="M10" s="540"/>
      <c r="N10" s="540"/>
      <c r="O10" s="540"/>
      <c r="P10" s="540"/>
      <c r="Q10" s="561" t="s">
        <v>34</v>
      </c>
      <c r="R10" s="561" t="s">
        <v>36</v>
      </c>
      <c r="S10" s="554" t="s">
        <v>35</v>
      </c>
      <c r="T10" s="137"/>
    </row>
    <row r="11" spans="1:23" ht="24" customHeight="1">
      <c r="A11" s="572"/>
      <c r="B11" s="569"/>
      <c r="C11" s="569"/>
      <c r="D11" s="570"/>
      <c r="E11" s="371" t="s">
        <v>21</v>
      </c>
      <c r="F11" s="371" t="s">
        <v>22</v>
      </c>
      <c r="G11" s="371" t="s">
        <v>23</v>
      </c>
      <c r="H11" s="371" t="s">
        <v>24</v>
      </c>
      <c r="I11" s="371" t="s">
        <v>25</v>
      </c>
      <c r="J11" s="371" t="s">
        <v>26</v>
      </c>
      <c r="K11" s="371" t="s">
        <v>27</v>
      </c>
      <c r="L11" s="371" t="s">
        <v>28</v>
      </c>
      <c r="M11" s="371" t="s">
        <v>29</v>
      </c>
      <c r="N11" s="371" t="s">
        <v>30</v>
      </c>
      <c r="O11" s="371" t="s">
        <v>31</v>
      </c>
      <c r="P11" s="371" t="s">
        <v>32</v>
      </c>
      <c r="Q11" s="571"/>
      <c r="R11" s="577"/>
      <c r="S11" s="571"/>
      <c r="T11" s="137"/>
    </row>
    <row r="12" spans="1:23" s="167" customFormat="1" ht="32.1" customHeight="1">
      <c r="A12" s="419" t="s">
        <v>207</v>
      </c>
      <c r="B12" s="110" t="s">
        <v>493</v>
      </c>
      <c r="C12" s="502" t="s">
        <v>548</v>
      </c>
      <c r="D12" s="119">
        <v>19</v>
      </c>
      <c r="E12" s="79">
        <v>97.35</v>
      </c>
      <c r="F12" s="79"/>
      <c r="G12" s="79"/>
      <c r="H12" s="79"/>
      <c r="I12" s="79"/>
      <c r="J12" s="79"/>
      <c r="K12" s="79"/>
      <c r="L12" s="79"/>
      <c r="M12" s="79"/>
      <c r="N12" s="79"/>
      <c r="O12" s="79">
        <v>97.35</v>
      </c>
      <c r="P12" s="79"/>
      <c r="Q12" s="139">
        <f t="shared" ref="Q12:Q78" si="0">AVERAGE(E12:P12)</f>
        <v>97.35</v>
      </c>
      <c r="R12" s="144" t="str">
        <f t="shared" ref="R12:R78" si="1">IF(Q12&lt;5,"SI","NO")</f>
        <v>NO</v>
      </c>
      <c r="S12" s="145" t="str">
        <f t="shared" ref="S12:S43" si="2">IF(Q12&lt;=5,"Sin Riesgo",IF(Q12 &lt;=14,"Bajo",IF(Q12&lt;=35,"Medio",IF(Q12&lt;=80,"Alto","Inviable Sanitariamente"))))</f>
        <v>Inviable Sanitariamente</v>
      </c>
    </row>
    <row r="13" spans="1:23" s="167" customFormat="1" ht="32.1" customHeight="1">
      <c r="A13" s="419" t="s">
        <v>207</v>
      </c>
      <c r="B13" s="110" t="s">
        <v>549</v>
      </c>
      <c r="C13" s="502" t="s">
        <v>550</v>
      </c>
      <c r="D13" s="119">
        <v>37</v>
      </c>
      <c r="E13" s="79"/>
      <c r="F13" s="79"/>
      <c r="G13" s="79"/>
      <c r="H13" s="79"/>
      <c r="I13" s="79"/>
      <c r="J13" s="79">
        <v>97.35</v>
      </c>
      <c r="K13" s="79"/>
      <c r="L13" s="79"/>
      <c r="M13" s="79"/>
      <c r="N13" s="79"/>
      <c r="O13" s="79"/>
      <c r="P13" s="79"/>
      <c r="Q13" s="139">
        <f t="shared" si="0"/>
        <v>97.35</v>
      </c>
      <c r="R13" s="144" t="str">
        <f t="shared" si="1"/>
        <v>NO</v>
      </c>
      <c r="S13" s="145" t="str">
        <f t="shared" si="2"/>
        <v>Inviable Sanitariamente</v>
      </c>
    </row>
    <row r="14" spans="1:23" s="167" customFormat="1" ht="32.1" customHeight="1">
      <c r="A14" s="419" t="s">
        <v>207</v>
      </c>
      <c r="B14" s="110" t="s">
        <v>0</v>
      </c>
      <c r="C14" s="502" t="s">
        <v>423</v>
      </c>
      <c r="D14" s="119">
        <v>40</v>
      </c>
      <c r="E14" s="79"/>
      <c r="F14" s="79"/>
      <c r="G14" s="79"/>
      <c r="H14" s="79"/>
      <c r="I14" s="79"/>
      <c r="J14" s="79">
        <v>97.34</v>
      </c>
      <c r="K14" s="79"/>
      <c r="L14" s="79"/>
      <c r="M14" s="79"/>
      <c r="N14" s="79"/>
      <c r="O14" s="79"/>
      <c r="P14" s="79"/>
      <c r="Q14" s="139">
        <f t="shared" si="0"/>
        <v>97.34</v>
      </c>
      <c r="R14" s="144" t="str">
        <f t="shared" si="1"/>
        <v>NO</v>
      </c>
      <c r="S14" s="145" t="str">
        <f t="shared" si="2"/>
        <v>Inviable Sanitariamente</v>
      </c>
    </row>
    <row r="15" spans="1:23" s="167" customFormat="1" ht="32.1" customHeight="1">
      <c r="A15" s="419" t="s">
        <v>207</v>
      </c>
      <c r="B15" s="110" t="s">
        <v>551</v>
      </c>
      <c r="C15" s="503" t="s">
        <v>552</v>
      </c>
      <c r="D15" s="119"/>
      <c r="E15" s="79"/>
      <c r="F15" s="79"/>
      <c r="G15" s="79"/>
      <c r="H15" s="79"/>
      <c r="I15" s="79"/>
      <c r="J15" s="79"/>
      <c r="K15" s="79"/>
      <c r="L15" s="79"/>
      <c r="M15" s="79"/>
      <c r="N15" s="79"/>
      <c r="O15" s="79"/>
      <c r="P15" s="79"/>
      <c r="Q15" s="139" t="e">
        <f t="shared" si="0"/>
        <v>#DIV/0!</v>
      </c>
      <c r="R15" s="144" t="e">
        <f t="shared" si="1"/>
        <v>#DIV/0!</v>
      </c>
      <c r="S15" s="145" t="e">
        <f t="shared" si="2"/>
        <v>#DIV/0!</v>
      </c>
    </row>
    <row r="16" spans="1:23" s="167" customFormat="1" ht="32.1" customHeight="1">
      <c r="A16" s="419" t="s">
        <v>207</v>
      </c>
      <c r="B16" s="110" t="s">
        <v>2</v>
      </c>
      <c r="C16" s="502" t="s">
        <v>412</v>
      </c>
      <c r="D16" s="119">
        <v>27</v>
      </c>
      <c r="E16" s="79"/>
      <c r="F16" s="79"/>
      <c r="G16" s="79"/>
      <c r="H16" s="79"/>
      <c r="I16" s="79"/>
      <c r="J16" s="79"/>
      <c r="K16" s="79"/>
      <c r="L16" s="79"/>
      <c r="M16" s="79">
        <v>97.35</v>
      </c>
      <c r="N16" s="79"/>
      <c r="O16" s="79"/>
      <c r="P16" s="79"/>
      <c r="Q16" s="139">
        <f t="shared" si="0"/>
        <v>97.35</v>
      </c>
      <c r="R16" s="144" t="str">
        <f t="shared" si="1"/>
        <v>NO</v>
      </c>
      <c r="S16" s="145" t="str">
        <f t="shared" si="2"/>
        <v>Inviable Sanitariamente</v>
      </c>
    </row>
    <row r="17" spans="1:19" s="167" customFormat="1" ht="32.1" customHeight="1">
      <c r="A17" s="419" t="s">
        <v>207</v>
      </c>
      <c r="B17" s="110" t="s">
        <v>484</v>
      </c>
      <c r="C17" s="502" t="s">
        <v>425</v>
      </c>
      <c r="D17" s="119"/>
      <c r="E17" s="79"/>
      <c r="F17" s="79"/>
      <c r="G17" s="79"/>
      <c r="H17" s="79"/>
      <c r="I17" s="79"/>
      <c r="J17" s="79"/>
      <c r="K17" s="79"/>
      <c r="L17" s="79"/>
      <c r="M17" s="79"/>
      <c r="N17" s="79"/>
      <c r="O17" s="79"/>
      <c r="P17" s="79"/>
      <c r="Q17" s="139" t="e">
        <f t="shared" si="0"/>
        <v>#DIV/0!</v>
      </c>
      <c r="R17" s="144" t="e">
        <f t="shared" si="1"/>
        <v>#DIV/0!</v>
      </c>
      <c r="S17" s="145" t="e">
        <f t="shared" si="2"/>
        <v>#DIV/0!</v>
      </c>
    </row>
    <row r="18" spans="1:19" s="167" customFormat="1" ht="32.1" customHeight="1">
      <c r="A18" s="419" t="s">
        <v>207</v>
      </c>
      <c r="B18" s="110" t="s">
        <v>485</v>
      </c>
      <c r="C18" s="502" t="s">
        <v>426</v>
      </c>
      <c r="D18" s="119"/>
      <c r="E18" s="79"/>
      <c r="F18" s="79"/>
      <c r="G18" s="79"/>
      <c r="H18" s="79"/>
      <c r="I18" s="79"/>
      <c r="J18" s="79"/>
      <c r="K18" s="79"/>
      <c r="L18" s="79"/>
      <c r="M18" s="79"/>
      <c r="N18" s="79"/>
      <c r="O18" s="79"/>
      <c r="P18" s="79"/>
      <c r="Q18" s="139" t="e">
        <f t="shared" si="0"/>
        <v>#DIV/0!</v>
      </c>
      <c r="R18" s="144" t="e">
        <f t="shared" si="1"/>
        <v>#DIV/0!</v>
      </c>
      <c r="S18" s="145" t="e">
        <f t="shared" si="2"/>
        <v>#DIV/0!</v>
      </c>
    </row>
    <row r="19" spans="1:19" s="167" customFormat="1" ht="32.1" customHeight="1">
      <c r="A19" s="419" t="s">
        <v>207</v>
      </c>
      <c r="B19" s="110" t="s">
        <v>239</v>
      </c>
      <c r="C19" s="502" t="s">
        <v>553</v>
      </c>
      <c r="D19" s="156">
        <v>26</v>
      </c>
      <c r="E19" s="79"/>
      <c r="F19" s="79"/>
      <c r="G19" s="79"/>
      <c r="H19" s="79"/>
      <c r="I19" s="79"/>
      <c r="J19" s="79"/>
      <c r="K19" s="79">
        <v>97.35</v>
      </c>
      <c r="L19" s="79"/>
      <c r="M19" s="79"/>
      <c r="N19" s="79"/>
      <c r="O19" s="79"/>
      <c r="P19" s="79"/>
      <c r="Q19" s="139">
        <f t="shared" si="0"/>
        <v>97.35</v>
      </c>
      <c r="R19" s="144" t="str">
        <f t="shared" si="1"/>
        <v>NO</v>
      </c>
      <c r="S19" s="145" t="str">
        <f t="shared" si="2"/>
        <v>Inviable Sanitariamente</v>
      </c>
    </row>
    <row r="20" spans="1:19" s="167" customFormat="1" ht="32.1" customHeight="1">
      <c r="A20" s="419" t="s">
        <v>207</v>
      </c>
      <c r="B20" s="110" t="s">
        <v>48</v>
      </c>
      <c r="C20" s="502" t="s">
        <v>428</v>
      </c>
      <c r="D20" s="119">
        <v>46</v>
      </c>
      <c r="E20" s="79"/>
      <c r="F20" s="79"/>
      <c r="G20" s="79"/>
      <c r="H20" s="79"/>
      <c r="I20" s="79"/>
      <c r="J20" s="79"/>
      <c r="K20" s="79"/>
      <c r="L20" s="79"/>
      <c r="M20" s="79">
        <v>97.35</v>
      </c>
      <c r="N20" s="79"/>
      <c r="O20" s="79"/>
      <c r="P20" s="79"/>
      <c r="Q20" s="139">
        <f t="shared" si="0"/>
        <v>97.35</v>
      </c>
      <c r="R20" s="144" t="str">
        <f t="shared" si="1"/>
        <v>NO</v>
      </c>
      <c r="S20" s="145" t="str">
        <f t="shared" si="2"/>
        <v>Inviable Sanitariamente</v>
      </c>
    </row>
    <row r="21" spans="1:19" s="167" customFormat="1" ht="32.1" customHeight="1">
      <c r="A21" s="419" t="s">
        <v>207</v>
      </c>
      <c r="B21" s="110" t="s">
        <v>554</v>
      </c>
      <c r="C21" s="502" t="s">
        <v>429</v>
      </c>
      <c r="D21" s="119">
        <v>110</v>
      </c>
      <c r="E21" s="79"/>
      <c r="F21" s="79"/>
      <c r="G21" s="79"/>
      <c r="H21" s="79"/>
      <c r="I21" s="79"/>
      <c r="J21" s="79"/>
      <c r="K21" s="79"/>
      <c r="L21" s="79"/>
      <c r="M21" s="79"/>
      <c r="N21" s="79"/>
      <c r="O21" s="79">
        <v>97.35</v>
      </c>
      <c r="P21" s="79"/>
      <c r="Q21" s="139">
        <f t="shared" si="0"/>
        <v>97.35</v>
      </c>
      <c r="R21" s="144" t="str">
        <f t="shared" si="1"/>
        <v>NO</v>
      </c>
      <c r="S21" s="145" t="str">
        <f t="shared" si="2"/>
        <v>Inviable Sanitariamente</v>
      </c>
    </row>
    <row r="22" spans="1:19" s="167" customFormat="1" ht="32.1" customHeight="1">
      <c r="A22" s="419" t="s">
        <v>207</v>
      </c>
      <c r="B22" s="110" t="s">
        <v>486</v>
      </c>
      <c r="C22" s="502" t="s">
        <v>430</v>
      </c>
      <c r="D22" s="114">
        <v>57</v>
      </c>
      <c r="E22" s="79"/>
      <c r="F22" s="79"/>
      <c r="G22" s="79"/>
      <c r="H22" s="79"/>
      <c r="I22" s="79"/>
      <c r="J22" s="79"/>
      <c r="K22" s="79"/>
      <c r="L22" s="79"/>
      <c r="M22" s="79"/>
      <c r="N22" s="79"/>
      <c r="O22" s="79">
        <v>97.35</v>
      </c>
      <c r="P22" s="79"/>
      <c r="Q22" s="139">
        <f t="shared" si="0"/>
        <v>97.35</v>
      </c>
      <c r="R22" s="144" t="str">
        <f t="shared" si="1"/>
        <v>NO</v>
      </c>
      <c r="S22" s="145" t="str">
        <f t="shared" si="2"/>
        <v>Inviable Sanitariamente</v>
      </c>
    </row>
    <row r="23" spans="1:19" s="167" customFormat="1" ht="32.1" customHeight="1">
      <c r="A23" s="419" t="s">
        <v>207</v>
      </c>
      <c r="B23" s="110" t="s">
        <v>555</v>
      </c>
      <c r="C23" s="502" t="s">
        <v>556</v>
      </c>
      <c r="D23" s="119">
        <v>60</v>
      </c>
      <c r="E23" s="79"/>
      <c r="F23" s="79"/>
      <c r="G23" s="79"/>
      <c r="H23" s="79"/>
      <c r="I23" s="79">
        <v>100</v>
      </c>
      <c r="J23" s="79"/>
      <c r="K23" s="79"/>
      <c r="L23" s="79"/>
      <c r="M23" s="79"/>
      <c r="N23" s="79"/>
      <c r="O23" s="79"/>
      <c r="P23" s="79"/>
      <c r="Q23" s="139">
        <f t="shared" si="0"/>
        <v>100</v>
      </c>
      <c r="R23" s="144" t="str">
        <f t="shared" si="1"/>
        <v>NO</v>
      </c>
      <c r="S23" s="145" t="str">
        <f t="shared" si="2"/>
        <v>Inviable Sanitariamente</v>
      </c>
    </row>
    <row r="24" spans="1:19" s="167" customFormat="1" ht="32.1" customHeight="1">
      <c r="A24" s="419" t="s">
        <v>207</v>
      </c>
      <c r="B24" s="110" t="s">
        <v>557</v>
      </c>
      <c r="C24" s="502" t="s">
        <v>441</v>
      </c>
      <c r="D24" s="119">
        <v>23</v>
      </c>
      <c r="E24" s="79"/>
      <c r="F24" s="79"/>
      <c r="G24" s="79"/>
      <c r="H24" s="79"/>
      <c r="I24" s="79">
        <v>97.35</v>
      </c>
      <c r="J24" s="79"/>
      <c r="K24" s="79"/>
      <c r="L24" s="79"/>
      <c r="M24" s="79">
        <v>97.35</v>
      </c>
      <c r="N24" s="79"/>
      <c r="O24" s="79"/>
      <c r="P24" s="79"/>
      <c r="Q24" s="139">
        <f t="shared" si="0"/>
        <v>97.35</v>
      </c>
      <c r="R24" s="144" t="str">
        <f t="shared" si="1"/>
        <v>NO</v>
      </c>
      <c r="S24" s="145" t="str">
        <f t="shared" si="2"/>
        <v>Inviable Sanitariamente</v>
      </c>
    </row>
    <row r="25" spans="1:19" s="167" customFormat="1" ht="32.1" customHeight="1">
      <c r="A25" s="419" t="s">
        <v>207</v>
      </c>
      <c r="B25" s="110" t="s">
        <v>558</v>
      </c>
      <c r="C25" s="502" t="s">
        <v>427</v>
      </c>
      <c r="D25" s="114"/>
      <c r="E25" s="79"/>
      <c r="F25" s="79"/>
      <c r="G25" s="79"/>
      <c r="H25" s="79"/>
      <c r="I25" s="79"/>
      <c r="J25" s="79"/>
      <c r="K25" s="79"/>
      <c r="L25" s="79"/>
      <c r="M25" s="79"/>
      <c r="N25" s="79"/>
      <c r="O25" s="79"/>
      <c r="P25" s="79"/>
      <c r="Q25" s="139" t="e">
        <f t="shared" si="0"/>
        <v>#DIV/0!</v>
      </c>
      <c r="R25" s="144" t="e">
        <f t="shared" si="1"/>
        <v>#DIV/0!</v>
      </c>
      <c r="S25" s="145" t="e">
        <f t="shared" si="2"/>
        <v>#DIV/0!</v>
      </c>
    </row>
    <row r="26" spans="1:19" s="167" customFormat="1" ht="32.1" customHeight="1">
      <c r="A26" s="419" t="s">
        <v>207</v>
      </c>
      <c r="B26" s="110" t="s">
        <v>6</v>
      </c>
      <c r="C26" s="502" t="s">
        <v>431</v>
      </c>
      <c r="D26" s="119">
        <v>44</v>
      </c>
      <c r="E26" s="79">
        <v>97.35</v>
      </c>
      <c r="F26" s="79">
        <v>26.55</v>
      </c>
      <c r="G26" s="79"/>
      <c r="H26" s="79"/>
      <c r="I26" s="79">
        <v>97.35</v>
      </c>
      <c r="J26" s="79"/>
      <c r="K26" s="79"/>
      <c r="L26" s="79">
        <v>97.35</v>
      </c>
      <c r="M26" s="79">
        <v>0</v>
      </c>
      <c r="N26" s="79"/>
      <c r="O26" s="79"/>
      <c r="P26" s="79"/>
      <c r="Q26" s="139">
        <f t="shared" si="0"/>
        <v>63.720000000000006</v>
      </c>
      <c r="R26" s="144" t="str">
        <f t="shared" si="1"/>
        <v>NO</v>
      </c>
      <c r="S26" s="145" t="str">
        <f t="shared" si="2"/>
        <v>Alto</v>
      </c>
    </row>
    <row r="27" spans="1:19" s="167" customFormat="1" ht="32.1" customHeight="1">
      <c r="A27" s="419" t="s">
        <v>207</v>
      </c>
      <c r="B27" s="110" t="s">
        <v>559</v>
      </c>
      <c r="C27" s="502" t="s">
        <v>432</v>
      </c>
      <c r="D27" s="119">
        <v>17</v>
      </c>
      <c r="E27" s="79">
        <v>97.35</v>
      </c>
      <c r="F27" s="79">
        <v>97.35</v>
      </c>
      <c r="G27" s="79"/>
      <c r="H27" s="79"/>
      <c r="I27" s="79"/>
      <c r="J27" s="79"/>
      <c r="K27" s="79"/>
      <c r="L27" s="79">
        <v>97.35</v>
      </c>
      <c r="M27" s="79">
        <v>26.55</v>
      </c>
      <c r="N27" s="79"/>
      <c r="O27" s="79"/>
      <c r="P27" s="79"/>
      <c r="Q27" s="139">
        <f t="shared" si="0"/>
        <v>79.649999999999991</v>
      </c>
      <c r="R27" s="144" t="str">
        <f t="shared" si="1"/>
        <v>NO</v>
      </c>
      <c r="S27" s="145" t="str">
        <f t="shared" si="2"/>
        <v>Alto</v>
      </c>
    </row>
    <row r="28" spans="1:19" s="167" customFormat="1" ht="32.1" customHeight="1">
      <c r="A28" s="419" t="s">
        <v>207</v>
      </c>
      <c r="B28" s="110" t="s">
        <v>478</v>
      </c>
      <c r="C28" s="502" t="s">
        <v>433</v>
      </c>
      <c r="D28" s="119">
        <v>42</v>
      </c>
      <c r="E28" s="79"/>
      <c r="F28" s="79"/>
      <c r="G28" s="79"/>
      <c r="H28" s="79"/>
      <c r="I28" s="79">
        <v>97.35</v>
      </c>
      <c r="J28" s="79"/>
      <c r="K28" s="79"/>
      <c r="L28" s="79"/>
      <c r="M28" s="79">
        <v>26.55</v>
      </c>
      <c r="N28" s="79"/>
      <c r="O28" s="79"/>
      <c r="P28" s="79"/>
      <c r="Q28" s="139">
        <f t="shared" si="0"/>
        <v>61.949999999999996</v>
      </c>
      <c r="R28" s="144" t="str">
        <f t="shared" si="1"/>
        <v>NO</v>
      </c>
      <c r="S28" s="145" t="str">
        <f t="shared" si="2"/>
        <v>Alto</v>
      </c>
    </row>
    <row r="29" spans="1:19" s="167" customFormat="1" ht="32.1" customHeight="1">
      <c r="A29" s="419" t="s">
        <v>207</v>
      </c>
      <c r="B29" s="110" t="s">
        <v>487</v>
      </c>
      <c r="C29" s="502" t="s">
        <v>560</v>
      </c>
      <c r="D29" s="119">
        <v>41</v>
      </c>
      <c r="E29" s="79">
        <v>97.35</v>
      </c>
      <c r="F29" s="79"/>
      <c r="G29" s="79"/>
      <c r="H29" s="79"/>
      <c r="I29" s="79"/>
      <c r="J29" s="79"/>
      <c r="K29" s="79"/>
      <c r="L29" s="79">
        <v>97.35</v>
      </c>
      <c r="M29" s="79">
        <v>0</v>
      </c>
      <c r="N29" s="79"/>
      <c r="O29" s="79"/>
      <c r="P29" s="79"/>
      <c r="Q29" s="139">
        <f t="shared" si="0"/>
        <v>64.899999999999991</v>
      </c>
      <c r="R29" s="144" t="str">
        <f t="shared" si="1"/>
        <v>NO</v>
      </c>
      <c r="S29" s="145" t="str">
        <f t="shared" si="2"/>
        <v>Alto</v>
      </c>
    </row>
    <row r="30" spans="1:19" s="167" customFormat="1" ht="32.1" customHeight="1">
      <c r="A30" s="419" t="s">
        <v>207</v>
      </c>
      <c r="B30" s="110" t="s">
        <v>488</v>
      </c>
      <c r="C30" s="502" t="s">
        <v>434</v>
      </c>
      <c r="D30" s="119"/>
      <c r="E30" s="79"/>
      <c r="F30" s="79"/>
      <c r="G30" s="79"/>
      <c r="H30" s="79"/>
      <c r="I30" s="79"/>
      <c r="J30" s="79"/>
      <c r="K30" s="79"/>
      <c r="L30" s="79"/>
      <c r="M30" s="79"/>
      <c r="N30" s="79"/>
      <c r="O30" s="79"/>
      <c r="P30" s="79"/>
      <c r="Q30" s="139" t="e">
        <f t="shared" si="0"/>
        <v>#DIV/0!</v>
      </c>
      <c r="R30" s="144" t="e">
        <f t="shared" si="1"/>
        <v>#DIV/0!</v>
      </c>
      <c r="S30" s="145" t="e">
        <f t="shared" si="2"/>
        <v>#DIV/0!</v>
      </c>
    </row>
    <row r="31" spans="1:19" s="167" customFormat="1" ht="32.1" customHeight="1">
      <c r="A31" s="419" t="s">
        <v>207</v>
      </c>
      <c r="B31" s="110" t="s">
        <v>561</v>
      </c>
      <c r="C31" s="502" t="s">
        <v>435</v>
      </c>
      <c r="D31" s="119">
        <v>28</v>
      </c>
      <c r="E31" s="79"/>
      <c r="F31" s="79"/>
      <c r="G31" s="79"/>
      <c r="H31" s="79"/>
      <c r="I31" s="79"/>
      <c r="J31" s="79"/>
      <c r="K31" s="79"/>
      <c r="L31" s="79"/>
      <c r="M31" s="79">
        <v>97.35</v>
      </c>
      <c r="N31" s="79"/>
      <c r="O31" s="79"/>
      <c r="P31" s="79"/>
      <c r="Q31" s="139">
        <f t="shared" si="0"/>
        <v>97.35</v>
      </c>
      <c r="R31" s="144" t="str">
        <f t="shared" si="1"/>
        <v>NO</v>
      </c>
      <c r="S31" s="145" t="str">
        <f t="shared" si="2"/>
        <v>Inviable Sanitariamente</v>
      </c>
    </row>
    <row r="32" spans="1:19" s="167" customFormat="1" ht="32.1" customHeight="1">
      <c r="A32" s="419" t="s">
        <v>207</v>
      </c>
      <c r="B32" s="110" t="s">
        <v>16</v>
      </c>
      <c r="C32" s="502" t="s">
        <v>436</v>
      </c>
      <c r="D32" s="119">
        <v>36</v>
      </c>
      <c r="E32" s="79"/>
      <c r="F32" s="79"/>
      <c r="G32" s="79">
        <v>97.4</v>
      </c>
      <c r="H32" s="79"/>
      <c r="I32" s="79"/>
      <c r="J32" s="79"/>
      <c r="K32" s="79"/>
      <c r="L32" s="79"/>
      <c r="M32" s="79"/>
      <c r="N32" s="79"/>
      <c r="O32" s="79"/>
      <c r="P32" s="79"/>
      <c r="Q32" s="139">
        <f t="shared" si="0"/>
        <v>97.4</v>
      </c>
      <c r="R32" s="144" t="str">
        <f t="shared" si="1"/>
        <v>NO</v>
      </c>
      <c r="S32" s="145" t="str">
        <f t="shared" si="2"/>
        <v>Inviable Sanitariamente</v>
      </c>
    </row>
    <row r="33" spans="1:19" s="167" customFormat="1" ht="32.1" customHeight="1">
      <c r="A33" s="419" t="s">
        <v>207</v>
      </c>
      <c r="B33" s="110" t="s">
        <v>562</v>
      </c>
      <c r="C33" s="502" t="s">
        <v>437</v>
      </c>
      <c r="D33" s="119">
        <v>54</v>
      </c>
      <c r="E33" s="79"/>
      <c r="F33" s="79"/>
      <c r="G33" s="79">
        <v>61.95</v>
      </c>
      <c r="H33" s="79"/>
      <c r="I33" s="79"/>
      <c r="J33" s="79"/>
      <c r="K33" s="79"/>
      <c r="L33" s="79"/>
      <c r="M33" s="79"/>
      <c r="N33" s="79"/>
      <c r="O33" s="79"/>
      <c r="P33" s="79"/>
      <c r="Q33" s="139">
        <f t="shared" si="0"/>
        <v>61.95</v>
      </c>
      <c r="R33" s="144" t="str">
        <f t="shared" si="1"/>
        <v>NO</v>
      </c>
      <c r="S33" s="145" t="str">
        <f t="shared" si="2"/>
        <v>Alto</v>
      </c>
    </row>
    <row r="34" spans="1:19" s="167" customFormat="1" ht="32.1" customHeight="1">
      <c r="A34" s="419" t="s">
        <v>207</v>
      </c>
      <c r="B34" s="110" t="s">
        <v>489</v>
      </c>
      <c r="C34" s="502" t="s">
        <v>438</v>
      </c>
      <c r="D34" s="119">
        <v>127</v>
      </c>
      <c r="E34" s="79"/>
      <c r="F34" s="79">
        <v>97.35</v>
      </c>
      <c r="G34" s="79"/>
      <c r="H34" s="79"/>
      <c r="I34" s="79"/>
      <c r="J34" s="79"/>
      <c r="K34" s="79"/>
      <c r="L34" s="79"/>
      <c r="M34" s="79"/>
      <c r="N34" s="79"/>
      <c r="O34" s="79">
        <v>97.35</v>
      </c>
      <c r="P34" s="79"/>
      <c r="Q34" s="139">
        <f t="shared" si="0"/>
        <v>97.35</v>
      </c>
      <c r="R34" s="144" t="str">
        <f t="shared" si="1"/>
        <v>NO</v>
      </c>
      <c r="S34" s="145" t="str">
        <f t="shared" si="2"/>
        <v>Inviable Sanitariamente</v>
      </c>
    </row>
    <row r="35" spans="1:19" s="167" customFormat="1" ht="32.1" customHeight="1">
      <c r="A35" s="419" t="s">
        <v>207</v>
      </c>
      <c r="B35" s="110" t="s">
        <v>499</v>
      </c>
      <c r="C35" s="502" t="s">
        <v>452</v>
      </c>
      <c r="D35" s="119">
        <v>24</v>
      </c>
      <c r="E35" s="79"/>
      <c r="F35" s="79"/>
      <c r="G35" s="79"/>
      <c r="H35" s="79"/>
      <c r="I35" s="79"/>
      <c r="J35" s="79"/>
      <c r="K35" s="79"/>
      <c r="L35" s="79"/>
      <c r="M35" s="79"/>
      <c r="N35" s="79"/>
      <c r="O35" s="79">
        <v>97.35</v>
      </c>
      <c r="P35" s="79"/>
      <c r="Q35" s="139">
        <f t="shared" si="0"/>
        <v>97.35</v>
      </c>
      <c r="R35" s="144" t="str">
        <f t="shared" si="1"/>
        <v>NO</v>
      </c>
      <c r="S35" s="145" t="str">
        <f t="shared" si="2"/>
        <v>Inviable Sanitariamente</v>
      </c>
    </row>
    <row r="36" spans="1:19" s="167" customFormat="1" ht="32.1" customHeight="1">
      <c r="A36" s="419" t="s">
        <v>207</v>
      </c>
      <c r="B36" s="110" t="s">
        <v>563</v>
      </c>
      <c r="C36" s="502" t="s">
        <v>496</v>
      </c>
      <c r="D36" s="119">
        <v>6</v>
      </c>
      <c r="E36" s="79"/>
      <c r="F36" s="79"/>
      <c r="G36" s="79"/>
      <c r="H36" s="79"/>
      <c r="I36" s="79"/>
      <c r="J36" s="79"/>
      <c r="K36" s="79">
        <v>97.35</v>
      </c>
      <c r="L36" s="79"/>
      <c r="M36" s="79"/>
      <c r="N36" s="79"/>
      <c r="O36" s="79"/>
      <c r="P36" s="79"/>
      <c r="Q36" s="139">
        <f t="shared" si="0"/>
        <v>97.35</v>
      </c>
      <c r="R36" s="144" t="str">
        <f t="shared" si="1"/>
        <v>NO</v>
      </c>
      <c r="S36" s="145" t="str">
        <f t="shared" si="2"/>
        <v>Inviable Sanitariamente</v>
      </c>
    </row>
    <row r="37" spans="1:19" s="167" customFormat="1" ht="32.1" customHeight="1">
      <c r="A37" s="419" t="s">
        <v>207</v>
      </c>
      <c r="B37" s="110" t="s">
        <v>564</v>
      </c>
      <c r="C37" s="502" t="s">
        <v>490</v>
      </c>
      <c r="D37" s="119">
        <v>128</v>
      </c>
      <c r="E37" s="79"/>
      <c r="F37" s="79"/>
      <c r="G37" s="79"/>
      <c r="H37" s="79"/>
      <c r="I37" s="79"/>
      <c r="J37" s="79"/>
      <c r="K37" s="79">
        <v>97.35</v>
      </c>
      <c r="L37" s="79"/>
      <c r="M37" s="79"/>
      <c r="N37" s="79"/>
      <c r="O37" s="79"/>
      <c r="P37" s="79"/>
      <c r="Q37" s="139">
        <f t="shared" si="0"/>
        <v>97.35</v>
      </c>
      <c r="R37" s="144" t="str">
        <f t="shared" si="1"/>
        <v>NO</v>
      </c>
      <c r="S37" s="145" t="str">
        <f t="shared" si="2"/>
        <v>Inviable Sanitariamente</v>
      </c>
    </row>
    <row r="38" spans="1:19" s="167" customFormat="1" ht="32.1" customHeight="1">
      <c r="A38" s="419" t="s">
        <v>207</v>
      </c>
      <c r="B38" s="110" t="s">
        <v>491</v>
      </c>
      <c r="C38" s="502" t="s">
        <v>439</v>
      </c>
      <c r="D38" s="119">
        <v>19</v>
      </c>
      <c r="E38" s="79"/>
      <c r="F38" s="79"/>
      <c r="G38" s="79"/>
      <c r="H38" s="79"/>
      <c r="I38" s="79"/>
      <c r="J38" s="79"/>
      <c r="K38" s="79"/>
      <c r="L38" s="79"/>
      <c r="M38" s="79"/>
      <c r="N38" s="79">
        <v>97.35</v>
      </c>
      <c r="O38" s="79"/>
      <c r="P38" s="79"/>
      <c r="Q38" s="139">
        <f t="shared" si="0"/>
        <v>97.35</v>
      </c>
      <c r="R38" s="144" t="str">
        <f t="shared" si="1"/>
        <v>NO</v>
      </c>
      <c r="S38" s="145" t="str">
        <f t="shared" si="2"/>
        <v>Inviable Sanitariamente</v>
      </c>
    </row>
    <row r="39" spans="1:19" s="167" customFormat="1" ht="32.1" customHeight="1">
      <c r="A39" s="419" t="s">
        <v>207</v>
      </c>
      <c r="B39" s="110" t="s">
        <v>492</v>
      </c>
      <c r="C39" s="502" t="s">
        <v>440</v>
      </c>
      <c r="D39" s="119">
        <v>8</v>
      </c>
      <c r="E39" s="79"/>
      <c r="F39" s="79">
        <v>97.35</v>
      </c>
      <c r="G39" s="79"/>
      <c r="H39" s="79"/>
      <c r="I39" s="79"/>
      <c r="J39" s="79"/>
      <c r="K39" s="79"/>
      <c r="L39" s="79"/>
      <c r="M39" s="79"/>
      <c r="N39" s="79"/>
      <c r="O39" s="79">
        <v>97.35</v>
      </c>
      <c r="P39" s="79"/>
      <c r="Q39" s="139">
        <f t="shared" si="0"/>
        <v>97.35</v>
      </c>
      <c r="R39" s="144" t="str">
        <f t="shared" si="1"/>
        <v>NO</v>
      </c>
      <c r="S39" s="145" t="str">
        <f t="shared" si="2"/>
        <v>Inviable Sanitariamente</v>
      </c>
    </row>
    <row r="40" spans="1:19" s="167" customFormat="1" ht="32.1" customHeight="1">
      <c r="A40" s="419" t="s">
        <v>207</v>
      </c>
      <c r="B40" s="110" t="s">
        <v>494</v>
      </c>
      <c r="C40" s="502" t="s">
        <v>442</v>
      </c>
      <c r="D40" s="119"/>
      <c r="E40" s="79"/>
      <c r="F40" s="79"/>
      <c r="G40" s="79"/>
      <c r="H40" s="79"/>
      <c r="I40" s="79"/>
      <c r="J40" s="79"/>
      <c r="K40" s="79"/>
      <c r="L40" s="79"/>
      <c r="M40" s="79"/>
      <c r="N40" s="79"/>
      <c r="O40" s="79"/>
      <c r="P40" s="79"/>
      <c r="Q40" s="139" t="e">
        <f t="shared" si="0"/>
        <v>#DIV/0!</v>
      </c>
      <c r="R40" s="144" t="e">
        <f t="shared" si="1"/>
        <v>#DIV/0!</v>
      </c>
      <c r="S40" s="145" t="e">
        <f t="shared" si="2"/>
        <v>#DIV/0!</v>
      </c>
    </row>
    <row r="41" spans="1:19" s="167" customFormat="1" ht="32.1" customHeight="1">
      <c r="A41" s="419" t="s">
        <v>207</v>
      </c>
      <c r="B41" s="110" t="s">
        <v>495</v>
      </c>
      <c r="C41" s="502" t="s">
        <v>443</v>
      </c>
      <c r="D41" s="119">
        <v>37</v>
      </c>
      <c r="E41" s="79"/>
      <c r="F41" s="79"/>
      <c r="G41" s="79"/>
      <c r="H41" s="79"/>
      <c r="I41" s="79"/>
      <c r="J41" s="79"/>
      <c r="K41" s="79"/>
      <c r="L41" s="79"/>
      <c r="M41" s="79"/>
      <c r="N41" s="79"/>
      <c r="O41" s="79">
        <v>97.35</v>
      </c>
      <c r="P41" s="79"/>
      <c r="Q41" s="139">
        <f t="shared" si="0"/>
        <v>97.35</v>
      </c>
      <c r="R41" s="144" t="str">
        <f t="shared" si="1"/>
        <v>NO</v>
      </c>
      <c r="S41" s="145" t="str">
        <f t="shared" si="2"/>
        <v>Inviable Sanitariamente</v>
      </c>
    </row>
    <row r="42" spans="1:19" s="167" customFormat="1" ht="32.1" customHeight="1">
      <c r="A42" s="419" t="s">
        <v>207</v>
      </c>
      <c r="B42" s="110" t="s">
        <v>1</v>
      </c>
      <c r="C42" s="502" t="s">
        <v>565</v>
      </c>
      <c r="D42" s="114">
        <v>50</v>
      </c>
      <c r="E42" s="79"/>
      <c r="F42" s="79">
        <v>97.35</v>
      </c>
      <c r="G42" s="79"/>
      <c r="H42" s="79"/>
      <c r="I42" s="79"/>
      <c r="J42" s="79"/>
      <c r="K42" s="79"/>
      <c r="L42" s="79"/>
      <c r="M42" s="79"/>
      <c r="N42" s="79"/>
      <c r="O42" s="79">
        <v>97.35</v>
      </c>
      <c r="P42" s="79"/>
      <c r="Q42" s="139">
        <f t="shared" si="0"/>
        <v>97.35</v>
      </c>
      <c r="R42" s="144" t="str">
        <f t="shared" si="1"/>
        <v>NO</v>
      </c>
      <c r="S42" s="145" t="str">
        <f t="shared" si="2"/>
        <v>Inviable Sanitariamente</v>
      </c>
    </row>
    <row r="43" spans="1:19" s="167" customFormat="1" ht="32.1" customHeight="1">
      <c r="A43" s="419" t="s">
        <v>207</v>
      </c>
      <c r="B43" s="110" t="s">
        <v>566</v>
      </c>
      <c r="C43" s="502" t="s">
        <v>445</v>
      </c>
      <c r="D43" s="119"/>
      <c r="E43" s="79"/>
      <c r="F43" s="79"/>
      <c r="G43" s="79"/>
      <c r="H43" s="79"/>
      <c r="I43" s="79"/>
      <c r="J43" s="79"/>
      <c r="K43" s="79"/>
      <c r="L43" s="79"/>
      <c r="M43" s="79"/>
      <c r="N43" s="79"/>
      <c r="O43" s="79"/>
      <c r="P43" s="79"/>
      <c r="Q43" s="139" t="e">
        <f t="shared" si="0"/>
        <v>#DIV/0!</v>
      </c>
      <c r="R43" s="144" t="e">
        <f t="shared" si="1"/>
        <v>#DIV/0!</v>
      </c>
      <c r="S43" s="145" t="e">
        <f t="shared" si="2"/>
        <v>#DIV/0!</v>
      </c>
    </row>
    <row r="44" spans="1:19" s="167" customFormat="1" ht="32.1" customHeight="1">
      <c r="A44" s="419" t="s">
        <v>207</v>
      </c>
      <c r="B44" s="110" t="s">
        <v>236</v>
      </c>
      <c r="C44" s="502" t="s">
        <v>447</v>
      </c>
      <c r="D44" s="119">
        <v>27</v>
      </c>
      <c r="E44" s="79"/>
      <c r="F44" s="79"/>
      <c r="G44" s="79"/>
      <c r="H44" s="79"/>
      <c r="I44" s="79"/>
      <c r="J44" s="79"/>
      <c r="K44" s="79"/>
      <c r="L44" s="79"/>
      <c r="M44" s="79"/>
      <c r="N44" s="79"/>
      <c r="O44" s="79">
        <v>97.35</v>
      </c>
      <c r="P44" s="79"/>
      <c r="Q44" s="139">
        <f t="shared" si="0"/>
        <v>97.35</v>
      </c>
      <c r="R44" s="144" t="str">
        <f t="shared" si="1"/>
        <v>NO</v>
      </c>
      <c r="S44" s="145" t="str">
        <f t="shared" ref="S44:S61" si="3">IF(Q44&lt;=5,"Sin Riesgo",IF(Q44 &lt;=14,"Bajo",IF(Q44&lt;=35,"Medio",IF(Q44&lt;=80,"Alto","Inviable Sanitariamente"))))</f>
        <v>Inviable Sanitariamente</v>
      </c>
    </row>
    <row r="45" spans="1:19" s="167" customFormat="1" ht="32.1" customHeight="1">
      <c r="A45" s="419" t="s">
        <v>207</v>
      </c>
      <c r="B45" s="110" t="s">
        <v>55</v>
      </c>
      <c r="C45" s="502" t="s">
        <v>448</v>
      </c>
      <c r="D45" s="119">
        <v>35</v>
      </c>
      <c r="E45" s="79"/>
      <c r="F45" s="79"/>
      <c r="G45" s="79"/>
      <c r="H45" s="79"/>
      <c r="I45" s="79"/>
      <c r="J45" s="79"/>
      <c r="K45" s="79"/>
      <c r="L45" s="79"/>
      <c r="M45" s="79"/>
      <c r="N45" s="79"/>
      <c r="O45" s="79">
        <v>97.35</v>
      </c>
      <c r="P45" s="79"/>
      <c r="Q45" s="139">
        <f t="shared" si="0"/>
        <v>97.35</v>
      </c>
      <c r="R45" s="144" t="str">
        <f t="shared" si="1"/>
        <v>NO</v>
      </c>
      <c r="S45" s="145" t="str">
        <f t="shared" si="3"/>
        <v>Inviable Sanitariamente</v>
      </c>
    </row>
    <row r="46" spans="1:19" s="167" customFormat="1" ht="32.1" customHeight="1">
      <c r="A46" s="419" t="s">
        <v>207</v>
      </c>
      <c r="B46" s="110" t="s">
        <v>567</v>
      </c>
      <c r="C46" s="502" t="s">
        <v>568</v>
      </c>
      <c r="D46" s="119">
        <v>16</v>
      </c>
      <c r="E46" s="79"/>
      <c r="F46" s="79"/>
      <c r="G46" s="79"/>
      <c r="H46" s="79"/>
      <c r="I46" s="79"/>
      <c r="J46" s="79"/>
      <c r="K46" s="79"/>
      <c r="L46" s="79"/>
      <c r="M46" s="79"/>
      <c r="N46" s="79">
        <v>97.35</v>
      </c>
      <c r="O46" s="79"/>
      <c r="P46" s="79"/>
      <c r="Q46" s="139">
        <f t="shared" si="0"/>
        <v>97.35</v>
      </c>
      <c r="R46" s="144" t="str">
        <f t="shared" si="1"/>
        <v>NO</v>
      </c>
      <c r="S46" s="145" t="str">
        <f t="shared" si="3"/>
        <v>Inviable Sanitariamente</v>
      </c>
    </row>
    <row r="47" spans="1:19" s="167" customFormat="1" ht="32.1" customHeight="1">
      <c r="A47" s="419" t="s">
        <v>207</v>
      </c>
      <c r="B47" s="110" t="s">
        <v>569</v>
      </c>
      <c r="C47" s="502" t="s">
        <v>444</v>
      </c>
      <c r="D47" s="119">
        <v>54</v>
      </c>
      <c r="E47" s="79"/>
      <c r="F47" s="79"/>
      <c r="G47" s="79"/>
      <c r="H47" s="79"/>
      <c r="I47" s="79"/>
      <c r="J47" s="79"/>
      <c r="K47" s="79">
        <v>97.35</v>
      </c>
      <c r="L47" s="79"/>
      <c r="M47" s="79"/>
      <c r="N47" s="79"/>
      <c r="O47" s="79"/>
      <c r="P47" s="79"/>
      <c r="Q47" s="139">
        <f t="shared" si="0"/>
        <v>97.35</v>
      </c>
      <c r="R47" s="144" t="str">
        <f t="shared" si="1"/>
        <v>NO</v>
      </c>
      <c r="S47" s="145" t="str">
        <f t="shared" si="3"/>
        <v>Inviable Sanitariamente</v>
      </c>
    </row>
    <row r="48" spans="1:19" s="167" customFormat="1" ht="32.1" customHeight="1">
      <c r="A48" s="419" t="s">
        <v>207</v>
      </c>
      <c r="B48" s="110" t="s">
        <v>570</v>
      </c>
      <c r="C48" s="502" t="s">
        <v>571</v>
      </c>
      <c r="D48" s="119">
        <v>24</v>
      </c>
      <c r="E48" s="79"/>
      <c r="F48" s="79"/>
      <c r="G48" s="79"/>
      <c r="H48" s="79"/>
      <c r="I48" s="79"/>
      <c r="J48" s="79"/>
      <c r="K48" s="79"/>
      <c r="L48" s="79">
        <v>97.35</v>
      </c>
      <c r="M48" s="79"/>
      <c r="N48" s="79"/>
      <c r="O48" s="79"/>
      <c r="P48" s="79"/>
      <c r="Q48" s="139">
        <f t="shared" si="0"/>
        <v>97.35</v>
      </c>
      <c r="R48" s="144" t="str">
        <f t="shared" si="1"/>
        <v>NO</v>
      </c>
      <c r="S48" s="145" t="str">
        <f t="shared" si="3"/>
        <v>Inviable Sanitariamente</v>
      </c>
    </row>
    <row r="49" spans="1:19" s="167" customFormat="1" ht="32.1" customHeight="1">
      <c r="A49" s="419" t="s">
        <v>207</v>
      </c>
      <c r="B49" s="110" t="s">
        <v>61</v>
      </c>
      <c r="C49" s="502" t="s">
        <v>572</v>
      </c>
      <c r="D49" s="119"/>
      <c r="E49" s="79"/>
      <c r="F49" s="79"/>
      <c r="G49" s="79"/>
      <c r="H49" s="79"/>
      <c r="I49" s="79"/>
      <c r="J49" s="79"/>
      <c r="K49" s="79"/>
      <c r="L49" s="79"/>
      <c r="M49" s="79"/>
      <c r="N49" s="79"/>
      <c r="O49" s="79"/>
      <c r="P49" s="79"/>
      <c r="Q49" s="139" t="e">
        <f t="shared" si="0"/>
        <v>#DIV/0!</v>
      </c>
      <c r="R49" s="144" t="e">
        <f t="shared" si="1"/>
        <v>#DIV/0!</v>
      </c>
      <c r="S49" s="145" t="e">
        <f t="shared" si="3"/>
        <v>#DIV/0!</v>
      </c>
    </row>
    <row r="50" spans="1:19" s="167" customFormat="1" ht="32.1" customHeight="1">
      <c r="A50" s="419" t="s">
        <v>207</v>
      </c>
      <c r="B50" s="110" t="s">
        <v>573</v>
      </c>
      <c r="C50" s="502" t="s">
        <v>574</v>
      </c>
      <c r="D50" s="119">
        <v>25</v>
      </c>
      <c r="E50" s="79"/>
      <c r="F50" s="79"/>
      <c r="G50" s="79"/>
      <c r="H50" s="79"/>
      <c r="I50" s="79"/>
      <c r="J50" s="79"/>
      <c r="K50" s="79"/>
      <c r="L50" s="79">
        <v>97.35</v>
      </c>
      <c r="M50" s="79"/>
      <c r="N50" s="79"/>
      <c r="O50" s="79"/>
      <c r="P50" s="79"/>
      <c r="Q50" s="139">
        <f t="shared" si="0"/>
        <v>97.35</v>
      </c>
      <c r="R50" s="144" t="str">
        <f t="shared" si="1"/>
        <v>NO</v>
      </c>
      <c r="S50" s="145" t="str">
        <f t="shared" si="3"/>
        <v>Inviable Sanitariamente</v>
      </c>
    </row>
    <row r="51" spans="1:19" s="167" customFormat="1" ht="32.1" customHeight="1">
      <c r="A51" s="419" t="s">
        <v>207</v>
      </c>
      <c r="B51" s="110" t="s">
        <v>60</v>
      </c>
      <c r="C51" s="502" t="s">
        <v>575</v>
      </c>
      <c r="D51" s="114"/>
      <c r="E51" s="79"/>
      <c r="F51" s="79"/>
      <c r="G51" s="79"/>
      <c r="H51" s="79"/>
      <c r="I51" s="79"/>
      <c r="J51" s="79"/>
      <c r="K51" s="79"/>
      <c r="L51" s="79"/>
      <c r="M51" s="79"/>
      <c r="N51" s="79"/>
      <c r="O51" s="79"/>
      <c r="P51" s="79"/>
      <c r="Q51" s="139" t="e">
        <f t="shared" si="0"/>
        <v>#DIV/0!</v>
      </c>
      <c r="R51" s="144" t="e">
        <f t="shared" si="1"/>
        <v>#DIV/0!</v>
      </c>
      <c r="S51" s="145" t="e">
        <f t="shared" si="3"/>
        <v>#DIV/0!</v>
      </c>
    </row>
    <row r="52" spans="1:19" s="167" customFormat="1" ht="32.1" customHeight="1">
      <c r="A52" s="419" t="s">
        <v>207</v>
      </c>
      <c r="B52" s="110" t="s">
        <v>576</v>
      </c>
      <c r="C52" s="502" t="s">
        <v>577</v>
      </c>
      <c r="D52" s="119"/>
      <c r="E52" s="79"/>
      <c r="F52" s="79"/>
      <c r="G52" s="79"/>
      <c r="H52" s="79"/>
      <c r="I52" s="79"/>
      <c r="J52" s="79"/>
      <c r="K52" s="79"/>
      <c r="L52" s="79"/>
      <c r="M52" s="79"/>
      <c r="N52" s="79"/>
      <c r="O52" s="79"/>
      <c r="P52" s="79"/>
      <c r="Q52" s="139" t="e">
        <f t="shared" si="0"/>
        <v>#DIV/0!</v>
      </c>
      <c r="R52" s="144" t="e">
        <f t="shared" si="1"/>
        <v>#DIV/0!</v>
      </c>
      <c r="S52" s="145" t="e">
        <f t="shared" si="3"/>
        <v>#DIV/0!</v>
      </c>
    </row>
    <row r="53" spans="1:19" s="167" customFormat="1" ht="32.1" customHeight="1">
      <c r="A53" s="419" t="s">
        <v>207</v>
      </c>
      <c r="B53" s="110" t="s">
        <v>578</v>
      </c>
      <c r="C53" s="502" t="s">
        <v>579</v>
      </c>
      <c r="D53" s="114"/>
      <c r="E53" s="79"/>
      <c r="F53" s="79"/>
      <c r="G53" s="79"/>
      <c r="H53" s="79"/>
      <c r="I53" s="79"/>
      <c r="J53" s="79"/>
      <c r="K53" s="79"/>
      <c r="L53" s="79"/>
      <c r="M53" s="79"/>
      <c r="N53" s="79"/>
      <c r="O53" s="79"/>
      <c r="P53" s="79"/>
      <c r="Q53" s="139" t="e">
        <f t="shared" si="0"/>
        <v>#DIV/0!</v>
      </c>
      <c r="R53" s="144" t="e">
        <f t="shared" si="1"/>
        <v>#DIV/0!</v>
      </c>
      <c r="S53" s="145" t="e">
        <f t="shared" si="3"/>
        <v>#DIV/0!</v>
      </c>
    </row>
    <row r="54" spans="1:19" s="167" customFormat="1" ht="32.1" customHeight="1">
      <c r="A54" s="419" t="s">
        <v>207</v>
      </c>
      <c r="B54" s="110" t="s">
        <v>479</v>
      </c>
      <c r="C54" s="502" t="s">
        <v>411</v>
      </c>
      <c r="D54" s="119"/>
      <c r="E54" s="79"/>
      <c r="F54" s="79"/>
      <c r="G54" s="79"/>
      <c r="H54" s="79"/>
      <c r="I54" s="79"/>
      <c r="J54" s="79"/>
      <c r="K54" s="79"/>
      <c r="L54" s="79"/>
      <c r="M54" s="79"/>
      <c r="N54" s="79"/>
      <c r="O54" s="79"/>
      <c r="P54" s="79"/>
      <c r="Q54" s="139" t="e">
        <f t="shared" si="0"/>
        <v>#DIV/0!</v>
      </c>
      <c r="R54" s="144" t="e">
        <f t="shared" si="1"/>
        <v>#DIV/0!</v>
      </c>
      <c r="S54" s="145" t="e">
        <f t="shared" si="3"/>
        <v>#DIV/0!</v>
      </c>
    </row>
    <row r="55" spans="1:19" s="167" customFormat="1" ht="32.1" customHeight="1">
      <c r="A55" s="419" t="s">
        <v>207</v>
      </c>
      <c r="B55" s="110" t="s">
        <v>243</v>
      </c>
      <c r="C55" s="502" t="s">
        <v>580</v>
      </c>
      <c r="D55" s="114">
        <v>21</v>
      </c>
      <c r="E55" s="79"/>
      <c r="F55" s="79"/>
      <c r="G55" s="79"/>
      <c r="H55" s="79"/>
      <c r="I55" s="79"/>
      <c r="J55" s="79"/>
      <c r="K55" s="79"/>
      <c r="L55" s="79"/>
      <c r="M55" s="79"/>
      <c r="N55" s="79"/>
      <c r="O55" s="79">
        <v>97.35</v>
      </c>
      <c r="P55" s="79"/>
      <c r="Q55" s="139">
        <f t="shared" si="0"/>
        <v>97.35</v>
      </c>
      <c r="R55" s="144" t="str">
        <f t="shared" si="1"/>
        <v>NO</v>
      </c>
      <c r="S55" s="145" t="str">
        <f t="shared" si="3"/>
        <v>Inviable Sanitariamente</v>
      </c>
    </row>
    <row r="56" spans="1:19" s="167" customFormat="1" ht="32.1" customHeight="1">
      <c r="A56" s="419" t="s">
        <v>207</v>
      </c>
      <c r="B56" s="110" t="s">
        <v>581</v>
      </c>
      <c r="C56" s="502" t="s">
        <v>449</v>
      </c>
      <c r="D56" s="119"/>
      <c r="E56" s="79"/>
      <c r="F56" s="79"/>
      <c r="G56" s="79"/>
      <c r="H56" s="79"/>
      <c r="I56" s="79"/>
      <c r="J56" s="79"/>
      <c r="K56" s="79"/>
      <c r="L56" s="79"/>
      <c r="M56" s="79"/>
      <c r="N56" s="79"/>
      <c r="O56" s="79"/>
      <c r="P56" s="79"/>
      <c r="Q56" s="139" t="e">
        <f t="shared" si="0"/>
        <v>#DIV/0!</v>
      </c>
      <c r="R56" s="144" t="e">
        <f t="shared" si="1"/>
        <v>#DIV/0!</v>
      </c>
      <c r="S56" s="145" t="e">
        <f t="shared" si="3"/>
        <v>#DIV/0!</v>
      </c>
    </row>
    <row r="57" spans="1:19" s="167" customFormat="1" ht="32.1" customHeight="1">
      <c r="A57" s="419" t="s">
        <v>207</v>
      </c>
      <c r="B57" s="110" t="s">
        <v>497</v>
      </c>
      <c r="C57" s="502" t="s">
        <v>450</v>
      </c>
      <c r="D57" s="119">
        <v>12</v>
      </c>
      <c r="E57" s="79"/>
      <c r="F57" s="79"/>
      <c r="G57" s="79"/>
      <c r="H57" s="79"/>
      <c r="I57" s="79"/>
      <c r="J57" s="79"/>
      <c r="K57" s="79"/>
      <c r="L57" s="79"/>
      <c r="M57" s="79"/>
      <c r="N57" s="79">
        <v>97.35</v>
      </c>
      <c r="O57" s="79"/>
      <c r="P57" s="79"/>
      <c r="Q57" s="139">
        <f t="shared" si="0"/>
        <v>97.35</v>
      </c>
      <c r="R57" s="144" t="str">
        <f t="shared" si="1"/>
        <v>NO</v>
      </c>
      <c r="S57" s="145" t="str">
        <f t="shared" si="3"/>
        <v>Inviable Sanitariamente</v>
      </c>
    </row>
    <row r="58" spans="1:19" s="167" customFormat="1" ht="32.1" customHeight="1">
      <c r="A58" s="419" t="s">
        <v>207</v>
      </c>
      <c r="B58" s="110" t="s">
        <v>582</v>
      </c>
      <c r="C58" s="502" t="s">
        <v>424</v>
      </c>
      <c r="D58" s="119">
        <v>98</v>
      </c>
      <c r="E58" s="79"/>
      <c r="F58" s="79">
        <v>97.35</v>
      </c>
      <c r="G58" s="79"/>
      <c r="H58" s="79"/>
      <c r="I58" s="79"/>
      <c r="J58" s="79"/>
      <c r="K58" s="79">
        <v>97.35</v>
      </c>
      <c r="L58" s="79"/>
      <c r="M58" s="79"/>
      <c r="N58" s="79"/>
      <c r="O58" s="79"/>
      <c r="P58" s="79"/>
      <c r="Q58" s="139">
        <f t="shared" si="0"/>
        <v>97.35</v>
      </c>
      <c r="R58" s="144" t="str">
        <f t="shared" si="1"/>
        <v>NO</v>
      </c>
      <c r="S58" s="145" t="str">
        <f t="shared" si="3"/>
        <v>Inviable Sanitariamente</v>
      </c>
    </row>
    <row r="59" spans="1:19" s="167" customFormat="1" ht="32.1" customHeight="1">
      <c r="A59" s="419" t="s">
        <v>207</v>
      </c>
      <c r="B59" s="110" t="s">
        <v>500</v>
      </c>
      <c r="C59" s="502" t="s">
        <v>453</v>
      </c>
      <c r="D59" s="119">
        <v>24</v>
      </c>
      <c r="E59" s="79"/>
      <c r="F59" s="79">
        <v>97.35</v>
      </c>
      <c r="G59" s="79"/>
      <c r="H59" s="79"/>
      <c r="I59" s="79"/>
      <c r="J59" s="79"/>
      <c r="K59" s="79">
        <v>97.35</v>
      </c>
      <c r="L59" s="79"/>
      <c r="M59" s="79"/>
      <c r="N59" s="79"/>
      <c r="O59" s="79"/>
      <c r="P59" s="79"/>
      <c r="Q59" s="139">
        <f t="shared" si="0"/>
        <v>97.35</v>
      </c>
      <c r="R59" s="144" t="str">
        <f t="shared" si="1"/>
        <v>NO</v>
      </c>
      <c r="S59" s="145" t="str">
        <f t="shared" si="3"/>
        <v>Inviable Sanitariamente</v>
      </c>
    </row>
    <row r="60" spans="1:19" s="167" customFormat="1" ht="32.1" customHeight="1">
      <c r="A60" s="419" t="s">
        <v>207</v>
      </c>
      <c r="B60" s="110" t="s">
        <v>498</v>
      </c>
      <c r="C60" s="502" t="s">
        <v>451</v>
      </c>
      <c r="D60" s="119">
        <v>47</v>
      </c>
      <c r="E60" s="79"/>
      <c r="F60" s="79"/>
      <c r="G60" s="79"/>
      <c r="H60" s="79"/>
      <c r="I60" s="79"/>
      <c r="J60" s="79"/>
      <c r="K60" s="79"/>
      <c r="L60" s="79"/>
      <c r="M60" s="79"/>
      <c r="N60" s="79">
        <v>97.35</v>
      </c>
      <c r="O60" s="79"/>
      <c r="P60" s="79"/>
      <c r="Q60" s="139">
        <f t="shared" si="0"/>
        <v>97.35</v>
      </c>
      <c r="R60" s="144" t="str">
        <f t="shared" si="1"/>
        <v>NO</v>
      </c>
      <c r="S60" s="145" t="str">
        <f t="shared" si="3"/>
        <v>Inviable Sanitariamente</v>
      </c>
    </row>
    <row r="61" spans="1:19" s="167" customFormat="1" ht="32.1" customHeight="1">
      <c r="A61" s="419" t="s">
        <v>207</v>
      </c>
      <c r="B61" s="110" t="s">
        <v>19</v>
      </c>
      <c r="C61" s="502" t="s">
        <v>446</v>
      </c>
      <c r="D61" s="119">
        <v>31</v>
      </c>
      <c r="E61" s="79"/>
      <c r="F61" s="79"/>
      <c r="G61" s="79"/>
      <c r="H61" s="79"/>
      <c r="I61" s="79">
        <v>97.35</v>
      </c>
      <c r="J61" s="79"/>
      <c r="K61" s="79"/>
      <c r="L61" s="79"/>
      <c r="M61" s="79">
        <v>97.35</v>
      </c>
      <c r="N61" s="79"/>
      <c r="O61" s="79"/>
      <c r="P61" s="79"/>
      <c r="Q61" s="139">
        <f t="shared" si="0"/>
        <v>97.35</v>
      </c>
      <c r="R61" s="144" t="str">
        <f t="shared" si="1"/>
        <v>NO</v>
      </c>
      <c r="S61" s="145" t="str">
        <f t="shared" si="3"/>
        <v>Inviable Sanitariamente</v>
      </c>
    </row>
    <row r="62" spans="1:19" s="167" customFormat="1" ht="32.1" customHeight="1">
      <c r="A62" s="419" t="s">
        <v>208</v>
      </c>
      <c r="B62" s="110" t="s">
        <v>583</v>
      </c>
      <c r="C62" s="502" t="s">
        <v>584</v>
      </c>
      <c r="D62" s="119">
        <v>46</v>
      </c>
      <c r="E62" s="465">
        <v>53.1</v>
      </c>
      <c r="F62" s="28"/>
      <c r="G62" s="286"/>
      <c r="H62" s="79">
        <v>53.1</v>
      </c>
      <c r="I62" s="79"/>
      <c r="J62" s="79"/>
      <c r="K62" s="79">
        <v>53.1</v>
      </c>
      <c r="L62" s="79"/>
      <c r="M62" s="79">
        <v>97.3</v>
      </c>
      <c r="N62" s="79"/>
      <c r="O62" s="79"/>
      <c r="P62" s="79">
        <v>97.3</v>
      </c>
      <c r="Q62" s="139">
        <f t="shared" si="0"/>
        <v>70.78</v>
      </c>
      <c r="R62" s="144" t="str">
        <f t="shared" si="1"/>
        <v>NO</v>
      </c>
      <c r="S62" s="145" t="str">
        <f t="shared" ref="S62:S96" si="4">IF(Q62&lt;5,"Sin Riesgo",IF(Q62 &lt;=14,"Bajo",IF(Q62&lt;=35,"Medio",IF(Q62&lt;=80,"Alto","Inviable Sanitariamente"))))</f>
        <v>Alto</v>
      </c>
    </row>
    <row r="63" spans="1:19" s="167" customFormat="1" ht="32.1" customHeight="1">
      <c r="A63" s="419" t="s">
        <v>208</v>
      </c>
      <c r="B63" s="110" t="s">
        <v>585</v>
      </c>
      <c r="C63" s="502" t="s">
        <v>586</v>
      </c>
      <c r="D63" s="119">
        <v>23</v>
      </c>
      <c r="E63" s="79"/>
      <c r="F63" s="466">
        <v>53.1</v>
      </c>
      <c r="G63" s="79"/>
      <c r="H63" s="79"/>
      <c r="I63" s="79"/>
      <c r="J63" s="79">
        <v>53.1</v>
      </c>
      <c r="K63" s="79"/>
      <c r="L63" s="79"/>
      <c r="M63" s="79"/>
      <c r="N63" s="79">
        <v>97.3</v>
      </c>
      <c r="O63" s="79"/>
      <c r="P63" s="79"/>
      <c r="Q63" s="139">
        <f t="shared" si="0"/>
        <v>67.833333333333329</v>
      </c>
      <c r="R63" s="144" t="str">
        <f t="shared" si="1"/>
        <v>NO</v>
      </c>
      <c r="S63" s="145" t="str">
        <f t="shared" si="4"/>
        <v>Alto</v>
      </c>
    </row>
    <row r="64" spans="1:19" s="167" customFormat="1" ht="32.1" customHeight="1">
      <c r="A64" s="419" t="s">
        <v>208</v>
      </c>
      <c r="B64" s="110" t="s">
        <v>587</v>
      </c>
      <c r="C64" s="502" t="s">
        <v>588</v>
      </c>
      <c r="D64" s="119">
        <v>28</v>
      </c>
      <c r="E64" s="79"/>
      <c r="F64" s="79">
        <v>97.3</v>
      </c>
      <c r="G64" s="79"/>
      <c r="H64" s="79"/>
      <c r="I64" s="79"/>
      <c r="J64" s="79">
        <v>53.1</v>
      </c>
      <c r="K64" s="79"/>
      <c r="L64" s="79"/>
      <c r="M64" s="79">
        <v>97.3</v>
      </c>
      <c r="N64" s="79"/>
      <c r="O64" s="79"/>
      <c r="P64" s="79"/>
      <c r="Q64" s="139">
        <f t="shared" si="0"/>
        <v>82.566666666666663</v>
      </c>
      <c r="R64" s="144" t="str">
        <f t="shared" si="1"/>
        <v>NO</v>
      </c>
      <c r="S64" s="145" t="str">
        <f t="shared" si="4"/>
        <v>Inviable Sanitariamente</v>
      </c>
    </row>
    <row r="65" spans="1:19" s="167" customFormat="1" ht="32.1" customHeight="1">
      <c r="A65" s="419" t="s">
        <v>208</v>
      </c>
      <c r="B65" s="110" t="s">
        <v>63</v>
      </c>
      <c r="C65" s="502" t="s">
        <v>589</v>
      </c>
      <c r="D65" s="119">
        <v>37</v>
      </c>
      <c r="E65" s="79"/>
      <c r="F65" s="79">
        <v>97.3</v>
      </c>
      <c r="G65" s="79"/>
      <c r="H65" s="79"/>
      <c r="I65" s="79"/>
      <c r="J65" s="79">
        <v>53.1</v>
      </c>
      <c r="K65" s="79"/>
      <c r="L65" s="79"/>
      <c r="M65" s="79">
        <v>53.1</v>
      </c>
      <c r="N65" s="79"/>
      <c r="O65" s="79"/>
      <c r="P65" s="79">
        <v>53.1</v>
      </c>
      <c r="Q65" s="139">
        <f t="shared" si="0"/>
        <v>64.150000000000006</v>
      </c>
      <c r="R65" s="144" t="str">
        <f t="shared" si="1"/>
        <v>NO</v>
      </c>
      <c r="S65" s="145" t="str">
        <f t="shared" si="4"/>
        <v>Alto</v>
      </c>
    </row>
    <row r="66" spans="1:19" s="167" customFormat="1" ht="32.1" customHeight="1">
      <c r="A66" s="419" t="s">
        <v>208</v>
      </c>
      <c r="B66" s="110" t="s">
        <v>590</v>
      </c>
      <c r="C66" s="502" t="s">
        <v>591</v>
      </c>
      <c r="D66" s="119">
        <v>111</v>
      </c>
      <c r="E66" s="79">
        <v>0</v>
      </c>
      <c r="F66" s="79">
        <v>0</v>
      </c>
      <c r="G66" s="79">
        <v>0</v>
      </c>
      <c r="H66" s="79">
        <v>0</v>
      </c>
      <c r="I66" s="79">
        <v>0</v>
      </c>
      <c r="J66" s="79"/>
      <c r="K66" s="79">
        <v>0</v>
      </c>
      <c r="L66" s="79"/>
      <c r="M66" s="79"/>
      <c r="N66" s="79">
        <v>0</v>
      </c>
      <c r="O66" s="79">
        <v>0</v>
      </c>
      <c r="P66" s="79"/>
      <c r="Q66" s="139">
        <f t="shared" si="0"/>
        <v>0</v>
      </c>
      <c r="R66" s="144" t="str">
        <f t="shared" si="1"/>
        <v>SI</v>
      </c>
      <c r="S66" s="145" t="str">
        <f t="shared" si="4"/>
        <v>Sin Riesgo</v>
      </c>
    </row>
    <row r="67" spans="1:19" s="167" customFormat="1" ht="32.1" customHeight="1">
      <c r="A67" s="419" t="s">
        <v>208</v>
      </c>
      <c r="B67" s="110" t="s">
        <v>592</v>
      </c>
      <c r="C67" s="502" t="s">
        <v>593</v>
      </c>
      <c r="D67" s="119">
        <v>20</v>
      </c>
      <c r="E67" s="79"/>
      <c r="F67" s="79">
        <v>53.1</v>
      </c>
      <c r="G67" s="79">
        <v>53.1</v>
      </c>
      <c r="H67" s="79"/>
      <c r="I67" s="79"/>
      <c r="J67" s="79"/>
      <c r="K67" s="79"/>
      <c r="L67" s="79"/>
      <c r="M67" s="79"/>
      <c r="N67" s="79"/>
      <c r="O67" s="79">
        <v>53.1</v>
      </c>
      <c r="P67" s="79"/>
      <c r="Q67" s="139">
        <f t="shared" si="0"/>
        <v>53.1</v>
      </c>
      <c r="R67" s="144" t="str">
        <f t="shared" si="1"/>
        <v>NO</v>
      </c>
      <c r="S67" s="145" t="str">
        <f t="shared" si="4"/>
        <v>Alto</v>
      </c>
    </row>
    <row r="68" spans="1:19" s="167" customFormat="1" ht="32.1" customHeight="1">
      <c r="A68" s="419" t="s">
        <v>208</v>
      </c>
      <c r="B68" s="110" t="s">
        <v>594</v>
      </c>
      <c r="C68" s="502" t="s">
        <v>595</v>
      </c>
      <c r="D68" s="119">
        <v>40</v>
      </c>
      <c r="E68" s="79"/>
      <c r="F68" s="79">
        <v>53.1</v>
      </c>
      <c r="G68" s="79"/>
      <c r="H68" s="79"/>
      <c r="I68" s="79">
        <v>97.3</v>
      </c>
      <c r="J68" s="79"/>
      <c r="K68" s="79">
        <v>53.1</v>
      </c>
      <c r="L68" s="79"/>
      <c r="M68" s="79"/>
      <c r="N68" s="79">
        <v>97.3</v>
      </c>
      <c r="O68" s="79"/>
      <c r="P68" s="79"/>
      <c r="Q68" s="139">
        <f t="shared" ref="Q68:Q70" si="5">AVERAGE(E68:P68)</f>
        <v>75.2</v>
      </c>
      <c r="R68" s="144" t="str">
        <f t="shared" ref="R68:R70" si="6">IF(Q68&lt;5,"SI","NO")</f>
        <v>NO</v>
      </c>
      <c r="S68" s="145" t="str">
        <f t="shared" ref="S68:S70" si="7">IF(Q68&lt;5,"Sin Riesgo",IF(Q68 &lt;=14,"Bajo",IF(Q68&lt;=35,"Medio",IF(Q68&lt;=80,"Alto","Inviable Sanitariamente"))))</f>
        <v>Alto</v>
      </c>
    </row>
    <row r="69" spans="1:19" s="167" customFormat="1" ht="32.1" customHeight="1">
      <c r="A69" s="419" t="s">
        <v>208</v>
      </c>
      <c r="B69" s="110" t="s">
        <v>4021</v>
      </c>
      <c r="C69" s="502" t="s">
        <v>4538</v>
      </c>
      <c r="D69" s="119">
        <v>36</v>
      </c>
      <c r="E69" s="79"/>
      <c r="F69" s="79">
        <v>53.1</v>
      </c>
      <c r="G69" s="79"/>
      <c r="H69" s="79"/>
      <c r="I69" s="79">
        <v>53.1</v>
      </c>
      <c r="J69" s="79"/>
      <c r="K69" s="79"/>
      <c r="L69" s="79">
        <v>53.1</v>
      </c>
      <c r="M69" s="79"/>
      <c r="N69" s="79">
        <v>53.1</v>
      </c>
      <c r="O69" s="79"/>
      <c r="P69" s="79"/>
      <c r="Q69" s="139">
        <f t="shared" si="5"/>
        <v>53.1</v>
      </c>
      <c r="R69" s="144" t="str">
        <f t="shared" si="6"/>
        <v>NO</v>
      </c>
      <c r="S69" s="145" t="str">
        <f t="shared" si="7"/>
        <v>Alto</v>
      </c>
    </row>
    <row r="70" spans="1:19" s="167" customFormat="1" ht="32.1" customHeight="1">
      <c r="A70" s="419" t="s">
        <v>208</v>
      </c>
      <c r="B70" s="110" t="s">
        <v>4539</v>
      </c>
      <c r="C70" s="502" t="s">
        <v>4540</v>
      </c>
      <c r="D70" s="119">
        <v>34</v>
      </c>
      <c r="E70" s="79"/>
      <c r="F70" s="79"/>
      <c r="G70" s="79">
        <v>53.1</v>
      </c>
      <c r="H70" s="79"/>
      <c r="I70" s="79"/>
      <c r="J70" s="79"/>
      <c r="K70" s="79">
        <v>53.1</v>
      </c>
      <c r="L70" s="79"/>
      <c r="M70" s="79"/>
      <c r="N70" s="79"/>
      <c r="O70" s="79">
        <v>53.1</v>
      </c>
      <c r="P70" s="79"/>
      <c r="Q70" s="139">
        <f t="shared" si="5"/>
        <v>53.1</v>
      </c>
      <c r="R70" s="144" t="str">
        <f t="shared" si="6"/>
        <v>NO</v>
      </c>
      <c r="S70" s="145" t="str">
        <f t="shared" si="7"/>
        <v>Alto</v>
      </c>
    </row>
    <row r="71" spans="1:19" s="167" customFormat="1" ht="32.1" customHeight="1">
      <c r="A71" s="419" t="s">
        <v>208</v>
      </c>
      <c r="B71" s="110" t="s">
        <v>4541</v>
      </c>
      <c r="C71" s="502" t="s">
        <v>4542</v>
      </c>
      <c r="D71" s="119">
        <v>28</v>
      </c>
      <c r="E71" s="79"/>
      <c r="F71" s="79"/>
      <c r="G71" s="79">
        <v>53.1</v>
      </c>
      <c r="H71" s="79"/>
      <c r="I71" s="79"/>
      <c r="J71" s="79">
        <v>97.3</v>
      </c>
      <c r="K71" s="79"/>
      <c r="L71" s="79"/>
      <c r="M71" s="79">
        <v>97.3</v>
      </c>
      <c r="N71" s="79"/>
      <c r="O71" s="79"/>
      <c r="P71" s="79"/>
      <c r="Q71" s="139">
        <f t="shared" si="0"/>
        <v>82.566666666666663</v>
      </c>
      <c r="R71" s="144" t="str">
        <f t="shared" si="1"/>
        <v>NO</v>
      </c>
      <c r="S71" s="145" t="str">
        <f t="shared" si="4"/>
        <v>Inviable Sanitariamente</v>
      </c>
    </row>
    <row r="72" spans="1:19" s="167" customFormat="1" ht="32.1" customHeight="1">
      <c r="A72" s="419" t="s">
        <v>209</v>
      </c>
      <c r="B72" s="490" t="s">
        <v>596</v>
      </c>
      <c r="C72" s="502" t="s">
        <v>597</v>
      </c>
      <c r="D72" s="119">
        <v>60</v>
      </c>
      <c r="E72" s="79"/>
      <c r="F72" s="79"/>
      <c r="G72" s="79">
        <v>97</v>
      </c>
      <c r="H72" s="79"/>
      <c r="I72" s="79"/>
      <c r="J72" s="79">
        <v>97</v>
      </c>
      <c r="K72" s="79"/>
      <c r="L72" s="79"/>
      <c r="M72" s="79"/>
      <c r="N72" s="79"/>
      <c r="O72" s="79"/>
      <c r="P72" s="79"/>
      <c r="Q72" s="139">
        <f t="shared" si="0"/>
        <v>97</v>
      </c>
      <c r="R72" s="144" t="str">
        <f t="shared" si="1"/>
        <v>NO</v>
      </c>
      <c r="S72" s="145" t="str">
        <f t="shared" si="4"/>
        <v>Inviable Sanitariamente</v>
      </c>
    </row>
    <row r="73" spans="1:19" s="167" customFormat="1" ht="32.1" customHeight="1">
      <c r="A73" s="419" t="s">
        <v>209</v>
      </c>
      <c r="B73" s="490" t="s">
        <v>17</v>
      </c>
      <c r="C73" s="502" t="s">
        <v>598</v>
      </c>
      <c r="D73" s="119">
        <v>45</v>
      </c>
      <c r="E73" s="79"/>
      <c r="F73" s="79"/>
      <c r="G73" s="79"/>
      <c r="H73" s="79"/>
      <c r="I73" s="79"/>
      <c r="J73" s="79">
        <v>97</v>
      </c>
      <c r="K73" s="79"/>
      <c r="L73" s="79"/>
      <c r="M73" s="79"/>
      <c r="N73" s="79"/>
      <c r="O73" s="79"/>
      <c r="P73" s="79"/>
      <c r="Q73" s="139">
        <f t="shared" si="0"/>
        <v>97</v>
      </c>
      <c r="R73" s="144" t="str">
        <f t="shared" si="1"/>
        <v>NO</v>
      </c>
      <c r="S73" s="145" t="str">
        <f t="shared" si="4"/>
        <v>Inviable Sanitariamente</v>
      </c>
    </row>
    <row r="74" spans="1:19" s="167" customFormat="1" ht="32.1" customHeight="1">
      <c r="A74" s="419" t="s">
        <v>209</v>
      </c>
      <c r="B74" s="490" t="s">
        <v>599</v>
      </c>
      <c r="C74" s="502" t="s">
        <v>600</v>
      </c>
      <c r="D74" s="119">
        <v>28</v>
      </c>
      <c r="E74" s="79"/>
      <c r="F74" s="79"/>
      <c r="G74" s="79"/>
      <c r="H74" s="79"/>
      <c r="I74" s="79"/>
      <c r="J74" s="79">
        <v>97</v>
      </c>
      <c r="K74" s="79"/>
      <c r="L74" s="79"/>
      <c r="M74" s="79"/>
      <c r="N74" s="79"/>
      <c r="O74" s="79"/>
      <c r="P74" s="79"/>
      <c r="Q74" s="139">
        <f t="shared" si="0"/>
        <v>97</v>
      </c>
      <c r="R74" s="144" t="str">
        <f t="shared" si="1"/>
        <v>NO</v>
      </c>
      <c r="S74" s="145" t="str">
        <f t="shared" si="4"/>
        <v>Inviable Sanitariamente</v>
      </c>
    </row>
    <row r="75" spans="1:19" s="167" customFormat="1" ht="32.1" customHeight="1">
      <c r="A75" s="419" t="s">
        <v>209</v>
      </c>
      <c r="B75" s="490" t="s">
        <v>49</v>
      </c>
      <c r="C75" s="502" t="s">
        <v>601</v>
      </c>
      <c r="D75" s="119">
        <v>19</v>
      </c>
      <c r="E75" s="79"/>
      <c r="F75" s="79"/>
      <c r="G75" s="79">
        <v>97</v>
      </c>
      <c r="H75" s="79"/>
      <c r="I75" s="79">
        <v>97</v>
      </c>
      <c r="J75" s="79"/>
      <c r="K75" s="79"/>
      <c r="L75" s="79"/>
      <c r="M75" s="79"/>
      <c r="N75" s="79"/>
      <c r="O75" s="79"/>
      <c r="P75" s="79"/>
      <c r="Q75" s="139">
        <f t="shared" si="0"/>
        <v>97</v>
      </c>
      <c r="R75" s="144" t="str">
        <f t="shared" si="1"/>
        <v>NO</v>
      </c>
      <c r="S75" s="145" t="str">
        <f t="shared" si="4"/>
        <v>Inviable Sanitariamente</v>
      </c>
    </row>
    <row r="76" spans="1:19" s="167" customFormat="1" ht="32.1" customHeight="1">
      <c r="A76" s="419" t="s">
        <v>209</v>
      </c>
      <c r="B76" s="490" t="s">
        <v>65</v>
      </c>
      <c r="C76" s="502" t="s">
        <v>602</v>
      </c>
      <c r="D76" s="119">
        <v>40</v>
      </c>
      <c r="E76" s="79"/>
      <c r="F76" s="79"/>
      <c r="G76" s="79"/>
      <c r="H76" s="79"/>
      <c r="I76" s="79"/>
      <c r="J76" s="79">
        <v>97</v>
      </c>
      <c r="K76" s="79"/>
      <c r="L76" s="79"/>
      <c r="M76" s="79"/>
      <c r="N76" s="79"/>
      <c r="O76" s="79"/>
      <c r="P76" s="79"/>
      <c r="Q76" s="139">
        <f t="shared" si="0"/>
        <v>97</v>
      </c>
      <c r="R76" s="144" t="str">
        <f t="shared" si="1"/>
        <v>NO</v>
      </c>
      <c r="S76" s="145" t="str">
        <f t="shared" si="4"/>
        <v>Inviable Sanitariamente</v>
      </c>
    </row>
    <row r="77" spans="1:19" s="167" customFormat="1" ht="32.1" customHeight="1">
      <c r="A77" s="419" t="s">
        <v>209</v>
      </c>
      <c r="B77" s="490" t="s">
        <v>482</v>
      </c>
      <c r="C77" s="502" t="s">
        <v>603</v>
      </c>
      <c r="D77" s="119">
        <v>13</v>
      </c>
      <c r="E77" s="79"/>
      <c r="F77" s="79"/>
      <c r="G77" s="79">
        <v>97</v>
      </c>
      <c r="H77" s="79"/>
      <c r="I77" s="79">
        <v>97</v>
      </c>
      <c r="J77" s="79"/>
      <c r="K77" s="79"/>
      <c r="L77" s="79"/>
      <c r="M77" s="79"/>
      <c r="N77" s="79"/>
      <c r="O77" s="79"/>
      <c r="P77" s="79"/>
      <c r="Q77" s="139">
        <f t="shared" si="0"/>
        <v>97</v>
      </c>
      <c r="R77" s="144" t="str">
        <f t="shared" si="1"/>
        <v>NO</v>
      </c>
      <c r="S77" s="145" t="str">
        <f t="shared" si="4"/>
        <v>Inviable Sanitariamente</v>
      </c>
    </row>
    <row r="78" spans="1:19" s="167" customFormat="1" ht="32.1" customHeight="1">
      <c r="A78" s="419" t="s">
        <v>209</v>
      </c>
      <c r="B78" s="490" t="s">
        <v>100</v>
      </c>
      <c r="C78" s="502" t="s">
        <v>604</v>
      </c>
      <c r="D78" s="119">
        <v>18</v>
      </c>
      <c r="E78" s="79"/>
      <c r="F78" s="79"/>
      <c r="G78" s="79">
        <v>97</v>
      </c>
      <c r="H78" s="79"/>
      <c r="I78" s="79"/>
      <c r="J78" s="79">
        <v>97</v>
      </c>
      <c r="K78" s="79"/>
      <c r="L78" s="79"/>
      <c r="M78" s="79"/>
      <c r="N78" s="79"/>
      <c r="O78" s="79"/>
      <c r="P78" s="79"/>
      <c r="Q78" s="139">
        <f t="shared" si="0"/>
        <v>97</v>
      </c>
      <c r="R78" s="144" t="str">
        <f t="shared" si="1"/>
        <v>NO</v>
      </c>
      <c r="S78" s="145" t="str">
        <f t="shared" si="4"/>
        <v>Inviable Sanitariamente</v>
      </c>
    </row>
    <row r="79" spans="1:19" s="167" customFormat="1" ht="32.1" customHeight="1">
      <c r="A79" s="419" t="s">
        <v>209</v>
      </c>
      <c r="B79" s="490" t="s">
        <v>18</v>
      </c>
      <c r="C79" s="502" t="s">
        <v>605</v>
      </c>
      <c r="D79" s="114">
        <v>37</v>
      </c>
      <c r="E79" s="79"/>
      <c r="F79" s="79"/>
      <c r="G79" s="79"/>
      <c r="H79" s="79"/>
      <c r="I79" s="79">
        <v>97</v>
      </c>
      <c r="J79" s="79"/>
      <c r="K79" s="79"/>
      <c r="L79" s="79"/>
      <c r="M79" s="79"/>
      <c r="N79" s="79"/>
      <c r="O79" s="79"/>
      <c r="P79" s="79"/>
      <c r="Q79" s="139">
        <f t="shared" ref="Q79:Q149" si="8">AVERAGE(E79:P79)</f>
        <v>97</v>
      </c>
      <c r="R79" s="144" t="str">
        <f t="shared" ref="R79:R149" si="9">IF(Q79&lt;5,"SI","NO")</f>
        <v>NO</v>
      </c>
      <c r="S79" s="145" t="str">
        <f t="shared" si="4"/>
        <v>Inviable Sanitariamente</v>
      </c>
    </row>
    <row r="80" spans="1:19" s="167" customFormat="1" ht="32.1" customHeight="1">
      <c r="A80" s="419" t="s">
        <v>209</v>
      </c>
      <c r="B80" s="490" t="s">
        <v>19</v>
      </c>
      <c r="C80" s="502" t="s">
        <v>606</v>
      </c>
      <c r="D80" s="119">
        <v>22</v>
      </c>
      <c r="E80" s="79"/>
      <c r="F80" s="79"/>
      <c r="G80" s="79">
        <v>97</v>
      </c>
      <c r="H80" s="79"/>
      <c r="I80" s="165"/>
      <c r="J80" s="79">
        <v>97</v>
      </c>
      <c r="K80" s="79"/>
      <c r="L80" s="79"/>
      <c r="M80" s="79"/>
      <c r="N80" s="79"/>
      <c r="O80" s="79"/>
      <c r="P80" s="79"/>
      <c r="Q80" s="139">
        <f t="shared" si="8"/>
        <v>97</v>
      </c>
      <c r="R80" s="144" t="str">
        <f t="shared" si="9"/>
        <v>NO</v>
      </c>
      <c r="S80" s="145" t="str">
        <f t="shared" si="4"/>
        <v>Inviable Sanitariamente</v>
      </c>
    </row>
    <row r="81" spans="1:19" s="167" customFormat="1" ht="32.1" customHeight="1">
      <c r="A81" s="419" t="s">
        <v>209</v>
      </c>
      <c r="B81" s="490" t="s">
        <v>607</v>
      </c>
      <c r="C81" s="502" t="s">
        <v>608</v>
      </c>
      <c r="D81" s="119">
        <v>27</v>
      </c>
      <c r="E81" s="79"/>
      <c r="F81" s="79"/>
      <c r="G81" s="79"/>
      <c r="H81" s="79">
        <v>97</v>
      </c>
      <c r="I81" s="79">
        <v>97</v>
      </c>
      <c r="J81" s="79"/>
      <c r="K81" s="79"/>
      <c r="L81" s="79"/>
      <c r="M81" s="79"/>
      <c r="N81" s="79"/>
      <c r="O81" s="79"/>
      <c r="P81" s="79"/>
      <c r="Q81" s="139">
        <f t="shared" si="8"/>
        <v>97</v>
      </c>
      <c r="R81" s="144" t="str">
        <f t="shared" si="9"/>
        <v>NO</v>
      </c>
      <c r="S81" s="145" t="str">
        <f t="shared" si="4"/>
        <v>Inviable Sanitariamente</v>
      </c>
    </row>
    <row r="82" spans="1:19" s="167" customFormat="1" ht="32.1" customHeight="1">
      <c r="A82" s="419" t="s">
        <v>209</v>
      </c>
      <c r="B82" s="490" t="s">
        <v>483</v>
      </c>
      <c r="C82" s="502" t="s">
        <v>609</v>
      </c>
      <c r="D82" s="114">
        <v>18</v>
      </c>
      <c r="E82" s="79"/>
      <c r="F82" s="79">
        <v>97</v>
      </c>
      <c r="G82" s="79"/>
      <c r="H82" s="79"/>
      <c r="I82" s="79">
        <v>97</v>
      </c>
      <c r="J82" s="79"/>
      <c r="K82" s="79"/>
      <c r="L82" s="79"/>
      <c r="M82" s="79"/>
      <c r="N82" s="79"/>
      <c r="O82" s="79"/>
      <c r="P82" s="79"/>
      <c r="Q82" s="139">
        <f t="shared" si="8"/>
        <v>97</v>
      </c>
      <c r="R82" s="144" t="str">
        <f t="shared" si="9"/>
        <v>NO</v>
      </c>
      <c r="S82" s="145" t="str">
        <f t="shared" si="4"/>
        <v>Inviable Sanitariamente</v>
      </c>
    </row>
    <row r="83" spans="1:19" s="167" customFormat="1" ht="32.1" customHeight="1">
      <c r="A83" s="419" t="s">
        <v>209</v>
      </c>
      <c r="B83" s="490" t="s">
        <v>244</v>
      </c>
      <c r="C83" s="502" t="s">
        <v>610</v>
      </c>
      <c r="D83" s="119"/>
      <c r="E83" s="79"/>
      <c r="F83" s="79"/>
      <c r="G83" s="79"/>
      <c r="H83" s="79"/>
      <c r="I83" s="79"/>
      <c r="J83" s="79"/>
      <c r="K83" s="79"/>
      <c r="L83" s="79"/>
      <c r="M83" s="79"/>
      <c r="N83" s="79"/>
      <c r="O83" s="79"/>
      <c r="P83" s="79"/>
      <c r="Q83" s="139" t="e">
        <f t="shared" si="8"/>
        <v>#DIV/0!</v>
      </c>
      <c r="R83" s="144" t="e">
        <f t="shared" si="9"/>
        <v>#DIV/0!</v>
      </c>
      <c r="S83" s="145" t="e">
        <f t="shared" si="4"/>
        <v>#DIV/0!</v>
      </c>
    </row>
    <row r="84" spans="1:19" s="167" customFormat="1" ht="32.1" customHeight="1">
      <c r="A84" s="419" t="s">
        <v>209</v>
      </c>
      <c r="B84" s="490" t="s">
        <v>611</v>
      </c>
      <c r="C84" s="502" t="s">
        <v>612</v>
      </c>
      <c r="D84" s="119">
        <v>24</v>
      </c>
      <c r="E84" s="79"/>
      <c r="F84" s="79"/>
      <c r="G84" s="79"/>
      <c r="H84" s="79"/>
      <c r="I84" s="79">
        <v>97</v>
      </c>
      <c r="J84" s="79">
        <v>97</v>
      </c>
      <c r="K84" s="79"/>
      <c r="L84" s="79"/>
      <c r="M84" s="79"/>
      <c r="N84" s="79"/>
      <c r="O84" s="79"/>
      <c r="P84" s="79"/>
      <c r="Q84" s="139">
        <f t="shared" si="8"/>
        <v>97</v>
      </c>
      <c r="R84" s="144" t="str">
        <f t="shared" si="9"/>
        <v>NO</v>
      </c>
      <c r="S84" s="145" t="str">
        <f t="shared" si="4"/>
        <v>Inviable Sanitariamente</v>
      </c>
    </row>
    <row r="85" spans="1:19" s="167" customFormat="1" ht="32.1" customHeight="1">
      <c r="A85" s="419" t="s">
        <v>209</v>
      </c>
      <c r="B85" s="490" t="s">
        <v>78</v>
      </c>
      <c r="C85" s="502" t="s">
        <v>613</v>
      </c>
      <c r="D85" s="114">
        <v>23</v>
      </c>
      <c r="E85" s="79"/>
      <c r="F85" s="79">
        <v>97</v>
      </c>
      <c r="G85" s="79"/>
      <c r="H85" s="79"/>
      <c r="I85" s="79">
        <v>97</v>
      </c>
      <c r="J85" s="79"/>
      <c r="K85" s="79"/>
      <c r="L85" s="79"/>
      <c r="M85" s="79"/>
      <c r="N85" s="79"/>
      <c r="O85" s="79"/>
      <c r="P85" s="79"/>
      <c r="Q85" s="139">
        <f t="shared" si="8"/>
        <v>97</v>
      </c>
      <c r="R85" s="144" t="str">
        <f t="shared" si="9"/>
        <v>NO</v>
      </c>
      <c r="S85" s="145" t="str">
        <f t="shared" si="4"/>
        <v>Inviable Sanitariamente</v>
      </c>
    </row>
    <row r="86" spans="1:19" s="167" customFormat="1" ht="32.1" customHeight="1">
      <c r="A86" s="419" t="s">
        <v>209</v>
      </c>
      <c r="B86" s="490" t="s">
        <v>614</v>
      </c>
      <c r="C86" s="502" t="s">
        <v>615</v>
      </c>
      <c r="D86" s="119">
        <v>27</v>
      </c>
      <c r="E86" s="79"/>
      <c r="F86" s="79"/>
      <c r="G86" s="79">
        <v>97</v>
      </c>
      <c r="H86" s="79"/>
      <c r="I86" s="79"/>
      <c r="J86" s="79">
        <v>97</v>
      </c>
      <c r="K86" s="79"/>
      <c r="L86" s="79"/>
      <c r="M86" s="79"/>
      <c r="N86" s="79"/>
      <c r="O86" s="79"/>
      <c r="P86" s="79"/>
      <c r="Q86" s="139">
        <f t="shared" si="8"/>
        <v>97</v>
      </c>
      <c r="R86" s="144" t="str">
        <f t="shared" si="9"/>
        <v>NO</v>
      </c>
      <c r="S86" s="145" t="str">
        <f t="shared" si="4"/>
        <v>Inviable Sanitariamente</v>
      </c>
    </row>
    <row r="87" spans="1:19" s="167" customFormat="1" ht="32.1" customHeight="1">
      <c r="A87" s="419" t="s">
        <v>209</v>
      </c>
      <c r="B87" s="490" t="s">
        <v>616</v>
      </c>
      <c r="C87" s="502" t="s">
        <v>617</v>
      </c>
      <c r="D87" s="119">
        <v>28</v>
      </c>
      <c r="E87" s="79"/>
      <c r="F87" s="79"/>
      <c r="G87" s="165"/>
      <c r="H87" s="79">
        <v>97</v>
      </c>
      <c r="I87" s="79"/>
      <c r="J87" s="79"/>
      <c r="K87" s="79"/>
      <c r="L87" s="79"/>
      <c r="M87" s="79"/>
      <c r="N87" s="79"/>
      <c r="O87" s="79"/>
      <c r="P87" s="79"/>
      <c r="Q87" s="139">
        <f t="shared" si="8"/>
        <v>97</v>
      </c>
      <c r="R87" s="144" t="str">
        <f t="shared" si="9"/>
        <v>NO</v>
      </c>
      <c r="S87" s="145" t="str">
        <f t="shared" si="4"/>
        <v>Inviable Sanitariamente</v>
      </c>
    </row>
    <row r="88" spans="1:19" s="167" customFormat="1" ht="32.1" customHeight="1">
      <c r="A88" s="419" t="s">
        <v>209</v>
      </c>
      <c r="B88" s="490" t="s">
        <v>618</v>
      </c>
      <c r="C88" s="502" t="s">
        <v>619</v>
      </c>
      <c r="D88" s="119">
        <v>24</v>
      </c>
      <c r="E88" s="79"/>
      <c r="F88" s="79"/>
      <c r="G88" s="79">
        <v>97</v>
      </c>
      <c r="H88" s="79"/>
      <c r="I88" s="79"/>
      <c r="J88" s="79"/>
      <c r="K88" s="79"/>
      <c r="L88" s="79"/>
      <c r="M88" s="79"/>
      <c r="N88" s="79"/>
      <c r="O88" s="79"/>
      <c r="P88" s="79"/>
      <c r="Q88" s="139">
        <f t="shared" si="8"/>
        <v>97</v>
      </c>
      <c r="R88" s="144" t="str">
        <f t="shared" si="9"/>
        <v>NO</v>
      </c>
      <c r="S88" s="145" t="str">
        <f t="shared" si="4"/>
        <v>Inviable Sanitariamente</v>
      </c>
    </row>
    <row r="89" spans="1:19" s="167" customFormat="1" ht="32.1" customHeight="1">
      <c r="A89" s="419" t="s">
        <v>209</v>
      </c>
      <c r="B89" s="490" t="s">
        <v>620</v>
      </c>
      <c r="C89" s="502" t="s">
        <v>621</v>
      </c>
      <c r="D89" s="119">
        <v>17</v>
      </c>
      <c r="E89" s="79"/>
      <c r="F89" s="79"/>
      <c r="G89" s="168"/>
      <c r="H89" s="79">
        <v>97</v>
      </c>
      <c r="I89" s="79"/>
      <c r="J89" s="79">
        <v>97</v>
      </c>
      <c r="K89" s="79"/>
      <c r="L89" s="79"/>
      <c r="M89" s="79"/>
      <c r="N89" s="79"/>
      <c r="O89" s="79"/>
      <c r="P89" s="79"/>
      <c r="Q89" s="139">
        <f t="shared" si="8"/>
        <v>97</v>
      </c>
      <c r="R89" s="144" t="str">
        <f t="shared" si="9"/>
        <v>NO</v>
      </c>
      <c r="S89" s="145" t="str">
        <f t="shared" si="4"/>
        <v>Inviable Sanitariamente</v>
      </c>
    </row>
    <row r="90" spans="1:19" s="167" customFormat="1" ht="32.1" customHeight="1">
      <c r="A90" s="419" t="s">
        <v>209</v>
      </c>
      <c r="B90" s="490" t="s">
        <v>622</v>
      </c>
      <c r="C90" s="502" t="s">
        <v>623</v>
      </c>
      <c r="D90" s="119">
        <v>24</v>
      </c>
      <c r="E90" s="79"/>
      <c r="F90" s="79"/>
      <c r="G90" s="79"/>
      <c r="H90" s="79"/>
      <c r="I90" s="79">
        <v>97</v>
      </c>
      <c r="J90" s="79"/>
      <c r="K90" s="79"/>
      <c r="L90" s="79"/>
      <c r="M90" s="79"/>
      <c r="N90" s="79"/>
      <c r="O90" s="79"/>
      <c r="P90" s="79"/>
      <c r="Q90" s="139">
        <f t="shared" si="8"/>
        <v>97</v>
      </c>
      <c r="R90" s="144" t="str">
        <f t="shared" si="9"/>
        <v>NO</v>
      </c>
      <c r="S90" s="145" t="str">
        <f t="shared" si="4"/>
        <v>Inviable Sanitariamente</v>
      </c>
    </row>
    <row r="91" spans="1:19" s="167" customFormat="1" ht="32.1" customHeight="1">
      <c r="A91" s="419" t="s">
        <v>973</v>
      </c>
      <c r="B91" s="110" t="s">
        <v>625</v>
      </c>
      <c r="C91" s="502" t="s">
        <v>626</v>
      </c>
      <c r="D91" s="119">
        <v>135</v>
      </c>
      <c r="E91" s="79"/>
      <c r="F91" s="79">
        <v>0</v>
      </c>
      <c r="G91" s="79"/>
      <c r="H91" s="79">
        <v>0</v>
      </c>
      <c r="I91" s="79"/>
      <c r="J91" s="79">
        <v>0</v>
      </c>
      <c r="K91" s="79"/>
      <c r="L91" s="79">
        <v>0</v>
      </c>
      <c r="M91" s="79"/>
      <c r="N91" s="79">
        <v>0</v>
      </c>
      <c r="O91" s="79">
        <v>0</v>
      </c>
      <c r="P91" s="79"/>
      <c r="Q91" s="139">
        <f t="shared" si="8"/>
        <v>0</v>
      </c>
      <c r="R91" s="144" t="str">
        <f t="shared" si="9"/>
        <v>SI</v>
      </c>
      <c r="S91" s="145" t="str">
        <f t="shared" si="4"/>
        <v>Sin Riesgo</v>
      </c>
    </row>
    <row r="92" spans="1:19" s="167" customFormat="1" ht="32.1" customHeight="1">
      <c r="A92" s="419" t="s">
        <v>973</v>
      </c>
      <c r="B92" s="110" t="s">
        <v>627</v>
      </c>
      <c r="C92" s="502" t="s">
        <v>628</v>
      </c>
      <c r="D92" s="119">
        <v>332</v>
      </c>
      <c r="E92" s="79"/>
      <c r="F92" s="79">
        <v>0</v>
      </c>
      <c r="G92" s="79"/>
      <c r="H92" s="79">
        <v>0</v>
      </c>
      <c r="I92" s="79"/>
      <c r="J92" s="79">
        <v>0</v>
      </c>
      <c r="K92" s="79"/>
      <c r="L92" s="79">
        <v>0</v>
      </c>
      <c r="M92" s="79"/>
      <c r="N92" s="79">
        <v>0</v>
      </c>
      <c r="O92" s="79">
        <v>0</v>
      </c>
      <c r="P92" s="79"/>
      <c r="Q92" s="139">
        <f t="shared" si="8"/>
        <v>0</v>
      </c>
      <c r="R92" s="144" t="str">
        <f t="shared" si="9"/>
        <v>SI</v>
      </c>
      <c r="S92" s="145" t="str">
        <f t="shared" si="4"/>
        <v>Sin Riesgo</v>
      </c>
    </row>
    <row r="93" spans="1:19" s="167" customFormat="1" ht="32.1" customHeight="1">
      <c r="A93" s="419" t="s">
        <v>973</v>
      </c>
      <c r="B93" s="110" t="s">
        <v>629</v>
      </c>
      <c r="C93" s="502" t="s">
        <v>630</v>
      </c>
      <c r="D93" s="119">
        <v>130</v>
      </c>
      <c r="E93" s="79"/>
      <c r="F93" s="79">
        <v>0</v>
      </c>
      <c r="G93" s="79"/>
      <c r="H93" s="79">
        <v>0</v>
      </c>
      <c r="I93" s="79"/>
      <c r="J93" s="79">
        <v>0</v>
      </c>
      <c r="K93" s="79"/>
      <c r="L93" s="79">
        <v>0</v>
      </c>
      <c r="M93" s="79"/>
      <c r="N93" s="79">
        <v>0</v>
      </c>
      <c r="O93" s="79">
        <v>0</v>
      </c>
      <c r="P93" s="79"/>
      <c r="Q93" s="139">
        <f t="shared" si="8"/>
        <v>0</v>
      </c>
      <c r="R93" s="144" t="str">
        <f t="shared" si="9"/>
        <v>SI</v>
      </c>
      <c r="S93" s="145" t="str">
        <f t="shared" si="4"/>
        <v>Sin Riesgo</v>
      </c>
    </row>
    <row r="94" spans="1:19" s="167" customFormat="1" ht="32.1" customHeight="1">
      <c r="A94" s="419" t="s">
        <v>973</v>
      </c>
      <c r="B94" s="110" t="s">
        <v>631</v>
      </c>
      <c r="C94" s="502" t="s">
        <v>632</v>
      </c>
      <c r="D94" s="119">
        <v>342</v>
      </c>
      <c r="E94" s="79"/>
      <c r="F94" s="79">
        <v>0</v>
      </c>
      <c r="G94" s="79"/>
      <c r="H94" s="79">
        <v>0</v>
      </c>
      <c r="I94" s="79"/>
      <c r="J94" s="79">
        <v>0</v>
      </c>
      <c r="K94" s="79"/>
      <c r="L94" s="79">
        <v>0</v>
      </c>
      <c r="M94" s="79"/>
      <c r="N94" s="79">
        <v>0</v>
      </c>
      <c r="O94" s="79">
        <v>0</v>
      </c>
      <c r="P94" s="79"/>
      <c r="Q94" s="139">
        <f t="shared" si="8"/>
        <v>0</v>
      </c>
      <c r="R94" s="144" t="str">
        <f t="shared" si="9"/>
        <v>SI</v>
      </c>
      <c r="S94" s="145" t="str">
        <f t="shared" si="4"/>
        <v>Sin Riesgo</v>
      </c>
    </row>
    <row r="95" spans="1:19" s="167" customFormat="1" ht="32.1" customHeight="1">
      <c r="A95" s="419" t="s">
        <v>973</v>
      </c>
      <c r="B95" s="110" t="s">
        <v>633</v>
      </c>
      <c r="C95" s="502" t="s">
        <v>634</v>
      </c>
      <c r="D95" s="119">
        <v>175</v>
      </c>
      <c r="E95" s="79"/>
      <c r="F95" s="79">
        <v>0</v>
      </c>
      <c r="G95" s="79"/>
      <c r="H95" s="79">
        <v>0</v>
      </c>
      <c r="I95" s="79"/>
      <c r="J95" s="79">
        <v>0</v>
      </c>
      <c r="K95" s="79"/>
      <c r="L95" s="79">
        <v>0</v>
      </c>
      <c r="M95" s="79"/>
      <c r="N95" s="79">
        <v>0</v>
      </c>
      <c r="O95" s="79">
        <v>0</v>
      </c>
      <c r="P95" s="79"/>
      <c r="Q95" s="139">
        <f t="shared" si="8"/>
        <v>0</v>
      </c>
      <c r="R95" s="144" t="str">
        <f t="shared" si="9"/>
        <v>SI</v>
      </c>
      <c r="S95" s="145" t="str">
        <f t="shared" si="4"/>
        <v>Sin Riesgo</v>
      </c>
    </row>
    <row r="96" spans="1:19" s="167" customFormat="1" ht="32.1" customHeight="1">
      <c r="A96" s="419" t="s">
        <v>973</v>
      </c>
      <c r="B96" s="110" t="s">
        <v>635</v>
      </c>
      <c r="C96" s="502" t="s">
        <v>636</v>
      </c>
      <c r="D96" s="119">
        <v>87</v>
      </c>
      <c r="E96" s="79"/>
      <c r="F96" s="79">
        <v>0</v>
      </c>
      <c r="G96" s="79"/>
      <c r="H96" s="79">
        <v>0</v>
      </c>
      <c r="I96" s="79"/>
      <c r="J96" s="79">
        <v>0</v>
      </c>
      <c r="K96" s="79"/>
      <c r="L96" s="79">
        <v>0</v>
      </c>
      <c r="M96" s="79"/>
      <c r="N96" s="79">
        <v>0</v>
      </c>
      <c r="O96" s="79">
        <v>0</v>
      </c>
      <c r="P96" s="79"/>
      <c r="Q96" s="139">
        <f t="shared" si="8"/>
        <v>0</v>
      </c>
      <c r="R96" s="144" t="str">
        <f t="shared" si="9"/>
        <v>SI</v>
      </c>
      <c r="S96" s="145" t="str">
        <f t="shared" si="4"/>
        <v>Sin Riesgo</v>
      </c>
    </row>
    <row r="97" spans="1:19" s="167" customFormat="1" ht="32.1" customHeight="1">
      <c r="A97" s="419" t="s">
        <v>973</v>
      </c>
      <c r="B97" s="110" t="s">
        <v>637</v>
      </c>
      <c r="C97" s="502" t="s">
        <v>638</v>
      </c>
      <c r="D97" s="119">
        <v>343</v>
      </c>
      <c r="E97" s="79">
        <v>0</v>
      </c>
      <c r="F97" s="79"/>
      <c r="G97" s="79">
        <v>0</v>
      </c>
      <c r="H97" s="79"/>
      <c r="I97" s="79">
        <v>0</v>
      </c>
      <c r="J97" s="79"/>
      <c r="K97" s="79"/>
      <c r="L97" s="79">
        <v>0</v>
      </c>
      <c r="M97" s="79">
        <v>0</v>
      </c>
      <c r="N97" s="79">
        <v>0</v>
      </c>
      <c r="O97" s="79"/>
      <c r="P97" s="79"/>
      <c r="Q97" s="139">
        <f t="shared" si="8"/>
        <v>0</v>
      </c>
      <c r="R97" s="144" t="str">
        <f t="shared" si="9"/>
        <v>SI</v>
      </c>
      <c r="S97" s="145" t="str">
        <f t="shared" ref="S97:S130" si="10">IF(Q97&lt;5,"Sin Riesgo",IF(Q97 &lt;=14,"Bajo",IF(Q97&lt;=35,"Medio",IF(Q97&lt;=80,"Alto","Inviable Sanitariamente"))))</f>
        <v>Sin Riesgo</v>
      </c>
    </row>
    <row r="98" spans="1:19" s="167" customFormat="1" ht="32.1" customHeight="1">
      <c r="A98" s="419" t="s">
        <v>973</v>
      </c>
      <c r="B98" s="110" t="s">
        <v>639</v>
      </c>
      <c r="C98" s="502" t="s">
        <v>640</v>
      </c>
      <c r="D98" s="114">
        <v>320</v>
      </c>
      <c r="E98" s="79"/>
      <c r="F98" s="79">
        <v>0</v>
      </c>
      <c r="G98" s="79"/>
      <c r="H98" s="79">
        <v>0</v>
      </c>
      <c r="I98" s="79"/>
      <c r="J98" s="79">
        <v>0</v>
      </c>
      <c r="K98" s="79"/>
      <c r="L98" s="79">
        <v>0</v>
      </c>
      <c r="M98" s="79"/>
      <c r="N98" s="79">
        <v>0</v>
      </c>
      <c r="O98" s="79">
        <v>0</v>
      </c>
      <c r="P98" s="79"/>
      <c r="Q98" s="139">
        <f t="shared" si="8"/>
        <v>0</v>
      </c>
      <c r="R98" s="144" t="str">
        <f t="shared" si="9"/>
        <v>SI</v>
      </c>
      <c r="S98" s="145" t="str">
        <f t="shared" si="10"/>
        <v>Sin Riesgo</v>
      </c>
    </row>
    <row r="99" spans="1:19" s="167" customFormat="1" ht="32.1" customHeight="1">
      <c r="A99" s="419" t="s">
        <v>973</v>
      </c>
      <c r="B99" s="110" t="s">
        <v>641</v>
      </c>
      <c r="C99" s="502" t="s">
        <v>642</v>
      </c>
      <c r="D99" s="119">
        <v>78</v>
      </c>
      <c r="E99" s="79"/>
      <c r="F99" s="79">
        <v>0</v>
      </c>
      <c r="G99" s="79"/>
      <c r="H99" s="79">
        <v>0</v>
      </c>
      <c r="I99" s="79"/>
      <c r="J99" s="79">
        <v>0</v>
      </c>
      <c r="K99" s="79"/>
      <c r="L99" s="79">
        <v>0</v>
      </c>
      <c r="M99" s="79"/>
      <c r="N99" s="79">
        <v>0</v>
      </c>
      <c r="O99" s="79">
        <v>0</v>
      </c>
      <c r="P99" s="79"/>
      <c r="Q99" s="139">
        <f t="shared" si="8"/>
        <v>0</v>
      </c>
      <c r="R99" s="144" t="str">
        <f t="shared" si="9"/>
        <v>SI</v>
      </c>
      <c r="S99" s="145" t="str">
        <f t="shared" si="10"/>
        <v>Sin Riesgo</v>
      </c>
    </row>
    <row r="100" spans="1:19" s="167" customFormat="1" ht="32.1" customHeight="1">
      <c r="A100" s="419" t="s">
        <v>973</v>
      </c>
      <c r="B100" s="110" t="s">
        <v>643</v>
      </c>
      <c r="C100" s="502" t="s">
        <v>644</v>
      </c>
      <c r="D100" s="119">
        <v>17</v>
      </c>
      <c r="E100" s="79"/>
      <c r="F100" s="79">
        <v>0</v>
      </c>
      <c r="G100" s="79"/>
      <c r="H100" s="79">
        <v>0</v>
      </c>
      <c r="I100" s="79"/>
      <c r="J100" s="79">
        <v>0</v>
      </c>
      <c r="K100" s="79"/>
      <c r="L100" s="79">
        <v>0</v>
      </c>
      <c r="M100" s="79"/>
      <c r="N100" s="79">
        <v>0</v>
      </c>
      <c r="O100" s="79">
        <v>0</v>
      </c>
      <c r="P100" s="79"/>
      <c r="Q100" s="139">
        <f t="shared" si="8"/>
        <v>0</v>
      </c>
      <c r="R100" s="144" t="str">
        <f t="shared" si="9"/>
        <v>SI</v>
      </c>
      <c r="S100" s="145" t="str">
        <f t="shared" si="10"/>
        <v>Sin Riesgo</v>
      </c>
    </row>
    <row r="101" spans="1:19" s="167" customFormat="1" ht="32.1" customHeight="1">
      <c r="A101" s="419" t="s">
        <v>973</v>
      </c>
      <c r="B101" s="110" t="s">
        <v>645</v>
      </c>
      <c r="C101" s="502" t="s">
        <v>646</v>
      </c>
      <c r="D101" s="114">
        <v>262</v>
      </c>
      <c r="E101" s="79"/>
      <c r="F101" s="79">
        <v>0</v>
      </c>
      <c r="G101" s="79"/>
      <c r="H101" s="79">
        <v>0</v>
      </c>
      <c r="I101" s="79"/>
      <c r="J101" s="79">
        <v>0</v>
      </c>
      <c r="K101" s="79"/>
      <c r="L101" s="79">
        <v>0</v>
      </c>
      <c r="M101" s="79"/>
      <c r="N101" s="79">
        <v>0</v>
      </c>
      <c r="O101" s="79">
        <v>0</v>
      </c>
      <c r="P101" s="79"/>
      <c r="Q101" s="139">
        <f t="shared" si="8"/>
        <v>0</v>
      </c>
      <c r="R101" s="144" t="str">
        <f t="shared" si="9"/>
        <v>SI</v>
      </c>
      <c r="S101" s="145" t="str">
        <f t="shared" si="10"/>
        <v>Sin Riesgo</v>
      </c>
    </row>
    <row r="102" spans="1:19" s="167" customFormat="1" ht="32.1" customHeight="1">
      <c r="A102" s="419" t="s">
        <v>973</v>
      </c>
      <c r="B102" s="110" t="s">
        <v>8</v>
      </c>
      <c r="C102" s="502" t="s">
        <v>647</v>
      </c>
      <c r="D102" s="119">
        <v>284</v>
      </c>
      <c r="E102" s="79"/>
      <c r="F102" s="79">
        <v>0</v>
      </c>
      <c r="G102" s="79"/>
      <c r="H102" s="79">
        <v>0</v>
      </c>
      <c r="I102" s="79"/>
      <c r="J102" s="79">
        <v>0</v>
      </c>
      <c r="K102" s="79"/>
      <c r="L102" s="79">
        <v>0</v>
      </c>
      <c r="M102" s="79"/>
      <c r="N102" s="79">
        <v>0</v>
      </c>
      <c r="O102" s="79">
        <v>0</v>
      </c>
      <c r="P102" s="79"/>
      <c r="Q102" s="139">
        <f t="shared" si="8"/>
        <v>0</v>
      </c>
      <c r="R102" s="144" t="str">
        <f t="shared" si="9"/>
        <v>SI</v>
      </c>
      <c r="S102" s="145" t="str">
        <f t="shared" si="10"/>
        <v>Sin Riesgo</v>
      </c>
    </row>
    <row r="103" spans="1:19" s="167" customFormat="1" ht="32.1" customHeight="1">
      <c r="A103" s="419" t="s">
        <v>973</v>
      </c>
      <c r="B103" s="110" t="s">
        <v>648</v>
      </c>
      <c r="C103" s="502" t="s">
        <v>649</v>
      </c>
      <c r="D103" s="119">
        <v>164</v>
      </c>
      <c r="E103" s="79"/>
      <c r="F103" s="79">
        <v>20.98</v>
      </c>
      <c r="G103" s="79"/>
      <c r="H103" s="79">
        <v>0</v>
      </c>
      <c r="I103" s="79"/>
      <c r="J103" s="79">
        <v>0</v>
      </c>
      <c r="K103" s="79"/>
      <c r="L103" s="79">
        <v>0</v>
      </c>
      <c r="M103" s="79"/>
      <c r="N103" s="79">
        <v>0</v>
      </c>
      <c r="O103" s="79">
        <v>0</v>
      </c>
      <c r="P103" s="79"/>
      <c r="Q103" s="139">
        <f t="shared" si="8"/>
        <v>3.4966666666666666</v>
      </c>
      <c r="R103" s="144" t="str">
        <f t="shared" si="9"/>
        <v>SI</v>
      </c>
      <c r="S103" s="145" t="str">
        <f t="shared" si="10"/>
        <v>Sin Riesgo</v>
      </c>
    </row>
    <row r="104" spans="1:19" s="167" customFormat="1" ht="32.1" customHeight="1">
      <c r="A104" s="419" t="s">
        <v>973</v>
      </c>
      <c r="B104" s="110" t="s">
        <v>650</v>
      </c>
      <c r="C104" s="502" t="s">
        <v>651</v>
      </c>
      <c r="D104" s="114">
        <v>452</v>
      </c>
      <c r="E104" s="79"/>
      <c r="F104" s="79">
        <v>0</v>
      </c>
      <c r="G104" s="79"/>
      <c r="H104" s="79">
        <v>0</v>
      </c>
      <c r="I104" s="79"/>
      <c r="J104" s="79">
        <v>0</v>
      </c>
      <c r="K104" s="79"/>
      <c r="L104" s="79">
        <v>0</v>
      </c>
      <c r="M104" s="79"/>
      <c r="N104" s="79">
        <v>0</v>
      </c>
      <c r="O104" s="79">
        <v>0</v>
      </c>
      <c r="P104" s="79"/>
      <c r="Q104" s="139">
        <f t="shared" si="8"/>
        <v>0</v>
      </c>
      <c r="R104" s="144" t="str">
        <f t="shared" si="9"/>
        <v>SI</v>
      </c>
      <c r="S104" s="145" t="str">
        <f t="shared" si="10"/>
        <v>Sin Riesgo</v>
      </c>
    </row>
    <row r="105" spans="1:19" s="167" customFormat="1" ht="32.1" customHeight="1">
      <c r="A105" s="419" t="s">
        <v>973</v>
      </c>
      <c r="B105" s="110" t="s">
        <v>652</v>
      </c>
      <c r="C105" s="502" t="s">
        <v>653</v>
      </c>
      <c r="D105" s="119">
        <v>452</v>
      </c>
      <c r="E105" s="79"/>
      <c r="F105" s="79">
        <v>0</v>
      </c>
      <c r="G105" s="79"/>
      <c r="H105" s="79">
        <v>0</v>
      </c>
      <c r="I105" s="79"/>
      <c r="J105" s="79">
        <v>0</v>
      </c>
      <c r="K105" s="79"/>
      <c r="L105" s="79">
        <v>0</v>
      </c>
      <c r="M105" s="79"/>
      <c r="N105" s="79">
        <v>0</v>
      </c>
      <c r="O105" s="79">
        <v>0</v>
      </c>
      <c r="P105" s="79"/>
      <c r="Q105" s="139">
        <f t="shared" si="8"/>
        <v>0</v>
      </c>
      <c r="R105" s="144" t="str">
        <f t="shared" si="9"/>
        <v>SI</v>
      </c>
      <c r="S105" s="145" t="str">
        <f t="shared" si="10"/>
        <v>Sin Riesgo</v>
      </c>
    </row>
    <row r="106" spans="1:19" s="167" customFormat="1" ht="32.1" customHeight="1">
      <c r="A106" s="419" t="s">
        <v>973</v>
      </c>
      <c r="B106" s="110" t="s">
        <v>654</v>
      </c>
      <c r="C106" s="502" t="s">
        <v>655</v>
      </c>
      <c r="D106" s="119">
        <v>40</v>
      </c>
      <c r="E106" s="79"/>
      <c r="F106" s="79"/>
      <c r="G106" s="79"/>
      <c r="H106" s="79"/>
      <c r="I106" s="79"/>
      <c r="J106" s="79">
        <v>0</v>
      </c>
      <c r="K106" s="79"/>
      <c r="L106" s="79">
        <v>0</v>
      </c>
      <c r="M106" s="79"/>
      <c r="N106" s="79">
        <v>0</v>
      </c>
      <c r="O106" s="79">
        <v>0</v>
      </c>
      <c r="P106" s="79"/>
      <c r="Q106" s="139">
        <f t="shared" si="8"/>
        <v>0</v>
      </c>
      <c r="R106" s="144" t="str">
        <f t="shared" si="9"/>
        <v>SI</v>
      </c>
      <c r="S106" s="145" t="str">
        <f t="shared" si="10"/>
        <v>Sin Riesgo</v>
      </c>
    </row>
    <row r="107" spans="1:19" s="167" customFormat="1" ht="32.1" customHeight="1">
      <c r="A107" s="419" t="s">
        <v>973</v>
      </c>
      <c r="B107" s="110" t="s">
        <v>656</v>
      </c>
      <c r="C107" s="502" t="s">
        <v>657</v>
      </c>
      <c r="D107" s="119">
        <v>200</v>
      </c>
      <c r="E107" s="79"/>
      <c r="F107" s="79"/>
      <c r="G107" s="79"/>
      <c r="H107" s="79"/>
      <c r="I107" s="79"/>
      <c r="J107" s="79">
        <v>0</v>
      </c>
      <c r="K107" s="79"/>
      <c r="L107" s="79">
        <v>0</v>
      </c>
      <c r="M107" s="79"/>
      <c r="N107" s="79">
        <v>0</v>
      </c>
      <c r="O107" s="79">
        <v>0</v>
      </c>
      <c r="P107" s="79"/>
      <c r="Q107" s="139">
        <f t="shared" ref="Q107" si="11">AVERAGE(E107:P107)</f>
        <v>0</v>
      </c>
      <c r="R107" s="144" t="str">
        <f t="shared" ref="R107" si="12">IF(Q107&lt;5,"SI","NO")</f>
        <v>SI</v>
      </c>
      <c r="S107" s="145" t="str">
        <f t="shared" ref="S107" si="13">IF(Q107&lt;5,"Sin Riesgo",IF(Q107 &lt;=14,"Bajo",IF(Q107&lt;=35,"Medio",IF(Q107&lt;=80,"Alto","Inviable Sanitariamente"))))</f>
        <v>Sin Riesgo</v>
      </c>
    </row>
    <row r="108" spans="1:19" s="167" customFormat="1" ht="32.1" customHeight="1">
      <c r="A108" s="419" t="s">
        <v>973</v>
      </c>
      <c r="B108" s="110" t="s">
        <v>4543</v>
      </c>
      <c r="C108" s="502" t="s">
        <v>657</v>
      </c>
      <c r="D108" s="119"/>
      <c r="E108" s="79"/>
      <c r="F108" s="79">
        <v>0</v>
      </c>
      <c r="G108" s="79"/>
      <c r="H108" s="79">
        <v>0</v>
      </c>
      <c r="I108" s="79"/>
      <c r="J108" s="79">
        <v>0</v>
      </c>
      <c r="K108" s="79"/>
      <c r="L108" s="79">
        <v>0</v>
      </c>
      <c r="M108" s="79"/>
      <c r="N108" s="79">
        <v>0</v>
      </c>
      <c r="O108" s="79">
        <v>0</v>
      </c>
      <c r="P108" s="79"/>
      <c r="Q108" s="139">
        <f t="shared" si="8"/>
        <v>0</v>
      </c>
      <c r="R108" s="144" t="str">
        <f t="shared" si="9"/>
        <v>SI</v>
      </c>
      <c r="S108" s="145" t="str">
        <f t="shared" si="10"/>
        <v>Sin Riesgo</v>
      </c>
    </row>
    <row r="109" spans="1:19" s="167" customFormat="1" ht="32.1" customHeight="1">
      <c r="A109" s="419" t="s">
        <v>973</v>
      </c>
      <c r="B109" s="110" t="s">
        <v>4544</v>
      </c>
      <c r="C109" s="502" t="s">
        <v>658</v>
      </c>
      <c r="D109" s="119">
        <v>200</v>
      </c>
      <c r="E109" s="79"/>
      <c r="F109" s="79"/>
      <c r="G109" s="79"/>
      <c r="H109" s="79">
        <v>0</v>
      </c>
      <c r="I109" s="79"/>
      <c r="J109" s="79">
        <v>0</v>
      </c>
      <c r="K109" s="79"/>
      <c r="L109" s="79">
        <v>0</v>
      </c>
      <c r="M109" s="79"/>
      <c r="N109" s="79">
        <v>0</v>
      </c>
      <c r="O109" s="79">
        <v>0</v>
      </c>
      <c r="P109" s="79"/>
      <c r="Q109" s="139">
        <f t="shared" ref="Q109" si="14">AVERAGE(E109:P109)</f>
        <v>0</v>
      </c>
      <c r="R109" s="144" t="str">
        <f t="shared" ref="R109" si="15">IF(Q109&lt;5,"SI","NO")</f>
        <v>SI</v>
      </c>
      <c r="S109" s="145" t="str">
        <f t="shared" ref="S109" si="16">IF(Q109&lt;5,"Sin Riesgo",IF(Q109 &lt;=14,"Bajo",IF(Q109&lt;=35,"Medio",IF(Q109&lt;=80,"Alto","Inviable Sanitariamente"))))</f>
        <v>Sin Riesgo</v>
      </c>
    </row>
    <row r="110" spans="1:19" s="167" customFormat="1" ht="32.1" customHeight="1">
      <c r="A110" s="419" t="s">
        <v>973</v>
      </c>
      <c r="B110" s="110" t="s">
        <v>4545</v>
      </c>
      <c r="C110" s="502" t="s">
        <v>658</v>
      </c>
      <c r="D110" s="119">
        <v>200</v>
      </c>
      <c r="E110" s="79"/>
      <c r="F110" s="79">
        <v>0</v>
      </c>
      <c r="G110" s="79"/>
      <c r="H110" s="79">
        <v>0</v>
      </c>
      <c r="I110" s="79"/>
      <c r="J110" s="79">
        <v>0</v>
      </c>
      <c r="K110" s="79"/>
      <c r="L110" s="79">
        <v>0</v>
      </c>
      <c r="M110" s="79"/>
      <c r="N110" s="79">
        <v>0</v>
      </c>
      <c r="O110" s="79">
        <v>0</v>
      </c>
      <c r="P110" s="79"/>
      <c r="Q110" s="139">
        <f t="shared" si="8"/>
        <v>0</v>
      </c>
      <c r="R110" s="144" t="str">
        <f t="shared" si="9"/>
        <v>SI</v>
      </c>
      <c r="S110" s="145" t="str">
        <f t="shared" si="10"/>
        <v>Sin Riesgo</v>
      </c>
    </row>
    <row r="111" spans="1:19" s="167" customFormat="1" ht="32.1" customHeight="1">
      <c r="A111" s="419" t="s">
        <v>973</v>
      </c>
      <c r="B111" s="110" t="s">
        <v>659</v>
      </c>
      <c r="C111" s="502" t="s">
        <v>660</v>
      </c>
      <c r="D111" s="119">
        <v>20</v>
      </c>
      <c r="E111" s="79">
        <v>26.55</v>
      </c>
      <c r="F111" s="79"/>
      <c r="G111" s="79">
        <v>20.98</v>
      </c>
      <c r="H111" s="79"/>
      <c r="I111" s="79">
        <v>0</v>
      </c>
      <c r="J111" s="79"/>
      <c r="K111" s="79"/>
      <c r="L111" s="79">
        <v>0</v>
      </c>
      <c r="M111" s="79">
        <v>0</v>
      </c>
      <c r="N111" s="79"/>
      <c r="O111" s="79">
        <v>0</v>
      </c>
      <c r="P111" s="79"/>
      <c r="Q111" s="139">
        <f t="shared" si="8"/>
        <v>7.9216666666666669</v>
      </c>
      <c r="R111" s="144" t="str">
        <f t="shared" si="9"/>
        <v>NO</v>
      </c>
      <c r="S111" s="145" t="str">
        <f t="shared" si="10"/>
        <v>Bajo</v>
      </c>
    </row>
    <row r="112" spans="1:19" s="167" customFormat="1" ht="32.1" customHeight="1">
      <c r="A112" s="419" t="s">
        <v>973</v>
      </c>
      <c r="B112" s="110" t="s">
        <v>516</v>
      </c>
      <c r="C112" s="502" t="s">
        <v>661</v>
      </c>
      <c r="D112" s="119">
        <v>607</v>
      </c>
      <c r="E112" s="79">
        <v>0</v>
      </c>
      <c r="F112" s="79"/>
      <c r="G112" s="79">
        <v>0</v>
      </c>
      <c r="H112" s="79"/>
      <c r="I112" s="79">
        <v>0</v>
      </c>
      <c r="J112" s="79"/>
      <c r="K112" s="79"/>
      <c r="L112" s="79">
        <v>0</v>
      </c>
      <c r="M112" s="79">
        <v>0</v>
      </c>
      <c r="N112" s="79"/>
      <c r="O112" s="79">
        <v>0</v>
      </c>
      <c r="P112" s="79"/>
      <c r="Q112" s="139">
        <f t="shared" si="8"/>
        <v>0</v>
      </c>
      <c r="R112" s="144" t="str">
        <f t="shared" si="9"/>
        <v>SI</v>
      </c>
      <c r="S112" s="145" t="str">
        <f t="shared" si="10"/>
        <v>Sin Riesgo</v>
      </c>
    </row>
    <row r="113" spans="1:19" s="167" customFormat="1" ht="32.1" customHeight="1">
      <c r="A113" s="419" t="s">
        <v>973</v>
      </c>
      <c r="B113" s="110" t="s">
        <v>662</v>
      </c>
      <c r="C113" s="502" t="s">
        <v>663</v>
      </c>
      <c r="D113" s="119">
        <v>489</v>
      </c>
      <c r="E113" s="79">
        <v>26.55</v>
      </c>
      <c r="F113" s="79"/>
      <c r="G113" s="79">
        <v>20.98</v>
      </c>
      <c r="H113" s="79"/>
      <c r="I113" s="79">
        <v>0</v>
      </c>
      <c r="J113" s="79"/>
      <c r="K113" s="79"/>
      <c r="L113" s="79">
        <v>0</v>
      </c>
      <c r="M113" s="79">
        <v>0</v>
      </c>
      <c r="N113" s="79"/>
      <c r="O113" s="79">
        <v>0</v>
      </c>
      <c r="P113" s="79"/>
      <c r="Q113" s="139">
        <f t="shared" si="8"/>
        <v>7.9216666666666669</v>
      </c>
      <c r="R113" s="144" t="str">
        <f t="shared" si="9"/>
        <v>NO</v>
      </c>
      <c r="S113" s="145" t="str">
        <f t="shared" si="10"/>
        <v>Bajo</v>
      </c>
    </row>
    <row r="114" spans="1:19" s="167" customFormat="1" ht="32.1" customHeight="1">
      <c r="A114" s="419" t="s">
        <v>973</v>
      </c>
      <c r="B114" s="110" t="s">
        <v>664</v>
      </c>
      <c r="C114" s="502" t="s">
        <v>665</v>
      </c>
      <c r="D114" s="119">
        <v>84</v>
      </c>
      <c r="E114" s="79">
        <v>0</v>
      </c>
      <c r="F114" s="79"/>
      <c r="G114" s="79">
        <v>0</v>
      </c>
      <c r="H114" s="79"/>
      <c r="I114" s="79">
        <v>0</v>
      </c>
      <c r="J114" s="79"/>
      <c r="K114" s="79"/>
      <c r="L114" s="79">
        <v>0</v>
      </c>
      <c r="M114" s="79">
        <v>0</v>
      </c>
      <c r="N114" s="79"/>
      <c r="O114" s="79">
        <v>0</v>
      </c>
      <c r="P114" s="79"/>
      <c r="Q114" s="139">
        <f t="shared" si="8"/>
        <v>0</v>
      </c>
      <c r="R114" s="144" t="str">
        <f t="shared" si="9"/>
        <v>SI</v>
      </c>
      <c r="S114" s="145" t="str">
        <f t="shared" si="10"/>
        <v>Sin Riesgo</v>
      </c>
    </row>
    <row r="115" spans="1:19" s="167" customFormat="1" ht="32.1" customHeight="1">
      <c r="A115" s="419" t="s">
        <v>973</v>
      </c>
      <c r="B115" s="110" t="s">
        <v>659</v>
      </c>
      <c r="C115" s="502" t="s">
        <v>683</v>
      </c>
      <c r="D115" s="119">
        <v>80</v>
      </c>
      <c r="E115" s="79"/>
      <c r="F115" s="79">
        <v>2.1</v>
      </c>
      <c r="G115" s="79"/>
      <c r="H115" s="79">
        <v>0</v>
      </c>
      <c r="I115" s="79"/>
      <c r="J115" s="79">
        <v>0</v>
      </c>
      <c r="K115" s="79"/>
      <c r="L115" s="79">
        <v>2.1</v>
      </c>
      <c r="M115" s="79"/>
      <c r="N115" s="79">
        <v>0</v>
      </c>
      <c r="O115" s="79">
        <v>0</v>
      </c>
      <c r="P115" s="79"/>
      <c r="Q115" s="139">
        <f t="shared" si="8"/>
        <v>0.70000000000000007</v>
      </c>
      <c r="R115" s="144" t="str">
        <f t="shared" si="9"/>
        <v>SI</v>
      </c>
      <c r="S115" s="145" t="str">
        <f t="shared" si="10"/>
        <v>Sin Riesgo</v>
      </c>
    </row>
    <row r="116" spans="1:19" s="167" customFormat="1" ht="32.1" customHeight="1">
      <c r="A116" s="419" t="s">
        <v>973</v>
      </c>
      <c r="B116" s="110" t="s">
        <v>63</v>
      </c>
      <c r="C116" s="502" t="s">
        <v>684</v>
      </c>
      <c r="D116" s="119">
        <v>237</v>
      </c>
      <c r="E116" s="79"/>
      <c r="F116" s="79">
        <v>0</v>
      </c>
      <c r="G116" s="79"/>
      <c r="H116" s="79">
        <v>2.1</v>
      </c>
      <c r="I116" s="79"/>
      <c r="J116" s="79">
        <v>2.1</v>
      </c>
      <c r="K116" s="79"/>
      <c r="L116" s="79">
        <v>0</v>
      </c>
      <c r="M116" s="79"/>
      <c r="N116" s="79">
        <v>0</v>
      </c>
      <c r="O116" s="79">
        <v>0</v>
      </c>
      <c r="P116" s="79"/>
      <c r="Q116" s="139">
        <f t="shared" si="8"/>
        <v>0.70000000000000007</v>
      </c>
      <c r="R116" s="144" t="str">
        <f t="shared" si="9"/>
        <v>SI</v>
      </c>
      <c r="S116" s="145" t="str">
        <f t="shared" si="10"/>
        <v>Sin Riesgo</v>
      </c>
    </row>
    <row r="117" spans="1:19" s="167" customFormat="1" ht="32.1" customHeight="1">
      <c r="A117" s="419" t="s">
        <v>973</v>
      </c>
      <c r="B117" s="110" t="s">
        <v>664</v>
      </c>
      <c r="C117" s="502" t="s">
        <v>685</v>
      </c>
      <c r="D117" s="119">
        <v>580</v>
      </c>
      <c r="E117" s="79"/>
      <c r="F117" s="79">
        <v>0</v>
      </c>
      <c r="G117" s="79"/>
      <c r="H117" s="79">
        <v>2.1</v>
      </c>
      <c r="I117" s="79"/>
      <c r="J117" s="79">
        <v>2.1</v>
      </c>
      <c r="K117" s="79"/>
      <c r="L117" s="79">
        <v>0</v>
      </c>
      <c r="M117" s="79"/>
      <c r="N117" s="79">
        <v>0</v>
      </c>
      <c r="O117" s="79">
        <v>0</v>
      </c>
      <c r="P117" s="79"/>
      <c r="Q117" s="139">
        <f t="shared" si="8"/>
        <v>0.70000000000000007</v>
      </c>
      <c r="R117" s="144" t="str">
        <f t="shared" si="9"/>
        <v>SI</v>
      </c>
      <c r="S117" s="145" t="str">
        <f t="shared" si="10"/>
        <v>Sin Riesgo</v>
      </c>
    </row>
    <row r="118" spans="1:19" s="167" customFormat="1" ht="32.1" customHeight="1">
      <c r="A118" s="419" t="s">
        <v>973</v>
      </c>
      <c r="B118" s="110" t="s">
        <v>666</v>
      </c>
      <c r="C118" s="502" t="s">
        <v>667</v>
      </c>
      <c r="D118" s="119">
        <v>110</v>
      </c>
      <c r="E118" s="79"/>
      <c r="F118" s="79">
        <v>0</v>
      </c>
      <c r="G118" s="79"/>
      <c r="H118" s="79">
        <v>2.1</v>
      </c>
      <c r="I118" s="79"/>
      <c r="J118" s="79">
        <v>0</v>
      </c>
      <c r="K118" s="79"/>
      <c r="L118" s="79">
        <v>2.1</v>
      </c>
      <c r="M118" s="79"/>
      <c r="N118" s="79">
        <v>0</v>
      </c>
      <c r="O118" s="79">
        <v>0</v>
      </c>
      <c r="P118" s="79"/>
      <c r="Q118" s="139">
        <f t="shared" si="8"/>
        <v>0.70000000000000007</v>
      </c>
      <c r="R118" s="144" t="str">
        <f t="shared" si="9"/>
        <v>SI</v>
      </c>
      <c r="S118" s="145" t="str">
        <f t="shared" si="10"/>
        <v>Sin Riesgo</v>
      </c>
    </row>
    <row r="119" spans="1:19" s="167" customFormat="1" ht="32.1" customHeight="1">
      <c r="A119" s="419" t="s">
        <v>973</v>
      </c>
      <c r="B119" s="110" t="s">
        <v>668</v>
      </c>
      <c r="C119" s="502" t="s">
        <v>669</v>
      </c>
      <c r="D119" s="119">
        <v>535</v>
      </c>
      <c r="E119" s="79"/>
      <c r="F119" s="79">
        <v>2.1</v>
      </c>
      <c r="G119" s="79"/>
      <c r="H119" s="79">
        <v>2.1</v>
      </c>
      <c r="I119" s="79"/>
      <c r="J119" s="79">
        <v>0</v>
      </c>
      <c r="K119" s="79"/>
      <c r="L119" s="79">
        <v>0</v>
      </c>
      <c r="M119" s="79"/>
      <c r="N119" s="79">
        <v>0</v>
      </c>
      <c r="O119" s="79">
        <v>0</v>
      </c>
      <c r="P119" s="79"/>
      <c r="Q119" s="139">
        <f t="shared" si="8"/>
        <v>0.70000000000000007</v>
      </c>
      <c r="R119" s="144" t="str">
        <f t="shared" si="9"/>
        <v>SI</v>
      </c>
      <c r="S119" s="145" t="str">
        <f t="shared" si="10"/>
        <v>Sin Riesgo</v>
      </c>
    </row>
    <row r="120" spans="1:19" s="167" customFormat="1" ht="32.1" customHeight="1">
      <c r="A120" s="419" t="s">
        <v>973</v>
      </c>
      <c r="B120" s="110" t="s">
        <v>670</v>
      </c>
      <c r="C120" s="502" t="s">
        <v>671</v>
      </c>
      <c r="D120" s="119">
        <v>374</v>
      </c>
      <c r="E120" s="79"/>
      <c r="F120" s="79">
        <v>0</v>
      </c>
      <c r="G120" s="79"/>
      <c r="H120" s="79">
        <v>2.1</v>
      </c>
      <c r="I120" s="79"/>
      <c r="J120" s="79">
        <v>2.1</v>
      </c>
      <c r="K120" s="79"/>
      <c r="L120" s="79">
        <v>0</v>
      </c>
      <c r="M120" s="79"/>
      <c r="N120" s="79">
        <v>0</v>
      </c>
      <c r="O120" s="79">
        <v>0</v>
      </c>
      <c r="P120" s="79"/>
      <c r="Q120" s="139">
        <f t="shared" si="8"/>
        <v>0.70000000000000007</v>
      </c>
      <c r="R120" s="144" t="str">
        <f t="shared" si="9"/>
        <v>SI</v>
      </c>
      <c r="S120" s="145" t="str">
        <f t="shared" si="10"/>
        <v>Sin Riesgo</v>
      </c>
    </row>
    <row r="121" spans="1:19" s="167" customFormat="1" ht="32.1" customHeight="1">
      <c r="A121" s="419" t="s">
        <v>973</v>
      </c>
      <c r="B121" s="110" t="s">
        <v>672</v>
      </c>
      <c r="C121" s="502" t="s">
        <v>673</v>
      </c>
      <c r="D121" s="119">
        <v>383</v>
      </c>
      <c r="E121" s="79">
        <v>0</v>
      </c>
      <c r="F121" s="79"/>
      <c r="G121" s="79">
        <v>0</v>
      </c>
      <c r="H121" s="79"/>
      <c r="I121" s="79">
        <v>0</v>
      </c>
      <c r="J121" s="79"/>
      <c r="K121" s="79"/>
      <c r="L121" s="79">
        <v>0</v>
      </c>
      <c r="M121" s="79">
        <v>0</v>
      </c>
      <c r="N121" s="79"/>
      <c r="O121" s="79">
        <v>0</v>
      </c>
      <c r="P121" s="79"/>
      <c r="Q121" s="139">
        <f t="shared" si="8"/>
        <v>0</v>
      </c>
      <c r="R121" s="144" t="str">
        <f t="shared" si="9"/>
        <v>SI</v>
      </c>
      <c r="S121" s="145" t="str">
        <f t="shared" si="10"/>
        <v>Sin Riesgo</v>
      </c>
    </row>
    <row r="122" spans="1:19" s="167" customFormat="1" ht="32.1" customHeight="1">
      <c r="A122" s="419" t="s">
        <v>973</v>
      </c>
      <c r="B122" s="110" t="s">
        <v>674</v>
      </c>
      <c r="C122" s="502" t="s">
        <v>675</v>
      </c>
      <c r="D122" s="119">
        <v>259</v>
      </c>
      <c r="E122" s="79">
        <v>0</v>
      </c>
      <c r="F122" s="79"/>
      <c r="G122" s="79">
        <v>0</v>
      </c>
      <c r="H122" s="79"/>
      <c r="I122" s="79">
        <v>0</v>
      </c>
      <c r="J122" s="79"/>
      <c r="K122" s="79"/>
      <c r="L122" s="79">
        <v>0</v>
      </c>
      <c r="M122" s="79">
        <v>0</v>
      </c>
      <c r="N122" s="79"/>
      <c r="O122" s="79">
        <v>0</v>
      </c>
      <c r="P122" s="79"/>
      <c r="Q122" s="139">
        <f t="shared" si="8"/>
        <v>0</v>
      </c>
      <c r="R122" s="144" t="str">
        <f t="shared" si="9"/>
        <v>SI</v>
      </c>
      <c r="S122" s="145" t="str">
        <f t="shared" si="10"/>
        <v>Sin Riesgo</v>
      </c>
    </row>
    <row r="123" spans="1:19" s="167" customFormat="1" ht="32.1" customHeight="1">
      <c r="A123" s="419" t="s">
        <v>973</v>
      </c>
      <c r="B123" s="110" t="s">
        <v>676</v>
      </c>
      <c r="C123" s="502" t="s">
        <v>677</v>
      </c>
      <c r="D123" s="119">
        <v>220</v>
      </c>
      <c r="E123" s="79"/>
      <c r="F123" s="79">
        <v>0</v>
      </c>
      <c r="G123" s="79"/>
      <c r="H123" s="79">
        <v>0</v>
      </c>
      <c r="I123" s="79"/>
      <c r="J123" s="79">
        <v>0</v>
      </c>
      <c r="K123" s="79"/>
      <c r="L123" s="79">
        <v>0</v>
      </c>
      <c r="M123" s="79"/>
      <c r="N123" s="79">
        <v>0</v>
      </c>
      <c r="O123" s="79">
        <v>0</v>
      </c>
      <c r="P123" s="79"/>
      <c r="Q123" s="139">
        <f t="shared" si="8"/>
        <v>0</v>
      </c>
      <c r="R123" s="144" t="str">
        <f t="shared" si="9"/>
        <v>SI</v>
      </c>
      <c r="S123" s="145" t="str">
        <f t="shared" si="10"/>
        <v>Sin Riesgo</v>
      </c>
    </row>
    <row r="124" spans="1:19" s="167" customFormat="1" ht="32.1" customHeight="1">
      <c r="A124" s="419" t="s">
        <v>973</v>
      </c>
      <c r="B124" s="110" t="s">
        <v>678</v>
      </c>
      <c r="C124" s="502" t="s">
        <v>679</v>
      </c>
      <c r="D124" s="119">
        <v>140</v>
      </c>
      <c r="E124" s="79"/>
      <c r="F124" s="79">
        <v>0</v>
      </c>
      <c r="G124" s="79"/>
      <c r="H124" s="79">
        <v>0</v>
      </c>
      <c r="I124" s="79"/>
      <c r="J124" s="79">
        <v>0</v>
      </c>
      <c r="K124" s="79"/>
      <c r="L124" s="79">
        <v>0</v>
      </c>
      <c r="M124" s="79"/>
      <c r="N124" s="79">
        <v>0</v>
      </c>
      <c r="O124" s="79">
        <v>0</v>
      </c>
      <c r="P124" s="79"/>
      <c r="Q124" s="139">
        <f t="shared" si="8"/>
        <v>0</v>
      </c>
      <c r="R124" s="144" t="str">
        <f t="shared" si="9"/>
        <v>SI</v>
      </c>
      <c r="S124" s="145" t="str">
        <f t="shared" si="10"/>
        <v>Sin Riesgo</v>
      </c>
    </row>
    <row r="125" spans="1:19" s="167" customFormat="1" ht="32.1" customHeight="1">
      <c r="A125" s="419" t="s">
        <v>973</v>
      </c>
      <c r="B125" s="110" t="s">
        <v>2</v>
      </c>
      <c r="C125" s="502" t="s">
        <v>680</v>
      </c>
      <c r="D125" s="119">
        <v>52</v>
      </c>
      <c r="E125" s="79"/>
      <c r="F125" s="79">
        <v>0</v>
      </c>
      <c r="G125" s="79"/>
      <c r="H125" s="79">
        <v>0</v>
      </c>
      <c r="I125" s="79"/>
      <c r="J125" s="79"/>
      <c r="K125" s="79"/>
      <c r="L125" s="79">
        <v>0</v>
      </c>
      <c r="M125" s="79"/>
      <c r="N125" s="79">
        <v>0</v>
      </c>
      <c r="O125" s="79">
        <v>0</v>
      </c>
      <c r="P125" s="79"/>
      <c r="Q125" s="139">
        <f t="shared" si="8"/>
        <v>0</v>
      </c>
      <c r="R125" s="144" t="str">
        <f t="shared" si="9"/>
        <v>SI</v>
      </c>
      <c r="S125" s="145" t="str">
        <f t="shared" si="10"/>
        <v>Sin Riesgo</v>
      </c>
    </row>
    <row r="126" spans="1:19" s="167" customFormat="1" ht="32.1" customHeight="1">
      <c r="A126" s="419" t="s">
        <v>973</v>
      </c>
      <c r="B126" s="110" t="s">
        <v>681</v>
      </c>
      <c r="C126" s="502" t="s">
        <v>682</v>
      </c>
      <c r="D126" s="119">
        <v>128</v>
      </c>
      <c r="E126" s="79"/>
      <c r="F126" s="79">
        <v>0</v>
      </c>
      <c r="G126" s="79"/>
      <c r="H126" s="79">
        <v>0</v>
      </c>
      <c r="I126" s="79"/>
      <c r="J126" s="79">
        <v>0</v>
      </c>
      <c r="K126" s="79"/>
      <c r="L126" s="79">
        <v>0</v>
      </c>
      <c r="M126" s="79"/>
      <c r="N126" s="79">
        <v>0</v>
      </c>
      <c r="O126" s="79">
        <v>0</v>
      </c>
      <c r="P126" s="79"/>
      <c r="Q126" s="139">
        <f t="shared" si="8"/>
        <v>0</v>
      </c>
      <c r="R126" s="144" t="str">
        <f t="shared" si="9"/>
        <v>SI</v>
      </c>
      <c r="S126" s="145" t="str">
        <f t="shared" si="10"/>
        <v>Sin Riesgo</v>
      </c>
    </row>
    <row r="127" spans="1:19" s="167" customFormat="1" ht="32.1" customHeight="1">
      <c r="A127" s="419" t="s">
        <v>210</v>
      </c>
      <c r="B127" s="110" t="s">
        <v>715</v>
      </c>
      <c r="C127" s="502" t="s">
        <v>716</v>
      </c>
      <c r="D127" s="119">
        <v>186</v>
      </c>
      <c r="E127" s="79">
        <v>97.3</v>
      </c>
      <c r="F127" s="79"/>
      <c r="G127" s="79"/>
      <c r="H127" s="79"/>
      <c r="I127" s="79"/>
      <c r="J127" s="79"/>
      <c r="K127" s="79"/>
      <c r="L127" s="79">
        <v>97.3</v>
      </c>
      <c r="M127" s="79"/>
      <c r="N127" s="79"/>
      <c r="O127" s="79"/>
      <c r="P127" s="79"/>
      <c r="Q127" s="139">
        <f t="shared" si="8"/>
        <v>97.3</v>
      </c>
      <c r="R127" s="144" t="str">
        <f t="shared" si="9"/>
        <v>NO</v>
      </c>
      <c r="S127" s="145" t="str">
        <f t="shared" si="10"/>
        <v>Inviable Sanitariamente</v>
      </c>
    </row>
    <row r="128" spans="1:19" s="167" customFormat="1" ht="32.1" customHeight="1">
      <c r="A128" s="419" t="s">
        <v>210</v>
      </c>
      <c r="B128" s="110" t="s">
        <v>74</v>
      </c>
      <c r="C128" s="502" t="s">
        <v>717</v>
      </c>
      <c r="D128" s="119">
        <v>130</v>
      </c>
      <c r="E128" s="79"/>
      <c r="F128" s="79"/>
      <c r="G128" s="79"/>
      <c r="H128" s="79"/>
      <c r="I128" s="79"/>
      <c r="J128" s="79"/>
      <c r="K128" s="79"/>
      <c r="L128" s="79"/>
      <c r="M128" s="79"/>
      <c r="N128" s="79"/>
      <c r="O128" s="79">
        <v>53.1</v>
      </c>
      <c r="P128" s="79">
        <v>97.3</v>
      </c>
      <c r="Q128" s="139">
        <f t="shared" si="8"/>
        <v>75.2</v>
      </c>
      <c r="R128" s="144" t="str">
        <f t="shared" si="9"/>
        <v>NO</v>
      </c>
      <c r="S128" s="145" t="str">
        <f t="shared" si="10"/>
        <v>Alto</v>
      </c>
    </row>
    <row r="129" spans="1:19" s="167" customFormat="1" ht="32.1" customHeight="1">
      <c r="A129" s="419" t="s">
        <v>210</v>
      </c>
      <c r="B129" s="110" t="s">
        <v>718</v>
      </c>
      <c r="C129" s="502" t="s">
        <v>719</v>
      </c>
      <c r="D129" s="119">
        <v>70</v>
      </c>
      <c r="E129" s="79"/>
      <c r="F129" s="79"/>
      <c r="G129" s="79">
        <v>90.16</v>
      </c>
      <c r="H129" s="79"/>
      <c r="I129" s="79"/>
      <c r="J129" s="79"/>
      <c r="K129" s="79"/>
      <c r="L129" s="79"/>
      <c r="M129" s="79"/>
      <c r="N129" s="79">
        <v>97.3</v>
      </c>
      <c r="O129" s="79"/>
      <c r="P129" s="79"/>
      <c r="Q129" s="139">
        <f t="shared" si="8"/>
        <v>93.72999999999999</v>
      </c>
      <c r="R129" s="144" t="str">
        <f t="shared" si="9"/>
        <v>NO</v>
      </c>
      <c r="S129" s="145" t="str">
        <f t="shared" si="10"/>
        <v>Inviable Sanitariamente</v>
      </c>
    </row>
    <row r="130" spans="1:19" s="167" customFormat="1" ht="32.1" customHeight="1">
      <c r="A130" s="419" t="s">
        <v>210</v>
      </c>
      <c r="B130" s="110" t="s">
        <v>720</v>
      </c>
      <c r="C130" s="502" t="s">
        <v>721</v>
      </c>
      <c r="D130" s="119">
        <v>11</v>
      </c>
      <c r="E130" s="79"/>
      <c r="F130" s="79"/>
      <c r="G130" s="79"/>
      <c r="H130" s="79"/>
      <c r="I130" s="79"/>
      <c r="J130" s="79"/>
      <c r="K130" s="79"/>
      <c r="L130" s="79">
        <v>2.65</v>
      </c>
      <c r="M130" s="79"/>
      <c r="N130" s="79"/>
      <c r="O130" s="79">
        <v>97.3</v>
      </c>
      <c r="P130" s="79"/>
      <c r="Q130" s="139">
        <f t="shared" si="8"/>
        <v>49.975000000000001</v>
      </c>
      <c r="R130" s="144" t="str">
        <f t="shared" si="9"/>
        <v>NO</v>
      </c>
      <c r="S130" s="145" t="str">
        <f t="shared" si="10"/>
        <v>Alto</v>
      </c>
    </row>
    <row r="131" spans="1:19" s="167" customFormat="1" ht="32.1" customHeight="1">
      <c r="A131" s="419" t="s">
        <v>210</v>
      </c>
      <c r="B131" s="110" t="s">
        <v>587</v>
      </c>
      <c r="C131" s="502" t="s">
        <v>722</v>
      </c>
      <c r="D131" s="119">
        <v>55</v>
      </c>
      <c r="E131" s="79">
        <v>0</v>
      </c>
      <c r="F131" s="79"/>
      <c r="G131" s="79"/>
      <c r="H131" s="79">
        <v>26.55</v>
      </c>
      <c r="I131" s="79"/>
      <c r="J131" s="79">
        <v>0</v>
      </c>
      <c r="K131" s="79"/>
      <c r="L131" s="79">
        <v>26.55</v>
      </c>
      <c r="M131" s="79"/>
      <c r="N131" s="79"/>
      <c r="O131" s="79">
        <v>0</v>
      </c>
      <c r="P131" s="79">
        <v>53.1</v>
      </c>
      <c r="Q131" s="139">
        <f t="shared" si="8"/>
        <v>17.7</v>
      </c>
      <c r="R131" s="144" t="str">
        <f t="shared" si="9"/>
        <v>NO</v>
      </c>
      <c r="S131" s="145" t="str">
        <f t="shared" ref="S131:S167" si="17">IF(Q131&lt;5,"Sin Riesgo",IF(Q131 &lt;=14,"Bajo",IF(Q131&lt;=35,"Medio",IF(Q131&lt;=80,"Alto","Inviable Sanitariamente"))))</f>
        <v>Medio</v>
      </c>
    </row>
    <row r="132" spans="1:19" s="167" customFormat="1" ht="32.1" customHeight="1">
      <c r="A132" s="419" t="s">
        <v>210</v>
      </c>
      <c r="B132" s="110" t="s">
        <v>699</v>
      </c>
      <c r="C132" s="502" t="s">
        <v>723</v>
      </c>
      <c r="D132" s="119">
        <v>220</v>
      </c>
      <c r="E132" s="79"/>
      <c r="F132" s="79">
        <v>0</v>
      </c>
      <c r="G132" s="79"/>
      <c r="H132" s="79">
        <v>26.55</v>
      </c>
      <c r="I132" s="79"/>
      <c r="J132" s="79">
        <v>0</v>
      </c>
      <c r="K132" s="79"/>
      <c r="L132" s="79"/>
      <c r="M132" s="79">
        <v>2.65</v>
      </c>
      <c r="N132" s="79"/>
      <c r="O132" s="79">
        <v>0</v>
      </c>
      <c r="P132" s="79">
        <v>0</v>
      </c>
      <c r="Q132" s="139">
        <f t="shared" si="8"/>
        <v>4.8666666666666663</v>
      </c>
      <c r="R132" s="144" t="str">
        <f t="shared" si="9"/>
        <v>SI</v>
      </c>
      <c r="S132" s="145" t="str">
        <f t="shared" si="17"/>
        <v>Sin Riesgo</v>
      </c>
    </row>
    <row r="133" spans="1:19" s="167" customFormat="1" ht="32.1" customHeight="1">
      <c r="A133" s="419" t="s">
        <v>210</v>
      </c>
      <c r="B133" s="110" t="s">
        <v>724</v>
      </c>
      <c r="C133" s="502" t="s">
        <v>725</v>
      </c>
      <c r="D133" s="119">
        <v>60</v>
      </c>
      <c r="E133" s="79"/>
      <c r="F133" s="79">
        <v>97.3</v>
      </c>
      <c r="G133" s="79">
        <v>97.3</v>
      </c>
      <c r="H133" s="79"/>
      <c r="I133" s="79"/>
      <c r="J133" s="79"/>
      <c r="K133" s="79"/>
      <c r="L133" s="79"/>
      <c r="M133" s="79"/>
      <c r="N133" s="79"/>
      <c r="O133" s="79"/>
      <c r="P133" s="79"/>
      <c r="Q133" s="139">
        <f t="shared" si="8"/>
        <v>97.3</v>
      </c>
      <c r="R133" s="144" t="str">
        <f t="shared" si="9"/>
        <v>NO</v>
      </c>
      <c r="S133" s="145" t="str">
        <f t="shared" si="17"/>
        <v>Inviable Sanitariamente</v>
      </c>
    </row>
    <row r="134" spans="1:19" s="167" customFormat="1" ht="32.1" customHeight="1">
      <c r="A134" s="419" t="s">
        <v>210</v>
      </c>
      <c r="B134" s="110" t="s">
        <v>709</v>
      </c>
      <c r="C134" s="502" t="s">
        <v>726</v>
      </c>
      <c r="D134" s="114">
        <v>70</v>
      </c>
      <c r="E134" s="79"/>
      <c r="F134" s="79"/>
      <c r="G134" s="79">
        <v>97.3</v>
      </c>
      <c r="H134" s="79"/>
      <c r="I134" s="79"/>
      <c r="J134" s="79"/>
      <c r="K134" s="79"/>
      <c r="L134" s="79"/>
      <c r="M134" s="79"/>
      <c r="N134" s="79"/>
      <c r="O134" s="79">
        <v>97.3</v>
      </c>
      <c r="P134" s="79"/>
      <c r="Q134" s="139">
        <f t="shared" si="8"/>
        <v>97.3</v>
      </c>
      <c r="R134" s="144" t="str">
        <f t="shared" si="9"/>
        <v>NO</v>
      </c>
      <c r="S134" s="145" t="str">
        <f t="shared" si="17"/>
        <v>Inviable Sanitariamente</v>
      </c>
    </row>
    <row r="135" spans="1:19" s="167" customFormat="1" ht="32.1" customHeight="1">
      <c r="A135" s="419" t="s">
        <v>210</v>
      </c>
      <c r="B135" s="110" t="s">
        <v>727</v>
      </c>
      <c r="C135" s="502" t="s">
        <v>728</v>
      </c>
      <c r="D135" s="119">
        <v>63</v>
      </c>
      <c r="E135" s="79"/>
      <c r="F135" s="79">
        <v>0</v>
      </c>
      <c r="G135" s="79"/>
      <c r="H135" s="79">
        <v>0</v>
      </c>
      <c r="I135" s="79"/>
      <c r="J135" s="79">
        <v>0</v>
      </c>
      <c r="K135" s="79"/>
      <c r="L135" s="79">
        <v>0</v>
      </c>
      <c r="M135" s="79"/>
      <c r="N135" s="79"/>
      <c r="O135" s="79">
        <v>0</v>
      </c>
      <c r="P135" s="79">
        <v>0</v>
      </c>
      <c r="Q135" s="139">
        <f t="shared" si="8"/>
        <v>0</v>
      </c>
      <c r="R135" s="144" t="str">
        <f t="shared" si="9"/>
        <v>SI</v>
      </c>
      <c r="S135" s="145" t="str">
        <f t="shared" si="17"/>
        <v>Sin Riesgo</v>
      </c>
    </row>
    <row r="136" spans="1:19" s="167" customFormat="1" ht="32.1" customHeight="1">
      <c r="A136" s="419" t="s">
        <v>210</v>
      </c>
      <c r="B136" s="110" t="s">
        <v>72</v>
      </c>
      <c r="C136" s="502" t="s">
        <v>421</v>
      </c>
      <c r="D136" s="119">
        <v>50</v>
      </c>
      <c r="E136" s="79"/>
      <c r="F136" s="79">
        <v>97.3</v>
      </c>
      <c r="G136" s="79"/>
      <c r="H136" s="79"/>
      <c r="I136" s="79"/>
      <c r="J136" s="79"/>
      <c r="K136" s="79"/>
      <c r="L136" s="79"/>
      <c r="M136" s="79"/>
      <c r="N136" s="79"/>
      <c r="O136" s="79">
        <v>97.3</v>
      </c>
      <c r="P136" s="79"/>
      <c r="Q136" s="139">
        <f t="shared" si="8"/>
        <v>97.3</v>
      </c>
      <c r="R136" s="144" t="str">
        <f t="shared" si="9"/>
        <v>NO</v>
      </c>
      <c r="S136" s="145" t="str">
        <f t="shared" si="17"/>
        <v>Inviable Sanitariamente</v>
      </c>
    </row>
    <row r="137" spans="1:19" s="167" customFormat="1" ht="32.1" customHeight="1">
      <c r="A137" s="419" t="s">
        <v>210</v>
      </c>
      <c r="B137" s="110" t="s">
        <v>729</v>
      </c>
      <c r="C137" s="502" t="s">
        <v>730</v>
      </c>
      <c r="D137" s="114">
        <v>20</v>
      </c>
      <c r="E137" s="79"/>
      <c r="F137" s="79"/>
      <c r="G137" s="79"/>
      <c r="H137" s="79">
        <v>97.3</v>
      </c>
      <c r="I137" s="79"/>
      <c r="J137" s="79"/>
      <c r="K137" s="79"/>
      <c r="L137" s="79"/>
      <c r="M137" s="79"/>
      <c r="N137" s="79"/>
      <c r="O137" s="79">
        <v>97.3</v>
      </c>
      <c r="P137" s="79"/>
      <c r="Q137" s="139">
        <f t="shared" si="8"/>
        <v>97.3</v>
      </c>
      <c r="R137" s="144" t="str">
        <f t="shared" si="9"/>
        <v>NO</v>
      </c>
      <c r="S137" s="145" t="str">
        <f t="shared" si="17"/>
        <v>Inviable Sanitariamente</v>
      </c>
    </row>
    <row r="138" spans="1:19" s="167" customFormat="1" ht="32.1" customHeight="1">
      <c r="A138" s="419" t="s">
        <v>210</v>
      </c>
      <c r="B138" s="110" t="s">
        <v>731</v>
      </c>
      <c r="C138" s="502" t="s">
        <v>732</v>
      </c>
      <c r="D138" s="119">
        <v>300</v>
      </c>
      <c r="E138" s="79"/>
      <c r="F138" s="79"/>
      <c r="G138" s="79">
        <v>97.3</v>
      </c>
      <c r="H138" s="79"/>
      <c r="I138" s="79"/>
      <c r="J138" s="79"/>
      <c r="K138" s="79"/>
      <c r="L138" s="79"/>
      <c r="M138" s="79"/>
      <c r="N138" s="79"/>
      <c r="O138" s="79"/>
      <c r="P138" s="79"/>
      <c r="Q138" s="139">
        <f t="shared" si="8"/>
        <v>97.3</v>
      </c>
      <c r="R138" s="144" t="str">
        <f t="shared" si="9"/>
        <v>NO</v>
      </c>
      <c r="S138" s="145" t="str">
        <f t="shared" si="17"/>
        <v>Inviable Sanitariamente</v>
      </c>
    </row>
    <row r="139" spans="1:19" s="167" customFormat="1" ht="32.1" customHeight="1">
      <c r="A139" s="419" t="s">
        <v>210</v>
      </c>
      <c r="B139" s="110" t="s">
        <v>733</v>
      </c>
      <c r="C139" s="502" t="s">
        <v>734</v>
      </c>
      <c r="D139" s="119">
        <v>65</v>
      </c>
      <c r="E139" s="79"/>
      <c r="F139" s="79"/>
      <c r="G139" s="79">
        <v>97.3</v>
      </c>
      <c r="H139" s="79"/>
      <c r="I139" s="79"/>
      <c r="J139" s="79"/>
      <c r="K139" s="79"/>
      <c r="L139" s="79"/>
      <c r="M139" s="79"/>
      <c r="N139" s="79"/>
      <c r="O139" s="79">
        <v>100</v>
      </c>
      <c r="P139" s="79"/>
      <c r="Q139" s="139">
        <f t="shared" si="8"/>
        <v>98.65</v>
      </c>
      <c r="R139" s="144" t="str">
        <f t="shared" si="9"/>
        <v>NO</v>
      </c>
      <c r="S139" s="145" t="str">
        <f t="shared" si="17"/>
        <v>Inviable Sanitariamente</v>
      </c>
    </row>
    <row r="140" spans="1:19" s="167" customFormat="1" ht="32.1" customHeight="1">
      <c r="A140" s="419" t="s">
        <v>210</v>
      </c>
      <c r="B140" s="110" t="s">
        <v>735</v>
      </c>
      <c r="C140" s="502" t="s">
        <v>736</v>
      </c>
      <c r="D140" s="114">
        <v>40</v>
      </c>
      <c r="E140" s="79"/>
      <c r="F140" s="79">
        <v>53.1</v>
      </c>
      <c r="G140" s="79"/>
      <c r="H140" s="79"/>
      <c r="I140" s="79">
        <v>53.1</v>
      </c>
      <c r="J140" s="79"/>
      <c r="K140" s="79"/>
      <c r="L140" s="79"/>
      <c r="M140" s="79"/>
      <c r="N140" s="79"/>
      <c r="O140" s="79"/>
      <c r="P140" s="79"/>
      <c r="Q140" s="139">
        <f t="shared" si="8"/>
        <v>53.1</v>
      </c>
      <c r="R140" s="144" t="str">
        <f t="shared" si="9"/>
        <v>NO</v>
      </c>
      <c r="S140" s="145" t="str">
        <f t="shared" si="17"/>
        <v>Alto</v>
      </c>
    </row>
    <row r="141" spans="1:19" s="167" customFormat="1" ht="32.1" customHeight="1">
      <c r="A141" s="419" t="s">
        <v>210</v>
      </c>
      <c r="B141" s="110" t="s">
        <v>737</v>
      </c>
      <c r="C141" s="502" t="s">
        <v>738</v>
      </c>
      <c r="D141" s="119">
        <v>105</v>
      </c>
      <c r="E141" s="79">
        <v>97.3</v>
      </c>
      <c r="F141" s="79"/>
      <c r="G141" s="79"/>
      <c r="H141" s="79"/>
      <c r="I141" s="79"/>
      <c r="J141" s="79"/>
      <c r="K141" s="79"/>
      <c r="L141" s="79"/>
      <c r="M141" s="79"/>
      <c r="N141" s="79"/>
      <c r="O141" s="79"/>
      <c r="P141" s="79"/>
      <c r="Q141" s="139">
        <f t="shared" si="8"/>
        <v>97.3</v>
      </c>
      <c r="R141" s="144" t="str">
        <f t="shared" si="9"/>
        <v>NO</v>
      </c>
      <c r="S141" s="145" t="str">
        <f t="shared" si="17"/>
        <v>Inviable Sanitariamente</v>
      </c>
    </row>
    <row r="142" spans="1:19" s="167" customFormat="1" ht="32.1" customHeight="1">
      <c r="A142" s="419" t="s">
        <v>210</v>
      </c>
      <c r="B142" s="110" t="s">
        <v>739</v>
      </c>
      <c r="C142" s="502" t="s">
        <v>740</v>
      </c>
      <c r="D142" s="119">
        <v>87</v>
      </c>
      <c r="E142" s="79">
        <v>100</v>
      </c>
      <c r="F142" s="79"/>
      <c r="G142" s="79"/>
      <c r="H142" s="79"/>
      <c r="I142" s="79"/>
      <c r="J142" s="79"/>
      <c r="K142" s="79"/>
      <c r="L142" s="79"/>
      <c r="M142" s="79"/>
      <c r="N142" s="79">
        <v>97.3</v>
      </c>
      <c r="O142" s="79"/>
      <c r="P142" s="79"/>
      <c r="Q142" s="139">
        <f t="shared" si="8"/>
        <v>98.65</v>
      </c>
      <c r="R142" s="144" t="str">
        <f t="shared" si="9"/>
        <v>NO</v>
      </c>
      <c r="S142" s="145" t="str">
        <f t="shared" si="17"/>
        <v>Inviable Sanitariamente</v>
      </c>
    </row>
    <row r="143" spans="1:19" s="167" customFormat="1" ht="32.1" customHeight="1">
      <c r="A143" s="419" t="s">
        <v>210</v>
      </c>
      <c r="B143" s="110" t="s">
        <v>741</v>
      </c>
      <c r="C143" s="502" t="s">
        <v>742</v>
      </c>
      <c r="D143" s="119">
        <v>42</v>
      </c>
      <c r="E143" s="79"/>
      <c r="F143" s="79"/>
      <c r="G143" s="79">
        <v>90.16</v>
      </c>
      <c r="H143" s="79"/>
      <c r="I143" s="79"/>
      <c r="J143" s="79"/>
      <c r="K143" s="79"/>
      <c r="L143" s="79"/>
      <c r="M143" s="79"/>
      <c r="N143" s="79"/>
      <c r="O143" s="79"/>
      <c r="P143" s="79">
        <v>97.3</v>
      </c>
      <c r="Q143" s="139">
        <f t="shared" si="8"/>
        <v>93.72999999999999</v>
      </c>
      <c r="R143" s="144" t="str">
        <f t="shared" si="9"/>
        <v>NO</v>
      </c>
      <c r="S143" s="145" t="str">
        <f t="shared" si="17"/>
        <v>Inviable Sanitariamente</v>
      </c>
    </row>
    <row r="144" spans="1:19" s="167" customFormat="1" ht="32.1" customHeight="1">
      <c r="A144" s="419" t="s">
        <v>210</v>
      </c>
      <c r="B144" s="110" t="s">
        <v>743</v>
      </c>
      <c r="C144" s="502" t="s">
        <v>744</v>
      </c>
      <c r="D144" s="119">
        <v>125</v>
      </c>
      <c r="E144" s="79"/>
      <c r="F144" s="79"/>
      <c r="G144" s="138">
        <v>90.2</v>
      </c>
      <c r="H144" s="79"/>
      <c r="I144" s="79"/>
      <c r="J144" s="79"/>
      <c r="K144" s="79"/>
      <c r="L144" s="79">
        <v>97.3</v>
      </c>
      <c r="M144" s="79"/>
      <c r="N144" s="79"/>
      <c r="O144" s="79"/>
      <c r="P144" s="79"/>
      <c r="Q144" s="139">
        <f t="shared" ref="Q144:Q148" si="18">AVERAGE(E144:P144)</f>
        <v>93.75</v>
      </c>
      <c r="R144" s="144" t="str">
        <f t="shared" ref="R144:R148" si="19">IF(Q144&lt;5,"SI","NO")</f>
        <v>NO</v>
      </c>
      <c r="S144" s="145" t="str">
        <f t="shared" ref="S144:S148" si="20">IF(Q144&lt;5,"Sin Riesgo",IF(Q144 &lt;=14,"Bajo",IF(Q144&lt;=35,"Medio",IF(Q144&lt;=80,"Alto","Inviable Sanitariamente"))))</f>
        <v>Inviable Sanitariamente</v>
      </c>
    </row>
    <row r="145" spans="1:19" s="167" customFormat="1" ht="32.1" customHeight="1">
      <c r="A145" s="419" t="s">
        <v>210</v>
      </c>
      <c r="B145" s="110" t="s">
        <v>3753</v>
      </c>
      <c r="C145" s="502" t="s">
        <v>4502</v>
      </c>
      <c r="D145" s="119">
        <v>18</v>
      </c>
      <c r="E145" s="79"/>
      <c r="F145" s="79">
        <v>97.3</v>
      </c>
      <c r="G145" s="138"/>
      <c r="H145" s="79"/>
      <c r="I145" s="79"/>
      <c r="J145" s="79"/>
      <c r="K145" s="79"/>
      <c r="L145" s="79">
        <v>97.3</v>
      </c>
      <c r="M145" s="79"/>
      <c r="N145" s="79"/>
      <c r="O145" s="79"/>
      <c r="P145" s="79"/>
      <c r="Q145" s="139">
        <f t="shared" si="18"/>
        <v>97.3</v>
      </c>
      <c r="R145" s="144" t="str">
        <f t="shared" si="19"/>
        <v>NO</v>
      </c>
      <c r="S145" s="145" t="str">
        <f t="shared" si="20"/>
        <v>Inviable Sanitariamente</v>
      </c>
    </row>
    <row r="146" spans="1:19" s="167" customFormat="1" ht="32.1" customHeight="1">
      <c r="A146" s="419" t="s">
        <v>210</v>
      </c>
      <c r="B146" s="110" t="s">
        <v>1375</v>
      </c>
      <c r="C146" s="502" t="s">
        <v>4503</v>
      </c>
      <c r="D146" s="119">
        <v>52</v>
      </c>
      <c r="E146" s="79"/>
      <c r="F146" s="79">
        <v>0</v>
      </c>
      <c r="G146" s="138"/>
      <c r="H146" s="79">
        <v>0</v>
      </c>
      <c r="I146" s="79"/>
      <c r="J146" s="79"/>
      <c r="K146" s="79"/>
      <c r="L146" s="79"/>
      <c r="M146" s="79"/>
      <c r="N146" s="79"/>
      <c r="O146" s="79"/>
      <c r="P146" s="79"/>
      <c r="Q146" s="139">
        <f t="shared" si="18"/>
        <v>0</v>
      </c>
      <c r="R146" s="144" t="str">
        <f t="shared" si="19"/>
        <v>SI</v>
      </c>
      <c r="S146" s="145" t="str">
        <f t="shared" si="20"/>
        <v>Sin Riesgo</v>
      </c>
    </row>
    <row r="147" spans="1:19" s="167" customFormat="1" ht="32.1" customHeight="1">
      <c r="A147" s="419" t="s">
        <v>210</v>
      </c>
      <c r="B147" s="110" t="s">
        <v>1067</v>
      </c>
      <c r="C147" s="502" t="s">
        <v>4504</v>
      </c>
      <c r="D147" s="119">
        <v>45</v>
      </c>
      <c r="E147" s="79"/>
      <c r="F147" s="79"/>
      <c r="G147" s="138">
        <v>97.3</v>
      </c>
      <c r="H147" s="79"/>
      <c r="I147" s="79"/>
      <c r="J147" s="79"/>
      <c r="K147" s="79"/>
      <c r="L147" s="79"/>
      <c r="M147" s="79">
        <v>53.1</v>
      </c>
      <c r="N147" s="79"/>
      <c r="O147" s="79"/>
      <c r="P147" s="79"/>
      <c r="Q147" s="139">
        <f t="shared" si="18"/>
        <v>75.2</v>
      </c>
      <c r="R147" s="144" t="str">
        <f t="shared" si="19"/>
        <v>NO</v>
      </c>
      <c r="S147" s="145" t="str">
        <f t="shared" si="20"/>
        <v>Alto</v>
      </c>
    </row>
    <row r="148" spans="1:19" s="167" customFormat="1" ht="32.1" customHeight="1">
      <c r="A148" s="419" t="s">
        <v>210</v>
      </c>
      <c r="B148" s="110" t="s">
        <v>631</v>
      </c>
      <c r="C148" s="502" t="s">
        <v>4506</v>
      </c>
      <c r="D148" s="119">
        <v>44</v>
      </c>
      <c r="E148" s="79">
        <v>55.5</v>
      </c>
      <c r="F148" s="79"/>
      <c r="G148" s="138"/>
      <c r="H148" s="79"/>
      <c r="I148" s="79"/>
      <c r="J148" s="79"/>
      <c r="K148" s="79"/>
      <c r="L148" s="79"/>
      <c r="M148" s="79"/>
      <c r="N148" s="79"/>
      <c r="O148" s="79"/>
      <c r="P148" s="79"/>
      <c r="Q148" s="139">
        <f t="shared" si="18"/>
        <v>55.5</v>
      </c>
      <c r="R148" s="144" t="str">
        <f t="shared" si="19"/>
        <v>NO</v>
      </c>
      <c r="S148" s="145" t="str">
        <f t="shared" si="20"/>
        <v>Alto</v>
      </c>
    </row>
    <row r="149" spans="1:19" s="167" customFormat="1" ht="32.1" customHeight="1">
      <c r="A149" s="419" t="s">
        <v>210</v>
      </c>
      <c r="B149" s="110" t="s">
        <v>61</v>
      </c>
      <c r="C149" s="502" t="s">
        <v>4505</v>
      </c>
      <c r="D149" s="119">
        <v>50</v>
      </c>
      <c r="E149" s="79"/>
      <c r="F149" s="79"/>
      <c r="G149" s="138"/>
      <c r="H149" s="79">
        <v>97.3</v>
      </c>
      <c r="I149" s="79"/>
      <c r="J149" s="79"/>
      <c r="K149" s="79"/>
      <c r="L149" s="79"/>
      <c r="M149" s="79"/>
      <c r="N149" s="79">
        <v>97.3</v>
      </c>
      <c r="O149" s="79"/>
      <c r="P149" s="79"/>
      <c r="Q149" s="139">
        <f t="shared" si="8"/>
        <v>97.3</v>
      </c>
      <c r="R149" s="144" t="str">
        <f t="shared" si="9"/>
        <v>NO</v>
      </c>
      <c r="S149" s="145" t="str">
        <f t="shared" si="17"/>
        <v>Inviable Sanitariamente</v>
      </c>
    </row>
    <row r="150" spans="1:19" s="167" customFormat="1" ht="32.1" customHeight="1">
      <c r="A150" s="419" t="s">
        <v>211</v>
      </c>
      <c r="B150" s="490" t="s">
        <v>745</v>
      </c>
      <c r="C150" s="502" t="s">
        <v>746</v>
      </c>
      <c r="D150" s="119">
        <v>30</v>
      </c>
      <c r="E150" s="79"/>
      <c r="F150" s="79"/>
      <c r="G150" s="79"/>
      <c r="H150" s="79">
        <v>97.3</v>
      </c>
      <c r="I150" s="79"/>
      <c r="J150" s="79"/>
      <c r="K150" s="79"/>
      <c r="L150" s="79"/>
      <c r="M150" s="79"/>
      <c r="N150" s="79"/>
      <c r="O150" s="79">
        <v>97.3</v>
      </c>
      <c r="P150" s="79"/>
      <c r="Q150" s="139">
        <f t="shared" ref="Q150:Q214" si="21">AVERAGE(E150:P150)</f>
        <v>97.3</v>
      </c>
      <c r="R150" s="144" t="str">
        <f t="shared" ref="R150:R214" si="22">IF(Q150&lt;5,"SI","NO")</f>
        <v>NO</v>
      </c>
      <c r="S150" s="145" t="str">
        <f t="shared" si="17"/>
        <v>Inviable Sanitariamente</v>
      </c>
    </row>
    <row r="151" spans="1:19" s="167" customFormat="1" ht="32.1" customHeight="1">
      <c r="A151" s="419" t="s">
        <v>211</v>
      </c>
      <c r="B151" s="490" t="s">
        <v>747</v>
      </c>
      <c r="C151" s="502" t="s">
        <v>748</v>
      </c>
      <c r="D151" s="119">
        <v>14</v>
      </c>
      <c r="E151" s="79"/>
      <c r="F151" s="79"/>
      <c r="G151" s="79"/>
      <c r="H151" s="79"/>
      <c r="I151" s="79">
        <v>97.35</v>
      </c>
      <c r="J151" s="79"/>
      <c r="K151" s="79"/>
      <c r="L151" s="79"/>
      <c r="M151" s="79"/>
      <c r="N151" s="79"/>
      <c r="O151" s="79">
        <v>97.35</v>
      </c>
      <c r="P151" s="79"/>
      <c r="Q151" s="139">
        <f t="shared" si="21"/>
        <v>97.35</v>
      </c>
      <c r="R151" s="144" t="str">
        <f t="shared" si="22"/>
        <v>NO</v>
      </c>
      <c r="S151" s="145" t="str">
        <f t="shared" si="17"/>
        <v>Inviable Sanitariamente</v>
      </c>
    </row>
    <row r="152" spans="1:19" s="167" customFormat="1" ht="32.1" customHeight="1">
      <c r="A152" s="419" t="s">
        <v>211</v>
      </c>
      <c r="B152" s="490" t="s">
        <v>749</v>
      </c>
      <c r="C152" s="502" t="s">
        <v>750</v>
      </c>
      <c r="D152" s="119">
        <v>39</v>
      </c>
      <c r="E152" s="79"/>
      <c r="F152" s="79">
        <v>97.4</v>
      </c>
      <c r="G152" s="79"/>
      <c r="H152" s="79"/>
      <c r="I152" s="79"/>
      <c r="J152" s="79"/>
      <c r="K152" s="79"/>
      <c r="L152" s="79"/>
      <c r="M152" s="79"/>
      <c r="N152" s="79"/>
      <c r="O152" s="79">
        <v>97.4</v>
      </c>
      <c r="P152" s="79"/>
      <c r="Q152" s="139">
        <f t="shared" si="21"/>
        <v>97.4</v>
      </c>
      <c r="R152" s="144" t="str">
        <f t="shared" si="22"/>
        <v>NO</v>
      </c>
      <c r="S152" s="145" t="str">
        <f t="shared" si="17"/>
        <v>Inviable Sanitariamente</v>
      </c>
    </row>
    <row r="153" spans="1:19" s="167" customFormat="1" ht="32.1" customHeight="1">
      <c r="A153" s="419" t="s">
        <v>211</v>
      </c>
      <c r="B153" s="490" t="s">
        <v>751</v>
      </c>
      <c r="C153" s="502" t="s">
        <v>752</v>
      </c>
      <c r="D153" s="119">
        <v>13</v>
      </c>
      <c r="E153" s="79"/>
      <c r="F153" s="79"/>
      <c r="G153" s="79">
        <v>97.3</v>
      </c>
      <c r="H153" s="79"/>
      <c r="I153" s="79"/>
      <c r="J153" s="79"/>
      <c r="K153" s="79"/>
      <c r="L153" s="79"/>
      <c r="M153" s="79"/>
      <c r="N153" s="79"/>
      <c r="O153" s="79">
        <v>97.4</v>
      </c>
      <c r="P153" s="79"/>
      <c r="Q153" s="139">
        <f t="shared" si="21"/>
        <v>97.35</v>
      </c>
      <c r="R153" s="144" t="str">
        <f t="shared" si="22"/>
        <v>NO</v>
      </c>
      <c r="S153" s="145" t="str">
        <f t="shared" si="17"/>
        <v>Inviable Sanitariamente</v>
      </c>
    </row>
    <row r="154" spans="1:19" s="167" customFormat="1" ht="32.1" customHeight="1">
      <c r="A154" s="419" t="s">
        <v>213</v>
      </c>
      <c r="B154" s="110" t="s">
        <v>753</v>
      </c>
      <c r="C154" s="502" t="s">
        <v>754</v>
      </c>
      <c r="D154" s="119">
        <v>140</v>
      </c>
      <c r="E154" s="79">
        <v>0</v>
      </c>
      <c r="F154" s="79"/>
      <c r="G154" s="79"/>
      <c r="H154" s="79"/>
      <c r="I154" s="79"/>
      <c r="J154" s="79"/>
      <c r="K154" s="79"/>
      <c r="L154" s="79"/>
      <c r="M154" s="79"/>
      <c r="N154" s="79"/>
      <c r="O154" s="79"/>
      <c r="P154" s="79"/>
      <c r="Q154" s="139">
        <f t="shared" si="21"/>
        <v>0</v>
      </c>
      <c r="R154" s="144" t="str">
        <f t="shared" si="22"/>
        <v>SI</v>
      </c>
      <c r="S154" s="145" t="str">
        <f t="shared" si="17"/>
        <v>Sin Riesgo</v>
      </c>
    </row>
    <row r="155" spans="1:19" s="167" customFormat="1" ht="32.1" customHeight="1">
      <c r="A155" s="419" t="s">
        <v>213</v>
      </c>
      <c r="B155" s="110" t="s">
        <v>755</v>
      </c>
      <c r="C155" s="502" t="s">
        <v>756</v>
      </c>
      <c r="D155" s="119">
        <v>90</v>
      </c>
      <c r="E155" s="79">
        <v>0</v>
      </c>
      <c r="F155" s="79"/>
      <c r="G155" s="79"/>
      <c r="H155" s="79"/>
      <c r="I155" s="79"/>
      <c r="J155" s="79"/>
      <c r="K155" s="79"/>
      <c r="L155" s="79"/>
      <c r="M155" s="79"/>
      <c r="N155" s="79"/>
      <c r="O155" s="79"/>
      <c r="P155" s="79"/>
      <c r="Q155" s="139">
        <f t="shared" si="21"/>
        <v>0</v>
      </c>
      <c r="R155" s="144" t="str">
        <f t="shared" si="22"/>
        <v>SI</v>
      </c>
      <c r="S155" s="145" t="str">
        <f t="shared" si="17"/>
        <v>Sin Riesgo</v>
      </c>
    </row>
    <row r="156" spans="1:19" s="167" customFormat="1" ht="32.1" customHeight="1">
      <c r="A156" s="419" t="s">
        <v>213</v>
      </c>
      <c r="B156" s="110" t="s">
        <v>757</v>
      </c>
      <c r="C156" s="502" t="s">
        <v>758</v>
      </c>
      <c r="D156" s="119">
        <v>60</v>
      </c>
      <c r="E156" s="79"/>
      <c r="F156" s="79">
        <v>0</v>
      </c>
      <c r="G156" s="79"/>
      <c r="H156" s="79"/>
      <c r="I156" s="79"/>
      <c r="J156" s="79">
        <v>26.55</v>
      </c>
      <c r="K156" s="79"/>
      <c r="L156" s="79">
        <v>26.55</v>
      </c>
      <c r="M156" s="79"/>
      <c r="N156" s="79"/>
      <c r="O156" s="79"/>
      <c r="P156" s="79"/>
      <c r="Q156" s="139">
        <f t="shared" si="21"/>
        <v>17.7</v>
      </c>
      <c r="R156" s="144" t="str">
        <f t="shared" si="22"/>
        <v>NO</v>
      </c>
      <c r="S156" s="145" t="str">
        <f t="shared" si="17"/>
        <v>Medio</v>
      </c>
    </row>
    <row r="157" spans="1:19" s="167" customFormat="1" ht="32.1" customHeight="1">
      <c r="A157" s="419" t="s">
        <v>213</v>
      </c>
      <c r="B157" s="110" t="s">
        <v>759</v>
      </c>
      <c r="C157" s="502" t="s">
        <v>760</v>
      </c>
      <c r="D157" s="119">
        <v>235</v>
      </c>
      <c r="E157" s="79"/>
      <c r="F157" s="79">
        <v>0</v>
      </c>
      <c r="G157" s="79"/>
      <c r="H157" s="79"/>
      <c r="I157" s="79"/>
      <c r="J157" s="79"/>
      <c r="K157" s="79">
        <v>0</v>
      </c>
      <c r="L157" s="79"/>
      <c r="M157" s="79"/>
      <c r="N157" s="79"/>
      <c r="O157" s="79"/>
      <c r="P157" s="79"/>
      <c r="Q157" s="139">
        <f t="shared" si="21"/>
        <v>0</v>
      </c>
      <c r="R157" s="144" t="str">
        <f t="shared" si="22"/>
        <v>SI</v>
      </c>
      <c r="S157" s="145" t="str">
        <f t="shared" si="17"/>
        <v>Sin Riesgo</v>
      </c>
    </row>
    <row r="158" spans="1:19" s="167" customFormat="1" ht="32.1" customHeight="1">
      <c r="A158" s="419" t="s">
        <v>213</v>
      </c>
      <c r="B158" s="110" t="s">
        <v>761</v>
      </c>
      <c r="C158" s="502" t="s">
        <v>762</v>
      </c>
      <c r="D158" s="119">
        <v>385</v>
      </c>
      <c r="E158" s="79">
        <v>0</v>
      </c>
      <c r="F158" s="79">
        <v>0</v>
      </c>
      <c r="G158" s="79"/>
      <c r="H158" s="79"/>
      <c r="I158" s="79"/>
      <c r="J158" s="79">
        <v>0</v>
      </c>
      <c r="K158" s="79"/>
      <c r="L158" s="79">
        <v>0</v>
      </c>
      <c r="M158" s="79"/>
      <c r="N158" s="79"/>
      <c r="O158" s="79"/>
      <c r="P158" s="79"/>
      <c r="Q158" s="139">
        <f t="shared" si="21"/>
        <v>0</v>
      </c>
      <c r="R158" s="144" t="str">
        <f t="shared" si="22"/>
        <v>SI</v>
      </c>
      <c r="S158" s="145" t="str">
        <f t="shared" si="17"/>
        <v>Sin Riesgo</v>
      </c>
    </row>
    <row r="159" spans="1:19" s="167" customFormat="1" ht="32.1" customHeight="1">
      <c r="A159" s="419" t="s">
        <v>213</v>
      </c>
      <c r="B159" s="110" t="s">
        <v>763</v>
      </c>
      <c r="C159" s="502" t="s">
        <v>764</v>
      </c>
      <c r="D159" s="119">
        <v>140</v>
      </c>
      <c r="E159" s="79"/>
      <c r="F159" s="79"/>
      <c r="G159" s="79"/>
      <c r="H159" s="79"/>
      <c r="I159" s="79"/>
      <c r="J159" s="79"/>
      <c r="K159" s="79">
        <v>100</v>
      </c>
      <c r="L159" s="79"/>
      <c r="M159" s="79"/>
      <c r="N159" s="79"/>
      <c r="O159" s="79"/>
      <c r="P159" s="79"/>
      <c r="Q159" s="139">
        <f t="shared" si="21"/>
        <v>100</v>
      </c>
      <c r="R159" s="144" t="str">
        <f t="shared" si="22"/>
        <v>NO</v>
      </c>
      <c r="S159" s="145" t="str">
        <f t="shared" si="17"/>
        <v>Inviable Sanitariamente</v>
      </c>
    </row>
    <row r="160" spans="1:19" s="167" customFormat="1" ht="32.1" customHeight="1">
      <c r="A160" s="419" t="s">
        <v>213</v>
      </c>
      <c r="B160" s="110" t="s">
        <v>765</v>
      </c>
      <c r="C160" s="502" t="s">
        <v>766</v>
      </c>
      <c r="D160" s="119">
        <v>170</v>
      </c>
      <c r="E160" s="79"/>
      <c r="F160" s="79"/>
      <c r="G160" s="79"/>
      <c r="H160" s="79"/>
      <c r="I160" s="79"/>
      <c r="J160" s="79">
        <v>26.55</v>
      </c>
      <c r="K160" s="79"/>
      <c r="L160" s="79"/>
      <c r="M160" s="79"/>
      <c r="N160" s="79">
        <v>0</v>
      </c>
      <c r="O160" s="79"/>
      <c r="P160" s="79"/>
      <c r="Q160" s="139">
        <f t="shared" si="21"/>
        <v>13.275</v>
      </c>
      <c r="R160" s="144" t="str">
        <f t="shared" si="22"/>
        <v>NO</v>
      </c>
      <c r="S160" s="145" t="str">
        <f t="shared" si="17"/>
        <v>Bajo</v>
      </c>
    </row>
    <row r="161" spans="1:20" s="167" customFormat="1" ht="32.1" customHeight="1">
      <c r="A161" s="419" t="s">
        <v>213</v>
      </c>
      <c r="B161" s="110" t="s">
        <v>767</v>
      </c>
      <c r="C161" s="502" t="s">
        <v>768</v>
      </c>
      <c r="D161" s="114">
        <v>580</v>
      </c>
      <c r="E161" s="79">
        <v>0</v>
      </c>
      <c r="F161" s="79">
        <v>0</v>
      </c>
      <c r="G161" s="79"/>
      <c r="H161" s="79"/>
      <c r="I161" s="79">
        <v>0</v>
      </c>
      <c r="J161" s="79"/>
      <c r="K161" s="79">
        <v>0</v>
      </c>
      <c r="L161" s="79"/>
      <c r="M161" s="79"/>
      <c r="N161" s="79"/>
      <c r="O161" s="79"/>
      <c r="P161" s="79"/>
      <c r="Q161" s="139">
        <f t="shared" si="21"/>
        <v>0</v>
      </c>
      <c r="R161" s="144" t="str">
        <f t="shared" si="22"/>
        <v>SI</v>
      </c>
      <c r="S161" s="145" t="str">
        <f t="shared" si="17"/>
        <v>Sin Riesgo</v>
      </c>
    </row>
    <row r="162" spans="1:20" s="167" customFormat="1" ht="32.1" customHeight="1">
      <c r="A162" s="419" t="s">
        <v>213</v>
      </c>
      <c r="B162" s="110" t="s">
        <v>769</v>
      </c>
      <c r="C162" s="502" t="s">
        <v>770</v>
      </c>
      <c r="D162" s="119">
        <v>182</v>
      </c>
      <c r="E162" s="79"/>
      <c r="F162" s="79">
        <v>0</v>
      </c>
      <c r="G162" s="79"/>
      <c r="H162" s="79"/>
      <c r="I162" s="79">
        <v>0</v>
      </c>
      <c r="J162" s="79"/>
      <c r="K162" s="79">
        <v>0</v>
      </c>
      <c r="L162" s="79"/>
      <c r="M162" s="79"/>
      <c r="N162" s="79"/>
      <c r="O162" s="79"/>
      <c r="P162" s="79"/>
      <c r="Q162" s="139">
        <f t="shared" si="21"/>
        <v>0</v>
      </c>
      <c r="R162" s="144" t="str">
        <f t="shared" si="22"/>
        <v>SI</v>
      </c>
      <c r="S162" s="145" t="str">
        <f t="shared" si="17"/>
        <v>Sin Riesgo</v>
      </c>
    </row>
    <row r="163" spans="1:20" s="167" customFormat="1" ht="32.1" customHeight="1">
      <c r="A163" s="419" t="s">
        <v>213</v>
      </c>
      <c r="B163" s="110" t="s">
        <v>771</v>
      </c>
      <c r="C163" s="502" t="s">
        <v>772</v>
      </c>
      <c r="D163" s="119">
        <v>48</v>
      </c>
      <c r="E163" s="79">
        <v>0</v>
      </c>
      <c r="F163" s="79">
        <v>0</v>
      </c>
      <c r="G163" s="79"/>
      <c r="H163" s="79"/>
      <c r="I163" s="79">
        <v>53.1</v>
      </c>
      <c r="J163" s="79"/>
      <c r="K163" s="79">
        <v>70.8</v>
      </c>
      <c r="L163" s="79"/>
      <c r="M163" s="79"/>
      <c r="N163" s="79"/>
      <c r="O163" s="79"/>
      <c r="P163" s="79"/>
      <c r="Q163" s="139">
        <f t="shared" si="21"/>
        <v>30.975000000000001</v>
      </c>
      <c r="R163" s="144" t="str">
        <f t="shared" si="22"/>
        <v>NO</v>
      </c>
      <c r="S163" s="145" t="str">
        <f t="shared" si="17"/>
        <v>Medio</v>
      </c>
    </row>
    <row r="164" spans="1:20" s="167" customFormat="1" ht="32.1" customHeight="1">
      <c r="A164" s="419" t="s">
        <v>213</v>
      </c>
      <c r="B164" s="110" t="s">
        <v>773</v>
      </c>
      <c r="C164" s="502" t="s">
        <v>774</v>
      </c>
      <c r="D164" s="114">
        <v>180</v>
      </c>
      <c r="E164" s="79">
        <v>0</v>
      </c>
      <c r="F164" s="79">
        <v>0</v>
      </c>
      <c r="G164" s="79"/>
      <c r="H164" s="79"/>
      <c r="I164" s="79">
        <v>0</v>
      </c>
      <c r="J164" s="79"/>
      <c r="K164" s="79">
        <v>0</v>
      </c>
      <c r="L164" s="79"/>
      <c r="M164" s="79"/>
      <c r="N164" s="79"/>
      <c r="O164" s="79"/>
      <c r="P164" s="79"/>
      <c r="Q164" s="139">
        <f t="shared" si="21"/>
        <v>0</v>
      </c>
      <c r="R164" s="144" t="str">
        <f t="shared" si="22"/>
        <v>SI</v>
      </c>
      <c r="S164" s="145" t="str">
        <f t="shared" si="17"/>
        <v>Sin Riesgo</v>
      </c>
    </row>
    <row r="165" spans="1:20" s="167" customFormat="1" ht="32.1" customHeight="1">
      <c r="A165" s="419" t="s">
        <v>213</v>
      </c>
      <c r="B165" s="110" t="s">
        <v>775</v>
      </c>
      <c r="C165" s="502" t="s">
        <v>776</v>
      </c>
      <c r="D165" s="114">
        <v>385</v>
      </c>
      <c r="E165" s="79">
        <v>0</v>
      </c>
      <c r="F165" s="79">
        <v>0</v>
      </c>
      <c r="G165" s="79"/>
      <c r="H165" s="79"/>
      <c r="I165" s="79"/>
      <c r="J165" s="79">
        <v>0</v>
      </c>
      <c r="K165" s="79"/>
      <c r="L165" s="79">
        <v>0</v>
      </c>
      <c r="M165" s="79"/>
      <c r="N165" s="79"/>
      <c r="O165" s="79"/>
      <c r="P165" s="79"/>
      <c r="Q165" s="139">
        <f t="shared" si="21"/>
        <v>0</v>
      </c>
      <c r="R165" s="144" t="str">
        <f t="shared" si="22"/>
        <v>SI</v>
      </c>
      <c r="S165" s="145" t="str">
        <f t="shared" si="17"/>
        <v>Sin Riesgo</v>
      </c>
    </row>
    <row r="166" spans="1:20" s="167" customFormat="1" ht="32.1" customHeight="1">
      <c r="A166" s="419" t="s">
        <v>213</v>
      </c>
      <c r="B166" s="110" t="s">
        <v>777</v>
      </c>
      <c r="C166" s="502" t="s">
        <v>778</v>
      </c>
      <c r="D166" s="114">
        <v>1350</v>
      </c>
      <c r="E166" s="79"/>
      <c r="F166" s="79"/>
      <c r="G166" s="79"/>
      <c r="H166" s="79"/>
      <c r="I166" s="79"/>
      <c r="J166" s="79">
        <v>26.55</v>
      </c>
      <c r="K166" s="79"/>
      <c r="L166" s="79"/>
      <c r="M166" s="79"/>
      <c r="N166" s="79"/>
      <c r="O166" s="79"/>
      <c r="P166" s="79"/>
      <c r="Q166" s="139">
        <f t="shared" si="21"/>
        <v>26.55</v>
      </c>
      <c r="R166" s="144" t="str">
        <f t="shared" si="22"/>
        <v>NO</v>
      </c>
      <c r="S166" s="145" t="str">
        <f t="shared" si="17"/>
        <v>Medio</v>
      </c>
    </row>
    <row r="167" spans="1:20" s="167" customFormat="1" ht="32.1" customHeight="1">
      <c r="A167" s="419" t="s">
        <v>213</v>
      </c>
      <c r="B167" s="110" t="s">
        <v>779</v>
      </c>
      <c r="C167" s="502" t="s">
        <v>780</v>
      </c>
      <c r="D167" s="114">
        <v>509</v>
      </c>
      <c r="E167" s="79"/>
      <c r="F167" s="79">
        <v>0</v>
      </c>
      <c r="G167" s="79"/>
      <c r="H167" s="79"/>
      <c r="I167" s="79"/>
      <c r="J167" s="79">
        <v>0</v>
      </c>
      <c r="K167" s="79"/>
      <c r="L167" s="79">
        <v>0</v>
      </c>
      <c r="M167" s="79"/>
      <c r="N167" s="79"/>
      <c r="O167" s="79">
        <v>0</v>
      </c>
      <c r="P167" s="79"/>
      <c r="Q167" s="139">
        <f t="shared" si="21"/>
        <v>0</v>
      </c>
      <c r="R167" s="144" t="str">
        <f t="shared" si="22"/>
        <v>SI</v>
      </c>
      <c r="S167" s="145" t="str">
        <f t="shared" si="17"/>
        <v>Sin Riesgo</v>
      </c>
      <c r="T167" s="169"/>
    </row>
    <row r="168" spans="1:20" s="167" customFormat="1" ht="32.1" customHeight="1">
      <c r="A168" s="419" t="s">
        <v>213</v>
      </c>
      <c r="B168" s="110" t="s">
        <v>781</v>
      </c>
      <c r="C168" s="502" t="s">
        <v>782</v>
      </c>
      <c r="D168" s="114">
        <v>186</v>
      </c>
      <c r="E168" s="79">
        <v>0</v>
      </c>
      <c r="F168" s="79"/>
      <c r="G168" s="79"/>
      <c r="H168" s="79"/>
      <c r="I168" s="79"/>
      <c r="J168" s="79">
        <v>26.55</v>
      </c>
      <c r="K168" s="79"/>
      <c r="L168" s="79">
        <v>0</v>
      </c>
      <c r="M168" s="79"/>
      <c r="N168" s="79"/>
      <c r="O168" s="79"/>
      <c r="P168" s="79"/>
      <c r="Q168" s="139">
        <f t="shared" si="21"/>
        <v>8.85</v>
      </c>
      <c r="R168" s="144" t="str">
        <f t="shared" si="22"/>
        <v>NO</v>
      </c>
      <c r="S168" s="145" t="str">
        <f t="shared" ref="S168:S199" si="23">IF(Q168&lt;5,"Sin Riesgo",IF(Q168 &lt;=14,"Bajo",IF(Q168&lt;=35,"Medio",IF(Q168&lt;=80,"Alto","Inviable Sanitariamente"))))</f>
        <v>Bajo</v>
      </c>
      <c r="T168" s="169"/>
    </row>
    <row r="169" spans="1:20" s="167" customFormat="1" ht="32.1" customHeight="1">
      <c r="A169" s="419" t="s">
        <v>213</v>
      </c>
      <c r="B169" s="110" t="s">
        <v>783</v>
      </c>
      <c r="C169" s="502" t="s">
        <v>784</v>
      </c>
      <c r="D169" s="114">
        <v>467</v>
      </c>
      <c r="E169" s="79"/>
      <c r="F169" s="79"/>
      <c r="G169" s="79"/>
      <c r="H169" s="79"/>
      <c r="I169" s="79"/>
      <c r="J169" s="79"/>
      <c r="K169" s="79">
        <v>0</v>
      </c>
      <c r="L169" s="79"/>
      <c r="M169" s="79"/>
      <c r="N169" s="79"/>
      <c r="O169" s="79"/>
      <c r="P169" s="79"/>
      <c r="Q169" s="139">
        <f t="shared" si="21"/>
        <v>0</v>
      </c>
      <c r="R169" s="144" t="str">
        <f t="shared" si="22"/>
        <v>SI</v>
      </c>
      <c r="S169" s="145" t="str">
        <f t="shared" si="23"/>
        <v>Sin Riesgo</v>
      </c>
      <c r="T169" s="169"/>
    </row>
    <row r="170" spans="1:20" s="167" customFormat="1" ht="32.1" customHeight="1">
      <c r="A170" s="419" t="s">
        <v>213</v>
      </c>
      <c r="B170" s="110" t="s">
        <v>785</v>
      </c>
      <c r="C170" s="502" t="s">
        <v>786</v>
      </c>
      <c r="D170" s="114">
        <v>150</v>
      </c>
      <c r="E170" s="79">
        <v>0</v>
      </c>
      <c r="F170" s="79">
        <v>0</v>
      </c>
      <c r="G170" s="79"/>
      <c r="H170" s="79"/>
      <c r="I170" s="79"/>
      <c r="J170" s="79">
        <v>0</v>
      </c>
      <c r="K170" s="79"/>
      <c r="L170" s="79">
        <v>0</v>
      </c>
      <c r="M170" s="79">
        <v>26.55</v>
      </c>
      <c r="N170" s="79"/>
      <c r="O170" s="79">
        <v>26.55</v>
      </c>
      <c r="P170" s="79"/>
      <c r="Q170" s="139">
        <f t="shared" si="21"/>
        <v>8.85</v>
      </c>
      <c r="R170" s="144" t="str">
        <f t="shared" si="22"/>
        <v>NO</v>
      </c>
      <c r="S170" s="145" t="str">
        <f t="shared" si="23"/>
        <v>Bajo</v>
      </c>
      <c r="T170" s="169"/>
    </row>
    <row r="171" spans="1:20" s="167" customFormat="1" ht="32.1" customHeight="1">
      <c r="A171" s="419" t="s">
        <v>213</v>
      </c>
      <c r="B171" s="110" t="s">
        <v>787</v>
      </c>
      <c r="C171" s="502" t="s">
        <v>788</v>
      </c>
      <c r="D171" s="156">
        <v>232</v>
      </c>
      <c r="E171" s="79"/>
      <c r="F171" s="79">
        <v>0</v>
      </c>
      <c r="G171" s="168"/>
      <c r="H171" s="79"/>
      <c r="I171" s="79"/>
      <c r="J171" s="79">
        <v>0</v>
      </c>
      <c r="K171" s="79"/>
      <c r="L171" s="79">
        <v>0</v>
      </c>
      <c r="M171" s="79"/>
      <c r="N171" s="79"/>
      <c r="O171" s="79">
        <v>0</v>
      </c>
      <c r="P171" s="79"/>
      <c r="Q171" s="139">
        <f t="shared" si="21"/>
        <v>0</v>
      </c>
      <c r="R171" s="144" t="str">
        <f t="shared" si="22"/>
        <v>SI</v>
      </c>
      <c r="S171" s="145" t="str">
        <f t="shared" si="23"/>
        <v>Sin Riesgo</v>
      </c>
      <c r="T171" s="169"/>
    </row>
    <row r="172" spans="1:20" s="167" customFormat="1" ht="32.1" customHeight="1">
      <c r="A172" s="419" t="s">
        <v>213</v>
      </c>
      <c r="B172" s="110" t="s">
        <v>789</v>
      </c>
      <c r="C172" s="502" t="s">
        <v>790</v>
      </c>
      <c r="D172" s="114">
        <v>590</v>
      </c>
      <c r="E172" s="79">
        <v>0</v>
      </c>
      <c r="F172" s="79">
        <v>0</v>
      </c>
      <c r="G172" s="79"/>
      <c r="H172" s="79"/>
      <c r="I172" s="79"/>
      <c r="J172" s="79">
        <v>26.55</v>
      </c>
      <c r="K172" s="79">
        <v>26.55</v>
      </c>
      <c r="L172" s="79"/>
      <c r="M172" s="79"/>
      <c r="N172" s="79"/>
      <c r="O172" s="79"/>
      <c r="P172" s="79">
        <v>0</v>
      </c>
      <c r="Q172" s="139">
        <f t="shared" si="21"/>
        <v>10.620000000000001</v>
      </c>
      <c r="R172" s="144" t="str">
        <f t="shared" si="22"/>
        <v>NO</v>
      </c>
      <c r="S172" s="145" t="str">
        <f t="shared" si="23"/>
        <v>Bajo</v>
      </c>
      <c r="T172" s="169"/>
    </row>
    <row r="173" spans="1:20" s="167" customFormat="1" ht="32.1" customHeight="1">
      <c r="A173" s="419" t="s">
        <v>213</v>
      </c>
      <c r="B173" s="110" t="s">
        <v>791</v>
      </c>
      <c r="C173" s="502" t="s">
        <v>792</v>
      </c>
      <c r="D173" s="114">
        <v>134</v>
      </c>
      <c r="E173" s="79">
        <v>0</v>
      </c>
      <c r="F173" s="79">
        <v>0</v>
      </c>
      <c r="G173" s="79"/>
      <c r="H173" s="79"/>
      <c r="I173" s="79"/>
      <c r="J173" s="79"/>
      <c r="K173" s="79">
        <v>0</v>
      </c>
      <c r="L173" s="79"/>
      <c r="M173" s="79"/>
      <c r="N173" s="79"/>
      <c r="O173" s="79"/>
      <c r="P173" s="79">
        <v>0</v>
      </c>
      <c r="Q173" s="139">
        <f t="shared" si="21"/>
        <v>0</v>
      </c>
      <c r="R173" s="144" t="str">
        <f t="shared" si="22"/>
        <v>SI</v>
      </c>
      <c r="S173" s="145" t="str">
        <f t="shared" si="23"/>
        <v>Sin Riesgo</v>
      </c>
      <c r="T173" s="169"/>
    </row>
    <row r="174" spans="1:20" s="167" customFormat="1" ht="32.1" customHeight="1">
      <c r="A174" s="419" t="s">
        <v>213</v>
      </c>
      <c r="B174" s="110" t="s">
        <v>793</v>
      </c>
      <c r="C174" s="502" t="s">
        <v>794</v>
      </c>
      <c r="D174" s="114">
        <v>420</v>
      </c>
      <c r="E174" s="79">
        <v>0</v>
      </c>
      <c r="F174" s="79">
        <v>0</v>
      </c>
      <c r="G174" s="79"/>
      <c r="H174" s="79"/>
      <c r="I174" s="79"/>
      <c r="J174" s="79"/>
      <c r="K174" s="79"/>
      <c r="L174" s="79"/>
      <c r="M174" s="79"/>
      <c r="N174" s="79"/>
      <c r="O174" s="79"/>
      <c r="P174" s="79">
        <v>0</v>
      </c>
      <c r="Q174" s="139">
        <f t="shared" si="21"/>
        <v>0</v>
      </c>
      <c r="R174" s="144" t="str">
        <f t="shared" si="22"/>
        <v>SI</v>
      </c>
      <c r="S174" s="145" t="str">
        <f t="shared" si="23"/>
        <v>Sin Riesgo</v>
      </c>
      <c r="T174" s="169"/>
    </row>
    <row r="175" spans="1:20" s="167" customFormat="1" ht="32.1" customHeight="1">
      <c r="A175" s="419" t="s">
        <v>213</v>
      </c>
      <c r="B175" s="110" t="s">
        <v>795</v>
      </c>
      <c r="C175" s="502" t="s">
        <v>796</v>
      </c>
      <c r="D175" s="114">
        <v>210</v>
      </c>
      <c r="E175" s="79">
        <v>0</v>
      </c>
      <c r="F175" s="79"/>
      <c r="G175" s="79"/>
      <c r="H175" s="79"/>
      <c r="I175" s="79"/>
      <c r="J175" s="79">
        <v>0</v>
      </c>
      <c r="K175" s="79"/>
      <c r="L175" s="79">
        <v>0</v>
      </c>
      <c r="M175" s="79"/>
      <c r="N175" s="79"/>
      <c r="O175" s="79"/>
      <c r="P175" s="79"/>
      <c r="Q175" s="139">
        <f t="shared" si="21"/>
        <v>0</v>
      </c>
      <c r="R175" s="144" t="str">
        <f t="shared" si="22"/>
        <v>SI</v>
      </c>
      <c r="S175" s="145" t="str">
        <f t="shared" si="23"/>
        <v>Sin Riesgo</v>
      </c>
      <c r="T175" s="169"/>
    </row>
    <row r="176" spans="1:20" s="167" customFormat="1" ht="32.1" customHeight="1">
      <c r="A176" s="419" t="s">
        <v>213</v>
      </c>
      <c r="B176" s="110" t="s">
        <v>797</v>
      </c>
      <c r="C176" s="502" t="s">
        <v>798</v>
      </c>
      <c r="D176" s="114">
        <v>160</v>
      </c>
      <c r="E176" s="79">
        <v>0</v>
      </c>
      <c r="F176" s="79"/>
      <c r="G176" s="79"/>
      <c r="H176" s="79"/>
      <c r="I176" s="79"/>
      <c r="J176" s="79"/>
      <c r="K176" s="79">
        <v>0</v>
      </c>
      <c r="L176" s="79"/>
      <c r="M176" s="79"/>
      <c r="N176" s="79"/>
      <c r="O176" s="79"/>
      <c r="P176" s="79"/>
      <c r="Q176" s="139">
        <f t="shared" si="21"/>
        <v>0</v>
      </c>
      <c r="R176" s="144" t="str">
        <f t="shared" si="22"/>
        <v>SI</v>
      </c>
      <c r="S176" s="145" t="str">
        <f t="shared" si="23"/>
        <v>Sin Riesgo</v>
      </c>
      <c r="T176" s="169"/>
    </row>
    <row r="177" spans="1:20" s="167" customFormat="1" ht="32.1" customHeight="1">
      <c r="A177" s="419" t="s">
        <v>213</v>
      </c>
      <c r="B177" s="110" t="s">
        <v>791</v>
      </c>
      <c r="C177" s="502" t="s">
        <v>799</v>
      </c>
      <c r="D177" s="114">
        <v>134</v>
      </c>
      <c r="E177" s="79"/>
      <c r="F177" s="79"/>
      <c r="G177" s="79"/>
      <c r="H177" s="79"/>
      <c r="I177" s="79"/>
      <c r="J177" s="79">
        <v>26.55</v>
      </c>
      <c r="K177" s="79"/>
      <c r="L177" s="79"/>
      <c r="M177" s="79"/>
      <c r="N177" s="79"/>
      <c r="O177" s="79"/>
      <c r="P177" s="79"/>
      <c r="Q177" s="139">
        <f t="shared" si="21"/>
        <v>26.55</v>
      </c>
      <c r="R177" s="144" t="str">
        <f t="shared" si="22"/>
        <v>NO</v>
      </c>
      <c r="S177" s="145" t="str">
        <f t="shared" si="23"/>
        <v>Medio</v>
      </c>
      <c r="T177" s="169"/>
    </row>
    <row r="178" spans="1:20" s="167" customFormat="1" ht="32.1" customHeight="1">
      <c r="A178" s="419" t="s">
        <v>213</v>
      </c>
      <c r="B178" s="110" t="s">
        <v>793</v>
      </c>
      <c r="C178" s="502" t="s">
        <v>800</v>
      </c>
      <c r="D178" s="114">
        <v>420</v>
      </c>
      <c r="E178" s="79"/>
      <c r="F178" s="79">
        <v>0</v>
      </c>
      <c r="G178" s="79"/>
      <c r="H178" s="79"/>
      <c r="I178" s="79"/>
      <c r="J178" s="79">
        <v>0</v>
      </c>
      <c r="K178" s="79">
        <v>0</v>
      </c>
      <c r="L178" s="79">
        <v>0</v>
      </c>
      <c r="M178" s="79"/>
      <c r="N178" s="79"/>
      <c r="O178" s="79">
        <v>0</v>
      </c>
      <c r="P178" s="79"/>
      <c r="Q178" s="139">
        <f t="shared" si="21"/>
        <v>0</v>
      </c>
      <c r="R178" s="144" t="str">
        <f t="shared" si="22"/>
        <v>SI</v>
      </c>
      <c r="S178" s="145" t="str">
        <f t="shared" si="23"/>
        <v>Sin Riesgo</v>
      </c>
      <c r="T178" s="169"/>
    </row>
    <row r="179" spans="1:20" s="167" customFormat="1" ht="32.1" customHeight="1">
      <c r="A179" s="419" t="s">
        <v>213</v>
      </c>
      <c r="B179" s="110" t="s">
        <v>801</v>
      </c>
      <c r="C179" s="502" t="s">
        <v>802</v>
      </c>
      <c r="D179" s="114">
        <v>85</v>
      </c>
      <c r="E179" s="79"/>
      <c r="F179" s="79">
        <v>0</v>
      </c>
      <c r="G179" s="79"/>
      <c r="H179" s="79"/>
      <c r="I179" s="79"/>
      <c r="J179" s="79">
        <v>0</v>
      </c>
      <c r="K179" s="79"/>
      <c r="L179" s="79">
        <v>0</v>
      </c>
      <c r="M179" s="79"/>
      <c r="N179" s="79"/>
      <c r="O179" s="79">
        <v>26.55</v>
      </c>
      <c r="P179" s="79"/>
      <c r="Q179" s="139">
        <f t="shared" si="21"/>
        <v>6.6375000000000002</v>
      </c>
      <c r="R179" s="144" t="str">
        <f t="shared" si="22"/>
        <v>NO</v>
      </c>
      <c r="S179" s="145" t="str">
        <f t="shared" si="23"/>
        <v>Bajo</v>
      </c>
      <c r="T179" s="169"/>
    </row>
    <row r="180" spans="1:20" s="167" customFormat="1" ht="32.1" customHeight="1">
      <c r="A180" s="419" t="s">
        <v>213</v>
      </c>
      <c r="B180" s="110" t="s">
        <v>779</v>
      </c>
      <c r="C180" s="502" t="s">
        <v>803</v>
      </c>
      <c r="D180" s="114">
        <v>12</v>
      </c>
      <c r="E180" s="79">
        <v>0</v>
      </c>
      <c r="F180" s="79"/>
      <c r="G180" s="79"/>
      <c r="H180" s="79"/>
      <c r="I180" s="79"/>
      <c r="J180" s="79"/>
      <c r="K180" s="79"/>
      <c r="L180" s="79"/>
      <c r="M180" s="79"/>
      <c r="N180" s="79"/>
      <c r="O180" s="79">
        <v>0</v>
      </c>
      <c r="P180" s="79"/>
      <c r="Q180" s="139">
        <f t="shared" si="21"/>
        <v>0</v>
      </c>
      <c r="R180" s="144" t="str">
        <f t="shared" si="22"/>
        <v>SI</v>
      </c>
      <c r="S180" s="145" t="str">
        <f t="shared" si="23"/>
        <v>Sin Riesgo</v>
      </c>
      <c r="T180" s="169"/>
    </row>
    <row r="181" spans="1:20" s="167" customFormat="1" ht="32.1" customHeight="1">
      <c r="A181" s="419" t="s">
        <v>213</v>
      </c>
      <c r="B181" s="110" t="s">
        <v>769</v>
      </c>
      <c r="C181" s="502" t="s">
        <v>804</v>
      </c>
      <c r="D181" s="114"/>
      <c r="E181" s="79"/>
      <c r="F181" s="79"/>
      <c r="G181" s="79"/>
      <c r="H181" s="79"/>
      <c r="I181" s="79"/>
      <c r="J181" s="79"/>
      <c r="K181" s="79"/>
      <c r="L181" s="79"/>
      <c r="M181" s="79"/>
      <c r="N181" s="79"/>
      <c r="O181" s="79"/>
      <c r="P181" s="79"/>
      <c r="Q181" s="139" t="e">
        <f t="shared" si="21"/>
        <v>#DIV/0!</v>
      </c>
      <c r="R181" s="144" t="e">
        <f t="shared" si="22"/>
        <v>#DIV/0!</v>
      </c>
      <c r="S181" s="145" t="e">
        <f t="shared" si="23"/>
        <v>#DIV/0!</v>
      </c>
      <c r="T181" s="169"/>
    </row>
    <row r="182" spans="1:20" s="167" customFormat="1" ht="32.1" customHeight="1">
      <c r="A182" s="419" t="s">
        <v>214</v>
      </c>
      <c r="B182" s="485" t="s">
        <v>974</v>
      </c>
      <c r="C182" s="498" t="s">
        <v>987</v>
      </c>
      <c r="D182" s="114">
        <v>95</v>
      </c>
      <c r="E182" s="79"/>
      <c r="F182" s="79"/>
      <c r="G182" s="168"/>
      <c r="H182" s="79">
        <v>97.9</v>
      </c>
      <c r="I182" s="79">
        <v>97.9</v>
      </c>
      <c r="J182" s="79">
        <v>95.24</v>
      </c>
      <c r="K182" s="79">
        <v>95.24</v>
      </c>
      <c r="L182" s="79"/>
      <c r="M182" s="79">
        <v>97.9</v>
      </c>
      <c r="N182" s="79"/>
      <c r="O182" s="79"/>
      <c r="P182" s="79"/>
      <c r="Q182" s="139">
        <f t="shared" si="21"/>
        <v>96.836000000000013</v>
      </c>
      <c r="R182" s="144" t="str">
        <f t="shared" si="22"/>
        <v>NO</v>
      </c>
      <c r="S182" s="145" t="str">
        <f t="shared" si="23"/>
        <v>Inviable Sanitariamente</v>
      </c>
      <c r="T182" s="169"/>
    </row>
    <row r="183" spans="1:20" s="167" customFormat="1" ht="32.1" customHeight="1">
      <c r="A183" s="419" t="s">
        <v>214</v>
      </c>
      <c r="B183" s="504" t="s">
        <v>975</v>
      </c>
      <c r="C183" s="498" t="s">
        <v>988</v>
      </c>
      <c r="D183" s="306">
        <v>61</v>
      </c>
      <c r="E183" s="79"/>
      <c r="F183" s="79"/>
      <c r="G183" s="168"/>
      <c r="H183" s="79">
        <v>97.9</v>
      </c>
      <c r="I183" s="79">
        <v>76.92</v>
      </c>
      <c r="J183" s="79">
        <v>95.24</v>
      </c>
      <c r="K183" s="79"/>
      <c r="L183" s="79"/>
      <c r="M183" s="79"/>
      <c r="N183" s="79"/>
      <c r="O183" s="79"/>
      <c r="P183" s="79"/>
      <c r="Q183" s="139">
        <f t="shared" si="21"/>
        <v>90.02</v>
      </c>
      <c r="R183" s="144" t="str">
        <f t="shared" si="22"/>
        <v>NO</v>
      </c>
      <c r="S183" s="145" t="str">
        <f t="shared" si="23"/>
        <v>Inviable Sanitariamente</v>
      </c>
      <c r="T183" s="169"/>
    </row>
    <row r="184" spans="1:20" s="167" customFormat="1" ht="32.1" customHeight="1">
      <c r="A184" s="419" t="s">
        <v>214</v>
      </c>
      <c r="B184" s="504" t="s">
        <v>807</v>
      </c>
      <c r="C184" s="498" t="s">
        <v>989</v>
      </c>
      <c r="D184" s="114">
        <v>56</v>
      </c>
      <c r="E184" s="79"/>
      <c r="F184" s="79"/>
      <c r="G184" s="79"/>
      <c r="H184" s="79"/>
      <c r="I184" s="79">
        <v>20.98</v>
      </c>
      <c r="J184" s="79"/>
      <c r="K184" s="79"/>
      <c r="L184" s="79"/>
      <c r="M184" s="79"/>
      <c r="N184" s="79"/>
      <c r="O184" s="79"/>
      <c r="P184" s="79"/>
      <c r="Q184" s="139">
        <f t="shared" si="21"/>
        <v>20.98</v>
      </c>
      <c r="R184" s="144" t="str">
        <f t="shared" si="22"/>
        <v>NO</v>
      </c>
      <c r="S184" s="145" t="str">
        <f t="shared" si="23"/>
        <v>Medio</v>
      </c>
      <c r="T184" s="169"/>
    </row>
    <row r="185" spans="1:20" s="167" customFormat="1" ht="32.1" customHeight="1">
      <c r="A185" s="419" t="s">
        <v>214</v>
      </c>
      <c r="B185" s="504" t="s">
        <v>805</v>
      </c>
      <c r="C185" s="498" t="s">
        <v>806</v>
      </c>
      <c r="D185" s="114">
        <v>172</v>
      </c>
      <c r="E185" s="79"/>
      <c r="F185" s="79">
        <v>0</v>
      </c>
      <c r="G185" s="79"/>
      <c r="H185" s="79">
        <v>23.81</v>
      </c>
      <c r="I185" s="79">
        <v>23.8</v>
      </c>
      <c r="J185" s="79">
        <v>0</v>
      </c>
      <c r="K185" s="79">
        <v>0</v>
      </c>
      <c r="L185" s="79"/>
      <c r="M185" s="79">
        <v>0</v>
      </c>
      <c r="N185" s="79"/>
      <c r="O185" s="79">
        <v>20.98</v>
      </c>
      <c r="P185" s="79"/>
      <c r="Q185" s="139">
        <f t="shared" si="21"/>
        <v>9.7985714285714298</v>
      </c>
      <c r="R185" s="144" t="str">
        <f t="shared" si="22"/>
        <v>NO</v>
      </c>
      <c r="S185" s="145" t="str">
        <f t="shared" si="23"/>
        <v>Bajo</v>
      </c>
      <c r="T185" s="169"/>
    </row>
    <row r="186" spans="1:20" s="167" customFormat="1" ht="32.1" customHeight="1">
      <c r="A186" s="419" t="s">
        <v>214</v>
      </c>
      <c r="B186" s="505" t="s">
        <v>812</v>
      </c>
      <c r="C186" s="506" t="s">
        <v>990</v>
      </c>
      <c r="D186" s="297">
        <v>101</v>
      </c>
      <c r="E186" s="79"/>
      <c r="F186" s="79">
        <v>76.92</v>
      </c>
      <c r="G186" s="79"/>
      <c r="H186" s="79">
        <v>70.72</v>
      </c>
      <c r="I186" s="79">
        <v>76.92</v>
      </c>
      <c r="J186" s="79">
        <v>95.24</v>
      </c>
      <c r="K186" s="79">
        <v>97.9</v>
      </c>
      <c r="L186" s="79"/>
      <c r="M186" s="79"/>
      <c r="N186" s="79">
        <v>76.92</v>
      </c>
      <c r="O186" s="79">
        <v>41.96</v>
      </c>
      <c r="P186" s="79"/>
      <c r="Q186" s="139">
        <f t="shared" si="21"/>
        <v>76.65428571428572</v>
      </c>
      <c r="R186" s="144" t="str">
        <f t="shared" si="22"/>
        <v>NO</v>
      </c>
      <c r="S186" s="145" t="str">
        <f t="shared" si="23"/>
        <v>Alto</v>
      </c>
      <c r="T186" s="169"/>
    </row>
    <row r="187" spans="1:20" s="167" customFormat="1" ht="32.1" customHeight="1">
      <c r="A187" s="419" t="s">
        <v>214</v>
      </c>
      <c r="B187" s="485" t="s">
        <v>976</v>
      </c>
      <c r="C187" s="498" t="s">
        <v>991</v>
      </c>
      <c r="D187" s="114">
        <v>61</v>
      </c>
      <c r="E187" s="79"/>
      <c r="F187" s="79"/>
      <c r="G187" s="79"/>
      <c r="H187" s="79">
        <v>97.9</v>
      </c>
      <c r="I187" s="79">
        <v>97.9</v>
      </c>
      <c r="J187" s="79"/>
      <c r="K187" s="79"/>
      <c r="L187" s="79"/>
      <c r="M187" s="79"/>
      <c r="N187" s="79"/>
      <c r="O187" s="79"/>
      <c r="P187" s="79"/>
      <c r="Q187" s="139">
        <f t="shared" si="21"/>
        <v>97.9</v>
      </c>
      <c r="R187" s="144" t="str">
        <f t="shared" si="22"/>
        <v>NO</v>
      </c>
      <c r="S187" s="145" t="str">
        <f t="shared" si="23"/>
        <v>Inviable Sanitariamente</v>
      </c>
      <c r="T187" s="169"/>
    </row>
    <row r="188" spans="1:20" s="167" customFormat="1" ht="32.1" customHeight="1">
      <c r="A188" s="419" t="s">
        <v>214</v>
      </c>
      <c r="B188" s="504" t="s">
        <v>813</v>
      </c>
      <c r="C188" s="498" t="s">
        <v>992</v>
      </c>
      <c r="D188" s="114">
        <v>117</v>
      </c>
      <c r="E188" s="307"/>
      <c r="F188" s="307"/>
      <c r="G188" s="307"/>
      <c r="H188" s="307">
        <v>97.9</v>
      </c>
      <c r="I188" s="307">
        <v>97.9</v>
      </c>
      <c r="J188" s="307"/>
      <c r="K188" s="307"/>
      <c r="L188" s="307"/>
      <c r="M188" s="307"/>
      <c r="N188" s="307"/>
      <c r="O188" s="307"/>
      <c r="P188" s="307"/>
      <c r="Q188" s="139">
        <f t="shared" si="21"/>
        <v>97.9</v>
      </c>
      <c r="R188" s="308" t="str">
        <f t="shared" si="22"/>
        <v>NO</v>
      </c>
      <c r="S188" s="145" t="str">
        <f t="shared" si="23"/>
        <v>Inviable Sanitariamente</v>
      </c>
      <c r="T188" s="169"/>
    </row>
    <row r="189" spans="1:20" s="167" customFormat="1" ht="32.1" customHeight="1">
      <c r="A189" s="419" t="s">
        <v>214</v>
      </c>
      <c r="B189" s="507" t="s">
        <v>808</v>
      </c>
      <c r="C189" s="508" t="s">
        <v>993</v>
      </c>
      <c r="D189" s="170">
        <v>47</v>
      </c>
      <c r="E189" s="310"/>
      <c r="F189" s="310"/>
      <c r="G189" s="310"/>
      <c r="H189" s="310">
        <v>22.3</v>
      </c>
      <c r="I189" s="310">
        <v>10.49</v>
      </c>
      <c r="J189" s="310">
        <v>0</v>
      </c>
      <c r="K189" s="310">
        <v>0</v>
      </c>
      <c r="L189" s="310"/>
      <c r="M189" s="310">
        <v>20.98</v>
      </c>
      <c r="N189" s="310"/>
      <c r="O189" s="310">
        <v>21</v>
      </c>
      <c r="P189" s="310"/>
      <c r="Q189" s="139">
        <f t="shared" si="21"/>
        <v>12.461666666666666</v>
      </c>
      <c r="R189" s="309" t="str">
        <f t="shared" si="22"/>
        <v>NO</v>
      </c>
      <c r="S189" s="145" t="str">
        <f t="shared" si="23"/>
        <v>Bajo</v>
      </c>
      <c r="T189" s="169"/>
    </row>
    <row r="190" spans="1:20" s="167" customFormat="1" ht="32.1" customHeight="1">
      <c r="A190" s="419" t="s">
        <v>214</v>
      </c>
      <c r="B190" s="504" t="s">
        <v>977</v>
      </c>
      <c r="C190" s="498" t="s">
        <v>994</v>
      </c>
      <c r="D190" s="114"/>
      <c r="E190" s="307"/>
      <c r="F190" s="307"/>
      <c r="G190" s="307"/>
      <c r="H190" s="307"/>
      <c r="I190" s="307"/>
      <c r="J190" s="307"/>
      <c r="K190" s="307"/>
      <c r="L190" s="307"/>
      <c r="M190" s="307"/>
      <c r="N190" s="307"/>
      <c r="O190" s="307"/>
      <c r="P190" s="307"/>
      <c r="Q190" s="139" t="e">
        <f t="shared" si="21"/>
        <v>#DIV/0!</v>
      </c>
      <c r="R190" s="144" t="e">
        <f t="shared" si="22"/>
        <v>#DIV/0!</v>
      </c>
      <c r="S190" s="145" t="e">
        <f t="shared" si="23"/>
        <v>#DIV/0!</v>
      </c>
      <c r="T190" s="169"/>
    </row>
    <row r="191" spans="1:20" s="167" customFormat="1" ht="32.1" customHeight="1">
      <c r="A191" s="419" t="s">
        <v>214</v>
      </c>
      <c r="B191" s="504" t="s">
        <v>810</v>
      </c>
      <c r="C191" s="498" t="s">
        <v>995</v>
      </c>
      <c r="D191" s="114">
        <v>35</v>
      </c>
      <c r="E191" s="79"/>
      <c r="F191" s="79"/>
      <c r="G191" s="79"/>
      <c r="H191" s="79">
        <v>97.9</v>
      </c>
      <c r="I191" s="79">
        <v>97.9</v>
      </c>
      <c r="J191" s="79"/>
      <c r="K191" s="79">
        <v>47.62</v>
      </c>
      <c r="L191" s="79"/>
      <c r="M191" s="79">
        <v>20.97</v>
      </c>
      <c r="N191" s="79"/>
      <c r="O191" s="79"/>
      <c r="P191" s="79"/>
      <c r="Q191" s="139">
        <f t="shared" si="21"/>
        <v>66.097499999999997</v>
      </c>
      <c r="R191" s="144" t="str">
        <f t="shared" si="22"/>
        <v>NO</v>
      </c>
      <c r="S191" s="145" t="str">
        <f t="shared" si="23"/>
        <v>Alto</v>
      </c>
      <c r="T191" s="169"/>
    </row>
    <row r="192" spans="1:20" s="167" customFormat="1" ht="32.1" customHeight="1">
      <c r="A192" s="419" t="s">
        <v>214</v>
      </c>
      <c r="B192" s="485" t="s">
        <v>978</v>
      </c>
      <c r="C192" s="498" t="s">
        <v>996</v>
      </c>
      <c r="D192" s="114">
        <v>115</v>
      </c>
      <c r="E192" s="79"/>
      <c r="F192" s="79"/>
      <c r="G192" s="79">
        <v>0</v>
      </c>
      <c r="H192" s="79">
        <v>0</v>
      </c>
      <c r="I192" s="79">
        <v>0</v>
      </c>
      <c r="J192" s="79"/>
      <c r="K192" s="79"/>
      <c r="L192" s="79"/>
      <c r="M192" s="79"/>
      <c r="N192" s="79"/>
      <c r="O192" s="79"/>
      <c r="P192" s="79"/>
      <c r="Q192" s="139">
        <f t="shared" si="21"/>
        <v>0</v>
      </c>
      <c r="R192" s="144" t="str">
        <f t="shared" si="22"/>
        <v>SI</v>
      </c>
      <c r="S192" s="145" t="str">
        <f t="shared" si="23"/>
        <v>Sin Riesgo</v>
      </c>
      <c r="T192" s="169"/>
    </row>
    <row r="193" spans="1:20" s="167" customFormat="1" ht="32.1" customHeight="1">
      <c r="A193" s="419" t="s">
        <v>214</v>
      </c>
      <c r="B193" s="485" t="s">
        <v>979</v>
      </c>
      <c r="C193" s="498" t="s">
        <v>997</v>
      </c>
      <c r="D193" s="114">
        <v>127</v>
      </c>
      <c r="E193" s="79"/>
      <c r="F193" s="79"/>
      <c r="G193" s="79">
        <v>0</v>
      </c>
      <c r="H193" s="79">
        <v>0</v>
      </c>
      <c r="I193" s="79">
        <v>0</v>
      </c>
      <c r="J193" s="79">
        <v>0</v>
      </c>
      <c r="K193" s="79">
        <v>0</v>
      </c>
      <c r="L193" s="79"/>
      <c r="M193" s="79">
        <v>0</v>
      </c>
      <c r="N193" s="79"/>
      <c r="O193" s="79">
        <v>0</v>
      </c>
      <c r="P193" s="79"/>
      <c r="Q193" s="139">
        <f t="shared" si="21"/>
        <v>0</v>
      </c>
      <c r="R193" s="144" t="str">
        <f t="shared" si="22"/>
        <v>SI</v>
      </c>
      <c r="S193" s="145" t="str">
        <f t="shared" si="23"/>
        <v>Sin Riesgo</v>
      </c>
      <c r="T193" s="169"/>
    </row>
    <row r="194" spans="1:20" s="167" customFormat="1" ht="32.1" customHeight="1">
      <c r="A194" s="419" t="s">
        <v>214</v>
      </c>
      <c r="B194" s="485" t="s">
        <v>980</v>
      </c>
      <c r="C194" s="498" t="s">
        <v>998</v>
      </c>
      <c r="D194" s="114"/>
      <c r="E194" s="79"/>
      <c r="F194" s="79"/>
      <c r="G194" s="79"/>
      <c r="H194" s="79"/>
      <c r="I194" s="79"/>
      <c r="J194" s="79"/>
      <c r="K194" s="79"/>
      <c r="L194" s="79"/>
      <c r="M194" s="79"/>
      <c r="N194" s="79"/>
      <c r="O194" s="79"/>
      <c r="P194" s="79"/>
      <c r="Q194" s="139" t="e">
        <f t="shared" si="21"/>
        <v>#DIV/0!</v>
      </c>
      <c r="R194" s="144" t="e">
        <f t="shared" si="22"/>
        <v>#DIV/0!</v>
      </c>
      <c r="S194" s="145" t="e">
        <f t="shared" si="23"/>
        <v>#DIV/0!</v>
      </c>
      <c r="T194" s="169"/>
    </row>
    <row r="195" spans="1:20" s="167" customFormat="1" ht="32.1" customHeight="1">
      <c r="A195" s="419" t="s">
        <v>214</v>
      </c>
      <c r="B195" s="485" t="s">
        <v>981</v>
      </c>
      <c r="C195" s="498" t="s">
        <v>999</v>
      </c>
      <c r="D195" s="114">
        <v>129</v>
      </c>
      <c r="E195" s="79"/>
      <c r="F195" s="79"/>
      <c r="G195" s="79"/>
      <c r="H195" s="79">
        <v>32.26</v>
      </c>
      <c r="I195" s="79">
        <v>0</v>
      </c>
      <c r="J195" s="79">
        <v>47.62</v>
      </c>
      <c r="K195" s="79">
        <v>47.62</v>
      </c>
      <c r="L195" s="79"/>
      <c r="M195" s="79"/>
      <c r="N195" s="79">
        <v>0</v>
      </c>
      <c r="O195" s="79">
        <v>0</v>
      </c>
      <c r="P195" s="79"/>
      <c r="Q195" s="139">
        <f t="shared" si="21"/>
        <v>21.25</v>
      </c>
      <c r="R195" s="144" t="str">
        <f t="shared" si="22"/>
        <v>NO</v>
      </c>
      <c r="S195" s="145" t="str">
        <f t="shared" si="23"/>
        <v>Medio</v>
      </c>
      <c r="T195" s="169"/>
    </row>
    <row r="196" spans="1:20" s="167" customFormat="1" ht="32.1" customHeight="1">
      <c r="A196" s="419" t="s">
        <v>214</v>
      </c>
      <c r="B196" s="485" t="s">
        <v>982</v>
      </c>
      <c r="C196" s="498" t="s">
        <v>1000</v>
      </c>
      <c r="D196" s="114"/>
      <c r="E196" s="79"/>
      <c r="F196" s="79"/>
      <c r="G196" s="79"/>
      <c r="H196" s="79"/>
      <c r="I196" s="79"/>
      <c r="J196" s="79"/>
      <c r="K196" s="79"/>
      <c r="L196" s="79"/>
      <c r="M196" s="79"/>
      <c r="N196" s="79"/>
      <c r="O196" s="79"/>
      <c r="P196" s="79"/>
      <c r="Q196" s="139" t="e">
        <f t="shared" si="21"/>
        <v>#DIV/0!</v>
      </c>
      <c r="R196" s="144" t="e">
        <f t="shared" si="22"/>
        <v>#DIV/0!</v>
      </c>
      <c r="S196" s="145" t="e">
        <f t="shared" si="23"/>
        <v>#DIV/0!</v>
      </c>
      <c r="T196" s="169"/>
    </row>
    <row r="197" spans="1:20" s="167" customFormat="1" ht="32.1" customHeight="1">
      <c r="A197" s="419" t="s">
        <v>214</v>
      </c>
      <c r="B197" s="504" t="s">
        <v>811</v>
      </c>
      <c r="C197" s="498" t="s">
        <v>1001</v>
      </c>
      <c r="D197" s="114">
        <v>135</v>
      </c>
      <c r="E197" s="79"/>
      <c r="F197" s="79">
        <v>97.3</v>
      </c>
      <c r="G197" s="79"/>
      <c r="H197" s="79">
        <v>97.9</v>
      </c>
      <c r="I197" s="79"/>
      <c r="J197" s="79"/>
      <c r="K197" s="79"/>
      <c r="L197" s="79"/>
      <c r="M197" s="79"/>
      <c r="N197" s="79">
        <v>76.92</v>
      </c>
      <c r="O197" s="79"/>
      <c r="P197" s="79"/>
      <c r="Q197" s="139">
        <f t="shared" si="21"/>
        <v>90.706666666666663</v>
      </c>
      <c r="R197" s="144" t="str">
        <f t="shared" si="22"/>
        <v>NO</v>
      </c>
      <c r="S197" s="145" t="str">
        <f t="shared" si="23"/>
        <v>Inviable Sanitariamente</v>
      </c>
      <c r="T197" s="169"/>
    </row>
    <row r="198" spans="1:20" s="167" customFormat="1" ht="32.1" customHeight="1">
      <c r="A198" s="419" t="s">
        <v>214</v>
      </c>
      <c r="B198" s="485" t="s">
        <v>983</v>
      </c>
      <c r="C198" s="498" t="s">
        <v>1002</v>
      </c>
      <c r="D198" s="114">
        <v>187</v>
      </c>
      <c r="E198" s="79"/>
      <c r="F198" s="79"/>
      <c r="G198" s="79"/>
      <c r="H198" s="79">
        <v>97.3</v>
      </c>
      <c r="I198" s="79">
        <v>97.9</v>
      </c>
      <c r="J198" s="79"/>
      <c r="K198" s="79"/>
      <c r="L198" s="79"/>
      <c r="M198" s="79"/>
      <c r="N198" s="79">
        <v>76.92</v>
      </c>
      <c r="O198" s="79"/>
      <c r="P198" s="79"/>
      <c r="Q198" s="139">
        <f t="shared" si="21"/>
        <v>90.706666666666663</v>
      </c>
      <c r="R198" s="144" t="str">
        <f t="shared" si="22"/>
        <v>NO</v>
      </c>
      <c r="S198" s="145" t="str">
        <f t="shared" si="23"/>
        <v>Inviable Sanitariamente</v>
      </c>
      <c r="T198" s="169"/>
    </row>
    <row r="199" spans="1:20" s="167" customFormat="1" ht="32.1" customHeight="1">
      <c r="A199" s="419" t="s">
        <v>214</v>
      </c>
      <c r="B199" s="485" t="s">
        <v>984</v>
      </c>
      <c r="C199" s="498" t="s">
        <v>1003</v>
      </c>
      <c r="D199" s="114">
        <v>120</v>
      </c>
      <c r="E199" s="79"/>
      <c r="F199" s="79">
        <v>0</v>
      </c>
      <c r="G199" s="79"/>
      <c r="H199" s="79">
        <v>47.62</v>
      </c>
      <c r="I199" s="79">
        <v>0</v>
      </c>
      <c r="J199" s="79">
        <v>0</v>
      </c>
      <c r="K199" s="79">
        <v>0</v>
      </c>
      <c r="L199" s="79"/>
      <c r="M199" s="79">
        <v>0</v>
      </c>
      <c r="N199" s="79"/>
      <c r="O199" s="79">
        <v>0</v>
      </c>
      <c r="P199" s="79"/>
      <c r="Q199" s="139">
        <f t="shared" si="21"/>
        <v>6.8028571428571425</v>
      </c>
      <c r="R199" s="144" t="str">
        <f t="shared" si="22"/>
        <v>NO</v>
      </c>
      <c r="S199" s="145" t="str">
        <f t="shared" si="23"/>
        <v>Bajo</v>
      </c>
      <c r="T199" s="169"/>
    </row>
    <row r="200" spans="1:20" s="167" customFormat="1" ht="32.1" customHeight="1">
      <c r="A200" s="419" t="s">
        <v>214</v>
      </c>
      <c r="B200" s="485" t="s">
        <v>985</v>
      </c>
      <c r="C200" s="498" t="s">
        <v>1004</v>
      </c>
      <c r="D200" s="114"/>
      <c r="E200" s="307"/>
      <c r="F200" s="307"/>
      <c r="G200" s="307"/>
      <c r="H200" s="307"/>
      <c r="I200" s="307"/>
      <c r="J200" s="307"/>
      <c r="K200" s="307"/>
      <c r="L200" s="307"/>
      <c r="M200" s="307"/>
      <c r="N200" s="307"/>
      <c r="O200" s="307"/>
      <c r="P200" s="307"/>
      <c r="Q200" s="139" t="e">
        <f t="shared" si="21"/>
        <v>#DIV/0!</v>
      </c>
      <c r="R200" s="144" t="e">
        <f t="shared" si="22"/>
        <v>#DIV/0!</v>
      </c>
      <c r="S200" s="145" t="e">
        <f t="shared" ref="S200:S264" si="24">IF(Q200&lt;5,"Sin Riesgo",IF(Q200 &lt;=14,"Bajo",IF(Q200&lt;=35,"Medio",IF(Q200&lt;=80,"Alto","Inviable Sanitariamente"))))</f>
        <v>#DIV/0!</v>
      </c>
      <c r="T200" s="169"/>
    </row>
    <row r="201" spans="1:20" s="167" customFormat="1" ht="32.1" customHeight="1">
      <c r="A201" s="419" t="s">
        <v>214</v>
      </c>
      <c r="B201" s="504" t="s">
        <v>986</v>
      </c>
      <c r="C201" s="498" t="s">
        <v>1005</v>
      </c>
      <c r="D201" s="114">
        <v>119</v>
      </c>
      <c r="E201" s="79"/>
      <c r="F201" s="79"/>
      <c r="G201" s="79"/>
      <c r="H201" s="79">
        <v>97.9</v>
      </c>
      <c r="I201" s="79">
        <v>76.900000000000006</v>
      </c>
      <c r="J201" s="79"/>
      <c r="K201" s="79"/>
      <c r="L201" s="79"/>
      <c r="M201" s="79">
        <v>76.900000000000006</v>
      </c>
      <c r="N201" s="79"/>
      <c r="O201" s="79"/>
      <c r="P201" s="79"/>
      <c r="Q201" s="139">
        <f t="shared" si="21"/>
        <v>83.9</v>
      </c>
      <c r="R201" s="144" t="str">
        <f t="shared" si="22"/>
        <v>NO</v>
      </c>
      <c r="S201" s="145" t="str">
        <f t="shared" si="24"/>
        <v>Inviable Sanitariamente</v>
      </c>
      <c r="T201" s="169"/>
    </row>
    <row r="202" spans="1:20" s="167" customFormat="1" ht="32.1" customHeight="1">
      <c r="A202" s="419" t="s">
        <v>214</v>
      </c>
      <c r="B202" s="502" t="s">
        <v>814</v>
      </c>
      <c r="C202" s="502" t="s">
        <v>815</v>
      </c>
      <c r="D202" s="119">
        <v>37</v>
      </c>
      <c r="E202" s="79"/>
      <c r="F202" s="79"/>
      <c r="G202" s="79">
        <v>0</v>
      </c>
      <c r="H202" s="79"/>
      <c r="I202" s="79">
        <v>0</v>
      </c>
      <c r="J202" s="79"/>
      <c r="K202" s="79"/>
      <c r="L202" s="79"/>
      <c r="M202" s="79">
        <v>0</v>
      </c>
      <c r="N202" s="79"/>
      <c r="O202" s="79"/>
      <c r="P202" s="79"/>
      <c r="Q202" s="139">
        <f t="shared" ref="Q202" si="25">AVERAGE(E202:P202)</f>
        <v>0</v>
      </c>
      <c r="R202" s="155" t="str">
        <f t="shared" ref="R202" si="26">IF(Q202&lt;5,"SI","NO")</f>
        <v>SI</v>
      </c>
      <c r="S202" s="145" t="str">
        <f t="shared" ref="S202" si="27">IF(Q202&lt;5,"Sin Riesgo",IF(Q202 &lt;=14,"Bajo",IF(Q202&lt;=35,"Medio",IF(Q202&lt;=80,"Alto","Inviable Sanitariamente"))))</f>
        <v>Sin Riesgo</v>
      </c>
      <c r="T202" s="169"/>
    </row>
    <row r="203" spans="1:20" s="167" customFormat="1" ht="32.1" customHeight="1">
      <c r="A203" s="419" t="s">
        <v>214</v>
      </c>
      <c r="B203" s="502" t="s">
        <v>4507</v>
      </c>
      <c r="C203" s="502" t="s">
        <v>4508</v>
      </c>
      <c r="D203" s="119">
        <v>72</v>
      </c>
      <c r="E203" s="79"/>
      <c r="F203" s="79"/>
      <c r="G203" s="79"/>
      <c r="H203" s="79"/>
      <c r="I203" s="79"/>
      <c r="J203" s="79">
        <v>47.6</v>
      </c>
      <c r="K203" s="79">
        <v>0</v>
      </c>
      <c r="L203" s="79"/>
      <c r="M203" s="79"/>
      <c r="N203" s="79">
        <v>0</v>
      </c>
      <c r="O203" s="79">
        <v>0</v>
      </c>
      <c r="P203" s="79"/>
      <c r="Q203" s="139">
        <f t="shared" si="21"/>
        <v>11.9</v>
      </c>
      <c r="R203" s="155" t="str">
        <f t="shared" si="22"/>
        <v>NO</v>
      </c>
      <c r="S203" s="145" t="str">
        <f t="shared" si="24"/>
        <v>Bajo</v>
      </c>
      <c r="T203" s="169"/>
    </row>
    <row r="204" spans="1:20" s="167" customFormat="1" ht="32.1" customHeight="1">
      <c r="A204" s="419" t="s">
        <v>215</v>
      </c>
      <c r="B204" s="110" t="s">
        <v>1031</v>
      </c>
      <c r="C204" s="502" t="s">
        <v>1032</v>
      </c>
      <c r="D204" s="119">
        <v>80</v>
      </c>
      <c r="E204" s="79"/>
      <c r="F204" s="79"/>
      <c r="G204" s="79"/>
      <c r="H204" s="79"/>
      <c r="I204" s="79"/>
      <c r="J204" s="79"/>
      <c r="K204" s="79"/>
      <c r="L204" s="79"/>
      <c r="M204" s="79"/>
      <c r="N204" s="79">
        <v>0</v>
      </c>
      <c r="O204" s="79"/>
      <c r="P204" s="79"/>
      <c r="Q204" s="139">
        <f t="shared" si="21"/>
        <v>0</v>
      </c>
      <c r="R204" s="144" t="str">
        <f t="shared" si="22"/>
        <v>SI</v>
      </c>
      <c r="S204" s="145" t="str">
        <f t="shared" si="24"/>
        <v>Sin Riesgo</v>
      </c>
      <c r="T204" s="169"/>
    </row>
    <row r="205" spans="1:20" s="167" customFormat="1" ht="32.1" customHeight="1">
      <c r="A205" s="419" t="s">
        <v>215</v>
      </c>
      <c r="B205" s="110" t="s">
        <v>809</v>
      </c>
      <c r="C205" s="502" t="s">
        <v>1033</v>
      </c>
      <c r="D205" s="119">
        <v>310</v>
      </c>
      <c r="E205" s="79"/>
      <c r="F205" s="79">
        <v>97.34</v>
      </c>
      <c r="G205" s="79"/>
      <c r="H205" s="79">
        <v>0</v>
      </c>
      <c r="I205" s="79"/>
      <c r="J205" s="79">
        <v>97.34</v>
      </c>
      <c r="K205" s="79"/>
      <c r="L205" s="79">
        <v>97.34</v>
      </c>
      <c r="M205" s="79"/>
      <c r="N205" s="79">
        <v>97.34</v>
      </c>
      <c r="O205" s="79"/>
      <c r="P205" s="79"/>
      <c r="Q205" s="139">
        <f t="shared" si="21"/>
        <v>77.872</v>
      </c>
      <c r="R205" s="144" t="str">
        <f t="shared" si="22"/>
        <v>NO</v>
      </c>
      <c r="S205" s="145" t="str">
        <f t="shared" si="24"/>
        <v>Alto</v>
      </c>
      <c r="T205" s="169"/>
    </row>
    <row r="206" spans="1:20" s="167" customFormat="1" ht="32.1" customHeight="1">
      <c r="A206" s="419" t="s">
        <v>215</v>
      </c>
      <c r="B206" s="110" t="s">
        <v>1034</v>
      </c>
      <c r="C206" s="502" t="s">
        <v>1035</v>
      </c>
      <c r="D206" s="119">
        <v>81</v>
      </c>
      <c r="E206" s="79"/>
      <c r="F206" s="79">
        <v>0</v>
      </c>
      <c r="G206" s="79"/>
      <c r="H206" s="79">
        <v>2.65</v>
      </c>
      <c r="I206" s="79"/>
      <c r="J206" s="79">
        <v>29.2</v>
      </c>
      <c r="K206" s="79"/>
      <c r="L206" s="79">
        <v>0</v>
      </c>
      <c r="M206" s="79"/>
      <c r="N206" s="79">
        <v>0</v>
      </c>
      <c r="O206" s="79"/>
      <c r="P206" s="79"/>
      <c r="Q206" s="139">
        <f t="shared" si="21"/>
        <v>6.3699999999999992</v>
      </c>
      <c r="R206" s="144" t="str">
        <f t="shared" si="22"/>
        <v>NO</v>
      </c>
      <c r="S206" s="145" t="str">
        <f t="shared" si="24"/>
        <v>Bajo</v>
      </c>
      <c r="T206" s="169"/>
    </row>
    <row r="207" spans="1:20" s="167" customFormat="1" ht="32.1" customHeight="1">
      <c r="A207" s="419" t="s">
        <v>215</v>
      </c>
      <c r="B207" s="110" t="s">
        <v>1036</v>
      </c>
      <c r="C207" s="502" t="s">
        <v>1037</v>
      </c>
      <c r="D207" s="119">
        <v>90</v>
      </c>
      <c r="E207" s="79"/>
      <c r="F207" s="79">
        <v>29.2</v>
      </c>
      <c r="G207" s="79"/>
      <c r="H207" s="79">
        <v>0</v>
      </c>
      <c r="I207" s="79"/>
      <c r="J207" s="79">
        <v>55.75</v>
      </c>
      <c r="K207" s="79"/>
      <c r="L207" s="79">
        <v>100</v>
      </c>
      <c r="M207" s="79"/>
      <c r="N207" s="79">
        <v>26.55</v>
      </c>
      <c r="O207" s="79"/>
      <c r="P207" s="79"/>
      <c r="Q207" s="139">
        <f t="shared" si="21"/>
        <v>42.3</v>
      </c>
      <c r="R207" s="144" t="str">
        <f t="shared" si="22"/>
        <v>NO</v>
      </c>
      <c r="S207" s="145" t="str">
        <f t="shared" si="24"/>
        <v>Alto</v>
      </c>
      <c r="T207" s="169"/>
    </row>
    <row r="208" spans="1:20" s="167" customFormat="1" ht="32.1" customHeight="1">
      <c r="A208" s="419" t="s">
        <v>215</v>
      </c>
      <c r="B208" s="110" t="s">
        <v>1038</v>
      </c>
      <c r="C208" s="502" t="s">
        <v>1039</v>
      </c>
      <c r="D208" s="119">
        <v>442</v>
      </c>
      <c r="E208" s="79"/>
      <c r="F208" s="79">
        <v>0</v>
      </c>
      <c r="G208" s="79"/>
      <c r="H208" s="79">
        <v>0</v>
      </c>
      <c r="I208" s="79"/>
      <c r="J208" s="79">
        <v>0</v>
      </c>
      <c r="K208" s="79"/>
      <c r="L208" s="79">
        <v>0</v>
      </c>
      <c r="M208" s="79"/>
      <c r="N208" s="79">
        <v>0</v>
      </c>
      <c r="O208" s="79"/>
      <c r="P208" s="79"/>
      <c r="Q208" s="139">
        <f t="shared" si="21"/>
        <v>0</v>
      </c>
      <c r="R208" s="144" t="str">
        <f t="shared" si="22"/>
        <v>SI</v>
      </c>
      <c r="S208" s="145" t="str">
        <f t="shared" si="24"/>
        <v>Sin Riesgo</v>
      </c>
      <c r="T208" s="169"/>
    </row>
    <row r="209" spans="1:20" s="167" customFormat="1" ht="32.1" customHeight="1">
      <c r="A209" s="419" t="s">
        <v>215</v>
      </c>
      <c r="B209" s="110" t="s">
        <v>1040</v>
      </c>
      <c r="C209" s="502" t="s">
        <v>1041</v>
      </c>
      <c r="D209" s="119">
        <v>50</v>
      </c>
      <c r="E209" s="79"/>
      <c r="F209" s="79">
        <v>2.65</v>
      </c>
      <c r="G209" s="79"/>
      <c r="H209" s="79">
        <v>2.65</v>
      </c>
      <c r="I209" s="79"/>
      <c r="J209" s="79">
        <v>0</v>
      </c>
      <c r="K209" s="79"/>
      <c r="L209" s="79">
        <v>0</v>
      </c>
      <c r="M209" s="79"/>
      <c r="N209" s="79">
        <v>0</v>
      </c>
      <c r="O209" s="79"/>
      <c r="P209" s="79"/>
      <c r="Q209" s="139">
        <f t="shared" si="21"/>
        <v>1.06</v>
      </c>
      <c r="R209" s="144" t="str">
        <f t="shared" si="22"/>
        <v>SI</v>
      </c>
      <c r="S209" s="145" t="str">
        <f t="shared" si="24"/>
        <v>Sin Riesgo</v>
      </c>
      <c r="T209" s="169"/>
    </row>
    <row r="210" spans="1:20" s="167" customFormat="1" ht="32.1" customHeight="1">
      <c r="A210" s="419" t="s">
        <v>215</v>
      </c>
      <c r="B210" s="110" t="s">
        <v>501</v>
      </c>
      <c r="C210" s="502" t="s">
        <v>1042</v>
      </c>
      <c r="D210" s="114">
        <v>80</v>
      </c>
      <c r="E210" s="79"/>
      <c r="F210" s="79">
        <v>29.2</v>
      </c>
      <c r="G210" s="79"/>
      <c r="H210" s="79">
        <v>2.65</v>
      </c>
      <c r="I210" s="79"/>
      <c r="J210" s="79">
        <v>2.65</v>
      </c>
      <c r="K210" s="79"/>
      <c r="L210" s="79">
        <v>2.65</v>
      </c>
      <c r="M210" s="79"/>
      <c r="N210" s="79">
        <v>0</v>
      </c>
      <c r="O210" s="79"/>
      <c r="P210" s="79"/>
      <c r="Q210" s="139">
        <f t="shared" si="21"/>
        <v>7.43</v>
      </c>
      <c r="R210" s="144" t="str">
        <f t="shared" si="22"/>
        <v>NO</v>
      </c>
      <c r="S210" s="145" t="str">
        <f t="shared" si="24"/>
        <v>Bajo</v>
      </c>
      <c r="T210" s="169"/>
    </row>
    <row r="211" spans="1:20" s="167" customFormat="1" ht="32.1" customHeight="1">
      <c r="A211" s="419" t="s">
        <v>215</v>
      </c>
      <c r="B211" s="110" t="s">
        <v>659</v>
      </c>
      <c r="C211" s="502" t="s">
        <v>1043</v>
      </c>
      <c r="D211" s="119">
        <v>42</v>
      </c>
      <c r="E211" s="79"/>
      <c r="F211" s="79">
        <v>100</v>
      </c>
      <c r="G211" s="79"/>
      <c r="H211" s="79">
        <v>16.5</v>
      </c>
      <c r="I211" s="79"/>
      <c r="J211" s="79">
        <v>100</v>
      </c>
      <c r="K211" s="79"/>
      <c r="L211" s="79">
        <v>0</v>
      </c>
      <c r="M211" s="79"/>
      <c r="N211" s="79">
        <v>97.35</v>
      </c>
      <c r="O211" s="79"/>
      <c r="P211" s="79"/>
      <c r="Q211" s="139">
        <f t="shared" si="21"/>
        <v>62.77</v>
      </c>
      <c r="R211" s="144" t="str">
        <f t="shared" si="22"/>
        <v>NO</v>
      </c>
      <c r="S211" s="145" t="str">
        <f t="shared" si="24"/>
        <v>Alto</v>
      </c>
      <c r="T211" s="169"/>
    </row>
    <row r="212" spans="1:20" s="167" customFormat="1" ht="32.1" customHeight="1">
      <c r="A212" s="419" t="s">
        <v>215</v>
      </c>
      <c r="B212" s="110" t="s">
        <v>1044</v>
      </c>
      <c r="C212" s="502" t="s">
        <v>1045</v>
      </c>
      <c r="D212" s="119">
        <v>160</v>
      </c>
      <c r="E212" s="79"/>
      <c r="F212" s="79">
        <v>0</v>
      </c>
      <c r="G212" s="79"/>
      <c r="H212" s="79">
        <v>0</v>
      </c>
      <c r="I212" s="79"/>
      <c r="J212" s="79">
        <v>0</v>
      </c>
      <c r="K212" s="79"/>
      <c r="L212" s="79">
        <v>0</v>
      </c>
      <c r="M212" s="79"/>
      <c r="N212" s="79">
        <v>0</v>
      </c>
      <c r="O212" s="79"/>
      <c r="P212" s="79"/>
      <c r="Q212" s="139">
        <f t="shared" si="21"/>
        <v>0</v>
      </c>
      <c r="R212" s="144" t="str">
        <f t="shared" si="22"/>
        <v>SI</v>
      </c>
      <c r="S212" s="145" t="str">
        <f t="shared" si="24"/>
        <v>Sin Riesgo</v>
      </c>
      <c r="T212" s="169"/>
    </row>
    <row r="213" spans="1:20" s="167" customFormat="1" ht="32.1" customHeight="1">
      <c r="A213" s="419" t="s">
        <v>215</v>
      </c>
      <c r="B213" s="110" t="s">
        <v>1046</v>
      </c>
      <c r="C213" s="502" t="s">
        <v>1047</v>
      </c>
      <c r="D213" s="114">
        <v>150</v>
      </c>
      <c r="E213" s="79"/>
      <c r="F213" s="79">
        <v>29.2</v>
      </c>
      <c r="G213" s="79"/>
      <c r="H213" s="79">
        <v>29.2</v>
      </c>
      <c r="I213" s="79"/>
      <c r="J213" s="79">
        <v>29.2</v>
      </c>
      <c r="K213" s="79"/>
      <c r="L213" s="79">
        <v>2.65</v>
      </c>
      <c r="M213" s="79"/>
      <c r="N213" s="79">
        <v>0</v>
      </c>
      <c r="O213" s="79"/>
      <c r="P213" s="79"/>
      <c r="Q213" s="139">
        <f t="shared" si="21"/>
        <v>18.05</v>
      </c>
      <c r="R213" s="144" t="str">
        <f t="shared" si="22"/>
        <v>NO</v>
      </c>
      <c r="S213" s="145" t="str">
        <f t="shared" si="24"/>
        <v>Medio</v>
      </c>
      <c r="T213" s="169"/>
    </row>
    <row r="214" spans="1:20" s="167" customFormat="1" ht="32.1" customHeight="1">
      <c r="A214" s="419" t="s">
        <v>215</v>
      </c>
      <c r="B214" s="110" t="s">
        <v>880</v>
      </c>
      <c r="C214" s="502" t="s">
        <v>1048</v>
      </c>
      <c r="D214" s="119">
        <v>40</v>
      </c>
      <c r="E214" s="79"/>
      <c r="F214" s="79">
        <v>26.54</v>
      </c>
      <c r="G214" s="79"/>
      <c r="H214" s="79">
        <v>29.2</v>
      </c>
      <c r="I214" s="79"/>
      <c r="J214" s="79">
        <v>29.2</v>
      </c>
      <c r="K214" s="79"/>
      <c r="L214" s="79">
        <v>55.75</v>
      </c>
      <c r="M214" s="79"/>
      <c r="N214" s="79">
        <v>0</v>
      </c>
      <c r="O214" s="79"/>
      <c r="P214" s="79"/>
      <c r="Q214" s="139">
        <f t="shared" si="21"/>
        <v>28.137999999999998</v>
      </c>
      <c r="R214" s="144" t="str">
        <f t="shared" si="22"/>
        <v>NO</v>
      </c>
      <c r="S214" s="145" t="str">
        <f t="shared" si="24"/>
        <v>Medio</v>
      </c>
      <c r="T214" s="169"/>
    </row>
    <row r="215" spans="1:20" s="167" customFormat="1" ht="32.1" customHeight="1">
      <c r="A215" s="419" t="s">
        <v>215</v>
      </c>
      <c r="B215" s="110" t="s">
        <v>1049</v>
      </c>
      <c r="C215" s="502" t="s">
        <v>1050</v>
      </c>
      <c r="D215" s="119">
        <v>157</v>
      </c>
      <c r="E215" s="79"/>
      <c r="F215" s="79">
        <v>0</v>
      </c>
      <c r="G215" s="79"/>
      <c r="H215" s="79">
        <v>26.54</v>
      </c>
      <c r="I215" s="79"/>
      <c r="J215" s="79">
        <v>0</v>
      </c>
      <c r="K215" s="79"/>
      <c r="L215" s="79">
        <v>0</v>
      </c>
      <c r="M215" s="79"/>
      <c r="N215" s="79">
        <v>0</v>
      </c>
      <c r="O215" s="79"/>
      <c r="P215" s="79"/>
      <c r="Q215" s="139">
        <f t="shared" ref="Q215:Q252" si="28">AVERAGE(E215:P215)</f>
        <v>5.3079999999999998</v>
      </c>
      <c r="R215" s="144" t="str">
        <f t="shared" ref="R215:R252" si="29">IF(Q215&lt;5,"SI","NO")</f>
        <v>NO</v>
      </c>
      <c r="S215" s="145" t="str">
        <f t="shared" si="24"/>
        <v>Bajo</v>
      </c>
      <c r="T215" s="169"/>
    </row>
    <row r="216" spans="1:20" s="167" customFormat="1" ht="32.1" customHeight="1">
      <c r="A216" s="419" t="s">
        <v>215</v>
      </c>
      <c r="B216" s="110" t="s">
        <v>1051</v>
      </c>
      <c r="C216" s="502" t="s">
        <v>1052</v>
      </c>
      <c r="D216" s="114">
        <v>560</v>
      </c>
      <c r="E216" s="79"/>
      <c r="F216" s="79"/>
      <c r="G216" s="79"/>
      <c r="H216" s="79"/>
      <c r="I216" s="79"/>
      <c r="J216" s="79"/>
      <c r="K216" s="79"/>
      <c r="L216" s="79"/>
      <c r="M216" s="79"/>
      <c r="N216" s="79">
        <v>100</v>
      </c>
      <c r="O216" s="79"/>
      <c r="P216" s="79"/>
      <c r="Q216" s="139">
        <f t="shared" si="28"/>
        <v>100</v>
      </c>
      <c r="R216" s="144" t="str">
        <f t="shared" si="29"/>
        <v>NO</v>
      </c>
      <c r="S216" s="145" t="str">
        <f t="shared" si="24"/>
        <v>Inviable Sanitariamente</v>
      </c>
      <c r="T216" s="169"/>
    </row>
    <row r="217" spans="1:20" s="167" customFormat="1" ht="32.1" customHeight="1">
      <c r="A217" s="419" t="s">
        <v>215</v>
      </c>
      <c r="B217" s="110" t="s">
        <v>1053</v>
      </c>
      <c r="C217" s="502" t="s">
        <v>1054</v>
      </c>
      <c r="D217" s="119"/>
      <c r="E217" s="79"/>
      <c r="F217" s="79"/>
      <c r="G217" s="79"/>
      <c r="H217" s="79"/>
      <c r="I217" s="79"/>
      <c r="J217" s="79"/>
      <c r="K217" s="79"/>
      <c r="L217" s="79"/>
      <c r="M217" s="79"/>
      <c r="N217" s="79"/>
      <c r="O217" s="79"/>
      <c r="P217" s="79"/>
      <c r="Q217" s="139" t="e">
        <f t="shared" si="28"/>
        <v>#DIV/0!</v>
      </c>
      <c r="R217" s="144" t="e">
        <f t="shared" si="29"/>
        <v>#DIV/0!</v>
      </c>
      <c r="S217" s="145" t="e">
        <f t="shared" si="24"/>
        <v>#DIV/0!</v>
      </c>
      <c r="T217" s="169"/>
    </row>
    <row r="218" spans="1:20" s="167" customFormat="1" ht="32.1" customHeight="1">
      <c r="A218" s="419" t="s">
        <v>215</v>
      </c>
      <c r="B218" s="110" t="s">
        <v>1055</v>
      </c>
      <c r="C218" s="502" t="s">
        <v>1056</v>
      </c>
      <c r="D218" s="119"/>
      <c r="E218" s="79"/>
      <c r="F218" s="79"/>
      <c r="G218" s="79"/>
      <c r="H218" s="79"/>
      <c r="I218" s="79"/>
      <c r="J218" s="79"/>
      <c r="K218" s="79"/>
      <c r="L218" s="79"/>
      <c r="M218" s="79"/>
      <c r="N218" s="79"/>
      <c r="O218" s="79"/>
      <c r="P218" s="79"/>
      <c r="Q218" s="139" t="e">
        <f t="shared" si="28"/>
        <v>#DIV/0!</v>
      </c>
      <c r="R218" s="144" t="e">
        <f t="shared" si="29"/>
        <v>#DIV/0!</v>
      </c>
      <c r="S218" s="145" t="e">
        <f t="shared" si="24"/>
        <v>#DIV/0!</v>
      </c>
      <c r="T218" s="169"/>
    </row>
    <row r="219" spans="1:20" s="171" customFormat="1" ht="32.1" customHeight="1">
      <c r="A219" s="419" t="s">
        <v>215</v>
      </c>
      <c r="B219" s="110" t="s">
        <v>5</v>
      </c>
      <c r="C219" s="502" t="s">
        <v>1057</v>
      </c>
      <c r="D219" s="119"/>
      <c r="E219" s="79"/>
      <c r="F219" s="79"/>
      <c r="G219" s="79"/>
      <c r="H219" s="79"/>
      <c r="I219" s="79"/>
      <c r="J219" s="79"/>
      <c r="K219" s="79"/>
      <c r="L219" s="79"/>
      <c r="M219" s="79"/>
      <c r="N219" s="79"/>
      <c r="O219" s="79"/>
      <c r="P219" s="79"/>
      <c r="Q219" s="139" t="e">
        <f t="shared" si="28"/>
        <v>#DIV/0!</v>
      </c>
      <c r="R219" s="144" t="e">
        <f t="shared" si="29"/>
        <v>#DIV/0!</v>
      </c>
      <c r="S219" s="145" t="e">
        <f t="shared" si="24"/>
        <v>#DIV/0!</v>
      </c>
      <c r="T219" s="125"/>
    </row>
    <row r="220" spans="1:20" s="167" customFormat="1" ht="32.1" customHeight="1">
      <c r="A220" s="419" t="s">
        <v>215</v>
      </c>
      <c r="B220" s="110" t="s">
        <v>1058</v>
      </c>
      <c r="C220" s="502" t="s">
        <v>1059</v>
      </c>
      <c r="D220" s="119"/>
      <c r="E220" s="79"/>
      <c r="F220" s="79"/>
      <c r="G220" s="168"/>
      <c r="H220" s="79"/>
      <c r="I220" s="79"/>
      <c r="J220" s="79"/>
      <c r="K220" s="79"/>
      <c r="L220" s="79"/>
      <c r="M220" s="79"/>
      <c r="N220" s="79"/>
      <c r="O220" s="79"/>
      <c r="P220" s="79"/>
      <c r="Q220" s="139" t="e">
        <f t="shared" si="28"/>
        <v>#DIV/0!</v>
      </c>
      <c r="R220" s="144" t="e">
        <f t="shared" si="29"/>
        <v>#DIV/0!</v>
      </c>
      <c r="S220" s="145" t="e">
        <f t="shared" si="24"/>
        <v>#DIV/0!</v>
      </c>
      <c r="T220" s="169"/>
    </row>
    <row r="221" spans="1:20" s="167" customFormat="1" ht="32.1" customHeight="1">
      <c r="A221" s="419" t="s">
        <v>215</v>
      </c>
      <c r="B221" s="110" t="s">
        <v>779</v>
      </c>
      <c r="C221" s="502" t="s">
        <v>1060</v>
      </c>
      <c r="D221" s="119"/>
      <c r="E221" s="79"/>
      <c r="F221" s="79"/>
      <c r="G221" s="79"/>
      <c r="H221" s="79"/>
      <c r="I221" s="79"/>
      <c r="J221" s="79"/>
      <c r="K221" s="79"/>
      <c r="L221" s="79"/>
      <c r="M221" s="79"/>
      <c r="N221" s="79"/>
      <c r="O221" s="79"/>
      <c r="P221" s="79"/>
      <c r="Q221" s="139" t="e">
        <f t="shared" si="28"/>
        <v>#DIV/0!</v>
      </c>
      <c r="R221" s="144" t="e">
        <f t="shared" si="29"/>
        <v>#DIV/0!</v>
      </c>
      <c r="S221" s="145" t="e">
        <f t="shared" si="24"/>
        <v>#DIV/0!</v>
      </c>
      <c r="T221" s="169"/>
    </row>
    <row r="222" spans="1:20" s="167" customFormat="1" ht="32.1" customHeight="1">
      <c r="A222" s="419" t="s">
        <v>215</v>
      </c>
      <c r="B222" s="110" t="s">
        <v>1061</v>
      </c>
      <c r="C222" s="502" t="s">
        <v>1062</v>
      </c>
      <c r="D222" s="119"/>
      <c r="E222" s="79"/>
      <c r="F222" s="79"/>
      <c r="G222" s="79"/>
      <c r="H222" s="79"/>
      <c r="I222" s="79"/>
      <c r="J222" s="79"/>
      <c r="K222" s="79"/>
      <c r="L222" s="79"/>
      <c r="M222" s="79"/>
      <c r="N222" s="79"/>
      <c r="O222" s="79"/>
      <c r="P222" s="79"/>
      <c r="Q222" s="139" t="e">
        <f t="shared" si="28"/>
        <v>#DIV/0!</v>
      </c>
      <c r="R222" s="144" t="e">
        <f t="shared" si="29"/>
        <v>#DIV/0!</v>
      </c>
      <c r="S222" s="145" t="e">
        <f t="shared" si="24"/>
        <v>#DIV/0!</v>
      </c>
      <c r="T222" s="169"/>
    </row>
    <row r="223" spans="1:20" s="167" customFormat="1" ht="32.1" customHeight="1">
      <c r="A223" s="419" t="s">
        <v>215</v>
      </c>
      <c r="B223" s="110" t="s">
        <v>1063</v>
      </c>
      <c r="C223" s="502" t="s">
        <v>1064</v>
      </c>
      <c r="D223" s="156">
        <v>75</v>
      </c>
      <c r="E223" s="79"/>
      <c r="F223" s="79"/>
      <c r="G223" s="79">
        <v>100</v>
      </c>
      <c r="H223" s="79"/>
      <c r="I223" s="79"/>
      <c r="J223" s="79"/>
      <c r="K223" s="79"/>
      <c r="L223" s="79"/>
      <c r="M223" s="79"/>
      <c r="N223" s="79"/>
      <c r="O223" s="79"/>
      <c r="P223" s="79"/>
      <c r="Q223" s="139">
        <f t="shared" si="28"/>
        <v>100</v>
      </c>
      <c r="R223" s="144" t="str">
        <f t="shared" si="29"/>
        <v>NO</v>
      </c>
      <c r="S223" s="145" t="str">
        <f t="shared" si="24"/>
        <v>Inviable Sanitariamente</v>
      </c>
      <c r="T223" s="169"/>
    </row>
    <row r="224" spans="1:20" s="167" customFormat="1" ht="32.1" customHeight="1">
      <c r="A224" s="419" t="s">
        <v>215</v>
      </c>
      <c r="B224" s="110" t="s">
        <v>1065</v>
      </c>
      <c r="C224" s="502" t="s">
        <v>1066</v>
      </c>
      <c r="D224" s="119">
        <v>63</v>
      </c>
      <c r="E224" s="79"/>
      <c r="F224" s="79">
        <v>0</v>
      </c>
      <c r="G224" s="79"/>
      <c r="H224" s="79">
        <v>0</v>
      </c>
      <c r="I224" s="79"/>
      <c r="J224" s="79">
        <v>0</v>
      </c>
      <c r="K224" s="79"/>
      <c r="L224" s="79">
        <v>0</v>
      </c>
      <c r="M224" s="79"/>
      <c r="N224" s="79">
        <v>0</v>
      </c>
      <c r="O224" s="79"/>
      <c r="P224" s="79"/>
      <c r="Q224" s="139">
        <f t="shared" si="28"/>
        <v>0</v>
      </c>
      <c r="R224" s="144" t="str">
        <f t="shared" si="29"/>
        <v>SI</v>
      </c>
      <c r="S224" s="145" t="str">
        <f t="shared" si="24"/>
        <v>Sin Riesgo</v>
      </c>
      <c r="T224" s="169"/>
    </row>
    <row r="225" spans="1:20" s="167" customFormat="1" ht="32.1" customHeight="1">
      <c r="A225" s="419" t="s">
        <v>215</v>
      </c>
      <c r="B225" s="110" t="s">
        <v>1067</v>
      </c>
      <c r="C225" s="502" t="s">
        <v>1068</v>
      </c>
      <c r="D225" s="119">
        <v>105</v>
      </c>
      <c r="E225" s="79"/>
      <c r="F225" s="79">
        <v>26.54</v>
      </c>
      <c r="G225" s="79"/>
      <c r="H225" s="79">
        <v>2.65</v>
      </c>
      <c r="I225" s="79"/>
      <c r="J225" s="79">
        <v>97.3</v>
      </c>
      <c r="K225" s="79"/>
      <c r="L225" s="79">
        <v>0</v>
      </c>
      <c r="M225" s="79"/>
      <c r="N225" s="79">
        <v>0</v>
      </c>
      <c r="O225" s="79"/>
      <c r="P225" s="79"/>
      <c r="Q225" s="139">
        <f t="shared" si="28"/>
        <v>25.297999999999998</v>
      </c>
      <c r="R225" s="144" t="str">
        <f t="shared" si="29"/>
        <v>NO</v>
      </c>
      <c r="S225" s="145" t="str">
        <f t="shared" si="24"/>
        <v>Medio</v>
      </c>
      <c r="T225" s="169"/>
    </row>
    <row r="226" spans="1:20" s="167" customFormat="1" ht="32.1" customHeight="1">
      <c r="A226" s="419" t="s">
        <v>215</v>
      </c>
      <c r="B226" s="110" t="s">
        <v>1069</v>
      </c>
      <c r="C226" s="502" t="s">
        <v>1070</v>
      </c>
      <c r="D226" s="119"/>
      <c r="E226" s="79"/>
      <c r="F226" s="79"/>
      <c r="G226" s="79"/>
      <c r="H226" s="79"/>
      <c r="I226" s="79"/>
      <c r="J226" s="79"/>
      <c r="K226" s="79"/>
      <c r="L226" s="79"/>
      <c r="M226" s="79"/>
      <c r="N226" s="79"/>
      <c r="O226" s="79"/>
      <c r="P226" s="79"/>
      <c r="Q226" s="139" t="e">
        <f t="shared" si="28"/>
        <v>#DIV/0!</v>
      </c>
      <c r="R226" s="144" t="e">
        <f t="shared" si="29"/>
        <v>#DIV/0!</v>
      </c>
      <c r="S226" s="145" t="e">
        <f t="shared" si="24"/>
        <v>#DIV/0!</v>
      </c>
      <c r="T226" s="169"/>
    </row>
    <row r="227" spans="1:20" s="167" customFormat="1" ht="32.1" customHeight="1">
      <c r="A227" s="419" t="s">
        <v>215</v>
      </c>
      <c r="B227" s="110" t="s">
        <v>1071</v>
      </c>
      <c r="C227" s="502" t="s">
        <v>1072</v>
      </c>
      <c r="D227" s="119"/>
      <c r="E227" s="79"/>
      <c r="F227" s="79"/>
      <c r="G227" s="79"/>
      <c r="H227" s="79"/>
      <c r="I227" s="79"/>
      <c r="J227" s="79"/>
      <c r="K227" s="79"/>
      <c r="L227" s="79"/>
      <c r="M227" s="79"/>
      <c r="N227" s="79"/>
      <c r="O227" s="79"/>
      <c r="P227" s="79"/>
      <c r="Q227" s="139" t="e">
        <f t="shared" si="28"/>
        <v>#DIV/0!</v>
      </c>
      <c r="R227" s="144" t="e">
        <f t="shared" si="29"/>
        <v>#DIV/0!</v>
      </c>
      <c r="S227" s="145" t="e">
        <f t="shared" si="24"/>
        <v>#DIV/0!</v>
      </c>
      <c r="T227" s="169"/>
    </row>
    <row r="228" spans="1:20" s="167" customFormat="1" ht="32.1" customHeight="1">
      <c r="A228" s="419" t="s">
        <v>215</v>
      </c>
      <c r="B228" s="110" t="s">
        <v>1073</v>
      </c>
      <c r="C228" s="502" t="s">
        <v>1074</v>
      </c>
      <c r="D228" s="119"/>
      <c r="E228" s="79"/>
      <c r="F228" s="79"/>
      <c r="G228" s="79"/>
      <c r="H228" s="79"/>
      <c r="I228" s="79"/>
      <c r="J228" s="79"/>
      <c r="K228" s="79"/>
      <c r="L228" s="79"/>
      <c r="M228" s="79"/>
      <c r="N228" s="79"/>
      <c r="O228" s="79"/>
      <c r="P228" s="79"/>
      <c r="Q228" s="139" t="e">
        <f t="shared" si="28"/>
        <v>#DIV/0!</v>
      </c>
      <c r="R228" s="144" t="e">
        <f t="shared" si="29"/>
        <v>#DIV/0!</v>
      </c>
      <c r="S228" s="145" t="e">
        <f t="shared" si="24"/>
        <v>#DIV/0!</v>
      </c>
      <c r="T228" s="169"/>
    </row>
    <row r="229" spans="1:20" s="167" customFormat="1" ht="32.1" customHeight="1">
      <c r="A229" s="419" t="s">
        <v>215</v>
      </c>
      <c r="B229" s="110" t="s">
        <v>1075</v>
      </c>
      <c r="C229" s="502" t="s">
        <v>1076</v>
      </c>
      <c r="D229" s="119">
        <v>94</v>
      </c>
      <c r="E229" s="79"/>
      <c r="F229" s="79">
        <v>26.54</v>
      </c>
      <c r="G229" s="79"/>
      <c r="H229" s="79">
        <v>2.65</v>
      </c>
      <c r="I229" s="79"/>
      <c r="J229" s="79">
        <v>100</v>
      </c>
      <c r="K229" s="79"/>
      <c r="L229" s="79">
        <v>2.7</v>
      </c>
      <c r="M229" s="79"/>
      <c r="N229" s="79">
        <v>2.7</v>
      </c>
      <c r="O229" s="79"/>
      <c r="P229" s="79"/>
      <c r="Q229" s="139">
        <f t="shared" si="28"/>
        <v>26.917999999999996</v>
      </c>
      <c r="R229" s="144" t="str">
        <f t="shared" si="29"/>
        <v>NO</v>
      </c>
      <c r="S229" s="145" t="str">
        <f t="shared" si="24"/>
        <v>Medio</v>
      </c>
      <c r="T229" s="169"/>
    </row>
    <row r="230" spans="1:20" s="167" customFormat="1" ht="32.1" customHeight="1">
      <c r="A230" s="419" t="s">
        <v>215</v>
      </c>
      <c r="B230" s="110" t="s">
        <v>1077</v>
      </c>
      <c r="C230" s="502" t="s">
        <v>1078</v>
      </c>
      <c r="D230" s="119">
        <v>80</v>
      </c>
      <c r="E230" s="79"/>
      <c r="F230" s="79">
        <v>0</v>
      </c>
      <c r="G230" s="79"/>
      <c r="H230" s="79">
        <v>0</v>
      </c>
      <c r="I230" s="79"/>
      <c r="J230" s="79">
        <v>0</v>
      </c>
      <c r="K230" s="79"/>
      <c r="L230" s="79">
        <v>2.7</v>
      </c>
      <c r="M230" s="79"/>
      <c r="N230" s="79">
        <v>2.7</v>
      </c>
      <c r="O230" s="79"/>
      <c r="P230" s="79"/>
      <c r="Q230" s="139">
        <f t="shared" si="28"/>
        <v>1.08</v>
      </c>
      <c r="R230" s="144" t="str">
        <f t="shared" si="29"/>
        <v>SI</v>
      </c>
      <c r="S230" s="145" t="str">
        <f t="shared" si="24"/>
        <v>Sin Riesgo</v>
      </c>
      <c r="T230" s="169"/>
    </row>
    <row r="231" spans="1:20" s="167" customFormat="1" ht="32.1" customHeight="1">
      <c r="A231" s="419" t="s">
        <v>215</v>
      </c>
      <c r="B231" s="110" t="s">
        <v>1061</v>
      </c>
      <c r="C231" s="502" t="s">
        <v>1079</v>
      </c>
      <c r="D231" s="119"/>
      <c r="E231" s="79"/>
      <c r="F231" s="79"/>
      <c r="G231" s="79"/>
      <c r="H231" s="79"/>
      <c r="I231" s="79"/>
      <c r="J231" s="79"/>
      <c r="K231" s="79"/>
      <c r="L231" s="79"/>
      <c r="M231" s="79"/>
      <c r="N231" s="79"/>
      <c r="O231" s="79"/>
      <c r="P231" s="79"/>
      <c r="Q231" s="139" t="e">
        <f t="shared" si="28"/>
        <v>#DIV/0!</v>
      </c>
      <c r="R231" s="144" t="e">
        <f t="shared" si="29"/>
        <v>#DIV/0!</v>
      </c>
      <c r="S231" s="145" t="e">
        <f t="shared" si="24"/>
        <v>#DIV/0!</v>
      </c>
      <c r="T231" s="169"/>
    </row>
    <row r="232" spans="1:20" s="167" customFormat="1" ht="32.1" customHeight="1">
      <c r="A232" s="419" t="s">
        <v>215</v>
      </c>
      <c r="B232" s="110" t="s">
        <v>631</v>
      </c>
      <c r="C232" s="502" t="s">
        <v>1080</v>
      </c>
      <c r="D232" s="119"/>
      <c r="E232" s="79"/>
      <c r="F232" s="79"/>
      <c r="G232" s="79"/>
      <c r="H232" s="79"/>
      <c r="I232" s="79"/>
      <c r="J232" s="79"/>
      <c r="K232" s="79"/>
      <c r="L232" s="79"/>
      <c r="M232" s="79"/>
      <c r="N232" s="79"/>
      <c r="O232" s="79"/>
      <c r="P232" s="79"/>
      <c r="Q232" s="139" t="e">
        <f t="shared" si="28"/>
        <v>#DIV/0!</v>
      </c>
      <c r="R232" s="144" t="e">
        <f t="shared" si="29"/>
        <v>#DIV/0!</v>
      </c>
      <c r="S232" s="145" t="e">
        <f t="shared" si="24"/>
        <v>#DIV/0!</v>
      </c>
      <c r="T232" s="169"/>
    </row>
    <row r="233" spans="1:20" s="167" customFormat="1" ht="32.1" customHeight="1">
      <c r="A233" s="419" t="s">
        <v>215</v>
      </c>
      <c r="B233" s="110" t="s">
        <v>1081</v>
      </c>
      <c r="C233" s="502" t="s">
        <v>1082</v>
      </c>
      <c r="D233" s="119"/>
      <c r="E233" s="79"/>
      <c r="F233" s="79"/>
      <c r="G233" s="79"/>
      <c r="H233" s="79"/>
      <c r="I233" s="79"/>
      <c r="J233" s="79"/>
      <c r="K233" s="79"/>
      <c r="L233" s="79"/>
      <c r="M233" s="79"/>
      <c r="N233" s="79"/>
      <c r="O233" s="79"/>
      <c r="P233" s="79"/>
      <c r="Q233" s="139" t="e">
        <f t="shared" si="28"/>
        <v>#DIV/0!</v>
      </c>
      <c r="R233" s="144" t="e">
        <f t="shared" si="29"/>
        <v>#DIV/0!</v>
      </c>
      <c r="S233" s="145" t="e">
        <f t="shared" si="24"/>
        <v>#DIV/0!</v>
      </c>
      <c r="T233" s="169"/>
    </row>
    <row r="234" spans="1:20" s="167" customFormat="1" ht="32.1" customHeight="1">
      <c r="A234" s="419" t="s">
        <v>215</v>
      </c>
      <c r="B234" s="110" t="s">
        <v>1083</v>
      </c>
      <c r="C234" s="502" t="s">
        <v>1084</v>
      </c>
      <c r="D234" s="119">
        <v>18</v>
      </c>
      <c r="E234" s="79"/>
      <c r="F234" s="79"/>
      <c r="G234" s="79">
        <v>100</v>
      </c>
      <c r="H234" s="79"/>
      <c r="I234" s="79"/>
      <c r="J234" s="79"/>
      <c r="K234" s="79"/>
      <c r="L234" s="79"/>
      <c r="M234" s="79"/>
      <c r="N234" s="79"/>
      <c r="O234" s="79"/>
      <c r="P234" s="79"/>
      <c r="Q234" s="139">
        <f t="shared" si="28"/>
        <v>100</v>
      </c>
      <c r="R234" s="144" t="str">
        <f t="shared" si="29"/>
        <v>NO</v>
      </c>
      <c r="S234" s="145" t="str">
        <f t="shared" si="24"/>
        <v>Inviable Sanitariamente</v>
      </c>
      <c r="T234" s="169"/>
    </row>
    <row r="235" spans="1:20" s="167" customFormat="1" ht="32.1" customHeight="1">
      <c r="A235" s="419" t="s">
        <v>215</v>
      </c>
      <c r="B235" s="110" t="s">
        <v>1085</v>
      </c>
      <c r="C235" s="502" t="s">
        <v>1086</v>
      </c>
      <c r="D235" s="119">
        <v>125</v>
      </c>
      <c r="E235" s="79"/>
      <c r="F235" s="79">
        <v>0</v>
      </c>
      <c r="G235" s="79"/>
      <c r="H235" s="79">
        <v>0</v>
      </c>
      <c r="I235" s="79"/>
      <c r="J235" s="79">
        <v>0</v>
      </c>
      <c r="K235" s="79"/>
      <c r="L235" s="79">
        <v>0</v>
      </c>
      <c r="M235" s="79"/>
      <c r="N235" s="79">
        <v>0</v>
      </c>
      <c r="O235" s="79"/>
      <c r="P235" s="79"/>
      <c r="Q235" s="139">
        <f t="shared" si="28"/>
        <v>0</v>
      </c>
      <c r="R235" s="144" t="str">
        <f t="shared" si="29"/>
        <v>SI</v>
      </c>
      <c r="S235" s="145" t="str">
        <f t="shared" si="24"/>
        <v>Sin Riesgo</v>
      </c>
      <c r="T235" s="169"/>
    </row>
    <row r="236" spans="1:20" s="167" customFormat="1" ht="32.1" customHeight="1">
      <c r="A236" s="419" t="s">
        <v>215</v>
      </c>
      <c r="B236" s="110" t="s">
        <v>1087</v>
      </c>
      <c r="C236" s="502" t="s">
        <v>1088</v>
      </c>
      <c r="D236" s="119">
        <v>100</v>
      </c>
      <c r="E236" s="79"/>
      <c r="F236" s="79"/>
      <c r="G236" s="79">
        <v>100</v>
      </c>
      <c r="H236" s="79"/>
      <c r="I236" s="79"/>
      <c r="J236" s="79"/>
      <c r="K236" s="79"/>
      <c r="L236" s="79"/>
      <c r="M236" s="79"/>
      <c r="N236" s="79"/>
      <c r="O236" s="79"/>
      <c r="P236" s="79"/>
      <c r="Q236" s="139">
        <f t="shared" si="28"/>
        <v>100</v>
      </c>
      <c r="R236" s="144" t="str">
        <f t="shared" si="29"/>
        <v>NO</v>
      </c>
      <c r="S236" s="145" t="str">
        <f t="shared" si="24"/>
        <v>Inviable Sanitariamente</v>
      </c>
      <c r="T236" s="169"/>
    </row>
    <row r="237" spans="1:20" s="167" customFormat="1" ht="32.1" customHeight="1">
      <c r="A237" s="419" t="s">
        <v>215</v>
      </c>
      <c r="B237" s="110" t="s">
        <v>769</v>
      </c>
      <c r="C237" s="502" t="s">
        <v>1089</v>
      </c>
      <c r="D237" s="119">
        <v>65</v>
      </c>
      <c r="E237" s="79"/>
      <c r="F237" s="79"/>
      <c r="G237" s="79"/>
      <c r="H237" s="79"/>
      <c r="I237" s="79"/>
      <c r="J237" s="79"/>
      <c r="K237" s="79"/>
      <c r="L237" s="79"/>
      <c r="M237" s="79">
        <v>100</v>
      </c>
      <c r="N237" s="79"/>
      <c r="O237" s="79"/>
      <c r="P237" s="79"/>
      <c r="Q237" s="139">
        <f t="shared" si="28"/>
        <v>100</v>
      </c>
      <c r="R237" s="144" t="str">
        <f t="shared" si="29"/>
        <v>NO</v>
      </c>
      <c r="S237" s="145" t="str">
        <f t="shared" si="24"/>
        <v>Inviable Sanitariamente</v>
      </c>
      <c r="T237" s="169"/>
    </row>
    <row r="238" spans="1:20" s="167" customFormat="1" ht="32.1" customHeight="1">
      <c r="A238" s="419" t="s">
        <v>215</v>
      </c>
      <c r="B238" s="110" t="s">
        <v>3</v>
      </c>
      <c r="C238" s="502" t="s">
        <v>1090</v>
      </c>
      <c r="D238" s="119">
        <v>36</v>
      </c>
      <c r="E238" s="79"/>
      <c r="F238" s="79"/>
      <c r="G238" s="79">
        <v>100</v>
      </c>
      <c r="H238" s="79"/>
      <c r="I238" s="79"/>
      <c r="J238" s="79"/>
      <c r="K238" s="79"/>
      <c r="L238" s="79"/>
      <c r="M238" s="79"/>
      <c r="N238" s="79"/>
      <c r="O238" s="79"/>
      <c r="P238" s="79"/>
      <c r="Q238" s="139">
        <f t="shared" si="28"/>
        <v>100</v>
      </c>
      <c r="R238" s="144" t="str">
        <f t="shared" si="29"/>
        <v>NO</v>
      </c>
      <c r="S238" s="145" t="str">
        <f t="shared" si="24"/>
        <v>Inviable Sanitariamente</v>
      </c>
      <c r="T238" s="169"/>
    </row>
    <row r="239" spans="1:20" s="167" customFormat="1" ht="32.1" customHeight="1">
      <c r="A239" s="419" t="s">
        <v>215</v>
      </c>
      <c r="B239" s="110" t="s">
        <v>1091</v>
      </c>
      <c r="C239" s="502" t="s">
        <v>1092</v>
      </c>
      <c r="D239" s="119">
        <v>100</v>
      </c>
      <c r="E239" s="79"/>
      <c r="F239" s="79"/>
      <c r="G239" s="79"/>
      <c r="H239" s="79"/>
      <c r="I239" s="79"/>
      <c r="J239" s="79"/>
      <c r="K239" s="79"/>
      <c r="L239" s="79"/>
      <c r="M239" s="79">
        <v>0</v>
      </c>
      <c r="N239" s="79"/>
      <c r="O239" s="79"/>
      <c r="P239" s="79"/>
      <c r="Q239" s="139">
        <f t="shared" si="28"/>
        <v>0</v>
      </c>
      <c r="R239" s="144" t="str">
        <f t="shared" si="29"/>
        <v>SI</v>
      </c>
      <c r="S239" s="145" t="str">
        <f t="shared" si="24"/>
        <v>Sin Riesgo</v>
      </c>
      <c r="T239" s="169"/>
    </row>
    <row r="240" spans="1:20" s="167" customFormat="1" ht="32.1" customHeight="1">
      <c r="A240" s="419" t="s">
        <v>215</v>
      </c>
      <c r="B240" s="110" t="s">
        <v>1093</v>
      </c>
      <c r="C240" s="502" t="s">
        <v>1094</v>
      </c>
      <c r="D240" s="119"/>
      <c r="E240" s="79"/>
      <c r="F240" s="79"/>
      <c r="G240" s="79"/>
      <c r="H240" s="79"/>
      <c r="I240" s="79"/>
      <c r="J240" s="79"/>
      <c r="K240" s="79"/>
      <c r="L240" s="79"/>
      <c r="M240" s="79"/>
      <c r="N240" s="79"/>
      <c r="O240" s="79"/>
      <c r="P240" s="79"/>
      <c r="Q240" s="139" t="e">
        <f t="shared" si="28"/>
        <v>#DIV/0!</v>
      </c>
      <c r="R240" s="155" t="e">
        <f t="shared" si="29"/>
        <v>#DIV/0!</v>
      </c>
      <c r="S240" s="145" t="e">
        <f t="shared" si="24"/>
        <v>#DIV/0!</v>
      </c>
      <c r="T240" s="169"/>
    </row>
    <row r="241" spans="1:20" s="167" customFormat="1" ht="32.1" customHeight="1">
      <c r="A241" s="419" t="s">
        <v>216</v>
      </c>
      <c r="B241" s="110" t="s">
        <v>880</v>
      </c>
      <c r="C241" s="502" t="s">
        <v>1095</v>
      </c>
      <c r="D241" s="156"/>
      <c r="E241" s="79"/>
      <c r="F241" s="79"/>
      <c r="G241" s="79"/>
      <c r="H241" s="79"/>
      <c r="I241" s="79"/>
      <c r="J241" s="79"/>
      <c r="K241" s="79"/>
      <c r="L241" s="79"/>
      <c r="M241" s="79"/>
      <c r="N241" s="79"/>
      <c r="O241" s="79"/>
      <c r="P241" s="79"/>
      <c r="Q241" s="139" t="e">
        <f t="shared" si="28"/>
        <v>#DIV/0!</v>
      </c>
      <c r="R241" s="144" t="e">
        <f t="shared" si="29"/>
        <v>#DIV/0!</v>
      </c>
      <c r="S241" s="145" t="e">
        <f t="shared" si="24"/>
        <v>#DIV/0!</v>
      </c>
      <c r="T241" s="169"/>
    </row>
    <row r="242" spans="1:20" s="167" customFormat="1" ht="32.1" customHeight="1">
      <c r="A242" s="419" t="s">
        <v>216</v>
      </c>
      <c r="B242" s="110" t="s">
        <v>64</v>
      </c>
      <c r="C242" s="502" t="s">
        <v>1096</v>
      </c>
      <c r="D242" s="156"/>
      <c r="E242" s="79"/>
      <c r="F242" s="79"/>
      <c r="G242" s="79"/>
      <c r="H242" s="79"/>
      <c r="I242" s="79"/>
      <c r="J242" s="79"/>
      <c r="K242" s="79"/>
      <c r="L242" s="79"/>
      <c r="M242" s="79"/>
      <c r="N242" s="79"/>
      <c r="O242" s="79"/>
      <c r="P242" s="79"/>
      <c r="Q242" s="139" t="e">
        <f t="shared" si="28"/>
        <v>#DIV/0!</v>
      </c>
      <c r="R242" s="144" t="e">
        <f t="shared" si="29"/>
        <v>#DIV/0!</v>
      </c>
      <c r="S242" s="145" t="e">
        <f t="shared" si="24"/>
        <v>#DIV/0!</v>
      </c>
      <c r="T242" s="169"/>
    </row>
    <row r="243" spans="1:20" s="167" customFormat="1" ht="32.1" customHeight="1">
      <c r="A243" s="419" t="s">
        <v>216</v>
      </c>
      <c r="B243" s="110" t="s">
        <v>1097</v>
      </c>
      <c r="C243" s="502" t="s">
        <v>1098</v>
      </c>
      <c r="D243" s="156">
        <v>20</v>
      </c>
      <c r="E243" s="79"/>
      <c r="F243" s="79"/>
      <c r="G243" s="79"/>
      <c r="H243" s="79"/>
      <c r="I243" s="79">
        <v>97.4</v>
      </c>
      <c r="J243" s="79"/>
      <c r="K243" s="79"/>
      <c r="L243" s="79"/>
      <c r="M243" s="79"/>
      <c r="N243" s="79"/>
      <c r="O243" s="79"/>
      <c r="P243" s="79"/>
      <c r="Q243" s="139">
        <f t="shared" si="28"/>
        <v>97.4</v>
      </c>
      <c r="R243" s="144" t="str">
        <f t="shared" si="29"/>
        <v>NO</v>
      </c>
      <c r="S243" s="145" t="str">
        <f t="shared" si="24"/>
        <v>Inviable Sanitariamente</v>
      </c>
      <c r="T243" s="169"/>
    </row>
    <row r="244" spans="1:20" s="167" customFormat="1" ht="32.1" customHeight="1">
      <c r="A244" s="419" t="s">
        <v>216</v>
      </c>
      <c r="B244" s="110" t="s">
        <v>48</v>
      </c>
      <c r="C244" s="502" t="s">
        <v>1099</v>
      </c>
      <c r="D244" s="156"/>
      <c r="E244" s="79"/>
      <c r="F244" s="79"/>
      <c r="G244" s="79"/>
      <c r="H244" s="79"/>
      <c r="I244" s="79"/>
      <c r="J244" s="79"/>
      <c r="K244" s="79"/>
      <c r="L244" s="79"/>
      <c r="M244" s="79"/>
      <c r="N244" s="79"/>
      <c r="O244" s="79"/>
      <c r="P244" s="79"/>
      <c r="Q244" s="139" t="e">
        <f t="shared" si="28"/>
        <v>#DIV/0!</v>
      </c>
      <c r="R244" s="144" t="e">
        <f t="shared" si="29"/>
        <v>#DIV/0!</v>
      </c>
      <c r="S244" s="145" t="e">
        <f t="shared" si="24"/>
        <v>#DIV/0!</v>
      </c>
      <c r="T244" s="169"/>
    </row>
    <row r="245" spans="1:20" s="167" customFormat="1" ht="32.1" customHeight="1">
      <c r="A245" s="419" t="s">
        <v>216</v>
      </c>
      <c r="B245" s="110" t="s">
        <v>1100</v>
      </c>
      <c r="C245" s="502" t="s">
        <v>1101</v>
      </c>
      <c r="D245" s="156"/>
      <c r="E245" s="79"/>
      <c r="F245" s="79"/>
      <c r="G245" s="79"/>
      <c r="H245" s="79"/>
      <c r="I245" s="79"/>
      <c r="J245" s="79"/>
      <c r="K245" s="79"/>
      <c r="L245" s="79"/>
      <c r="M245" s="79"/>
      <c r="N245" s="79"/>
      <c r="O245" s="79"/>
      <c r="P245" s="79"/>
      <c r="Q245" s="139" t="e">
        <f t="shared" si="28"/>
        <v>#DIV/0!</v>
      </c>
      <c r="R245" s="144" t="e">
        <f t="shared" si="29"/>
        <v>#DIV/0!</v>
      </c>
      <c r="S245" s="145" t="e">
        <f t="shared" si="24"/>
        <v>#DIV/0!</v>
      </c>
      <c r="T245" s="169"/>
    </row>
    <row r="246" spans="1:20" s="167" customFormat="1" ht="32.1" customHeight="1">
      <c r="A246" s="419" t="s">
        <v>216</v>
      </c>
      <c r="B246" s="110" t="s">
        <v>810</v>
      </c>
      <c r="C246" s="502" t="s">
        <v>1102</v>
      </c>
      <c r="D246" s="156">
        <v>99</v>
      </c>
      <c r="E246" s="79"/>
      <c r="F246" s="79"/>
      <c r="G246" s="79"/>
      <c r="H246" s="79"/>
      <c r="I246" s="79">
        <v>97.4</v>
      </c>
      <c r="J246" s="79"/>
      <c r="K246" s="79"/>
      <c r="L246" s="79"/>
      <c r="M246" s="79"/>
      <c r="N246" s="79"/>
      <c r="O246" s="79"/>
      <c r="P246" s="79"/>
      <c r="Q246" s="139">
        <f t="shared" si="28"/>
        <v>97.4</v>
      </c>
      <c r="R246" s="144" t="str">
        <f t="shared" si="29"/>
        <v>NO</v>
      </c>
      <c r="S246" s="145" t="str">
        <f t="shared" si="24"/>
        <v>Inviable Sanitariamente</v>
      </c>
      <c r="T246" s="169"/>
    </row>
    <row r="247" spans="1:20" s="167" customFormat="1" ht="32.1" customHeight="1">
      <c r="A247" s="419" t="s">
        <v>216</v>
      </c>
      <c r="B247" s="110" t="s">
        <v>10</v>
      </c>
      <c r="C247" s="502" t="s">
        <v>1103</v>
      </c>
      <c r="D247" s="156"/>
      <c r="E247" s="79"/>
      <c r="F247" s="79"/>
      <c r="G247" s="79"/>
      <c r="H247" s="79"/>
      <c r="I247" s="79"/>
      <c r="J247" s="79"/>
      <c r="K247" s="79"/>
      <c r="L247" s="79"/>
      <c r="M247" s="79"/>
      <c r="N247" s="79"/>
      <c r="O247" s="79"/>
      <c r="P247" s="79"/>
      <c r="Q247" s="139" t="e">
        <f t="shared" si="28"/>
        <v>#DIV/0!</v>
      </c>
      <c r="R247" s="144" t="e">
        <f t="shared" si="29"/>
        <v>#DIV/0!</v>
      </c>
      <c r="S247" s="145" t="e">
        <f t="shared" si="24"/>
        <v>#DIV/0!</v>
      </c>
      <c r="T247" s="169"/>
    </row>
    <row r="248" spans="1:20" s="167" customFormat="1" ht="32.1" customHeight="1">
      <c r="A248" s="419" t="s">
        <v>216</v>
      </c>
      <c r="B248" s="110" t="s">
        <v>1104</v>
      </c>
      <c r="C248" s="502" t="s">
        <v>1105</v>
      </c>
      <c r="D248" s="156">
        <v>30</v>
      </c>
      <c r="E248" s="79"/>
      <c r="F248" s="79"/>
      <c r="G248" s="79"/>
      <c r="H248" s="79">
        <v>97.35</v>
      </c>
      <c r="I248" s="79"/>
      <c r="J248" s="79"/>
      <c r="K248" s="79"/>
      <c r="L248" s="79"/>
      <c r="M248" s="79"/>
      <c r="N248" s="79"/>
      <c r="O248" s="79"/>
      <c r="P248" s="79"/>
      <c r="Q248" s="139">
        <f t="shared" si="28"/>
        <v>97.35</v>
      </c>
      <c r="R248" s="144" t="str">
        <f t="shared" si="29"/>
        <v>NO</v>
      </c>
      <c r="S248" s="145" t="str">
        <f t="shared" si="24"/>
        <v>Inviable Sanitariamente</v>
      </c>
      <c r="T248" s="169"/>
    </row>
    <row r="249" spans="1:20" s="167" customFormat="1" ht="32.1" customHeight="1">
      <c r="A249" s="419" t="s">
        <v>216</v>
      </c>
      <c r="B249" s="110" t="s">
        <v>60</v>
      </c>
      <c r="C249" s="502" t="s">
        <v>1106</v>
      </c>
      <c r="D249" s="156"/>
      <c r="E249" s="79"/>
      <c r="F249" s="79"/>
      <c r="G249" s="79"/>
      <c r="H249" s="79"/>
      <c r="I249" s="79"/>
      <c r="J249" s="79"/>
      <c r="K249" s="79"/>
      <c r="L249" s="79"/>
      <c r="M249" s="79"/>
      <c r="N249" s="79"/>
      <c r="O249" s="79"/>
      <c r="P249" s="79"/>
      <c r="Q249" s="139" t="e">
        <f t="shared" si="28"/>
        <v>#DIV/0!</v>
      </c>
      <c r="R249" s="144" t="e">
        <f t="shared" si="29"/>
        <v>#DIV/0!</v>
      </c>
      <c r="S249" s="145" t="e">
        <f t="shared" si="24"/>
        <v>#DIV/0!</v>
      </c>
      <c r="T249" s="169"/>
    </row>
    <row r="250" spans="1:20" s="167" customFormat="1" ht="32.1" customHeight="1">
      <c r="A250" s="419" t="s">
        <v>216</v>
      </c>
      <c r="B250" s="110" t="s">
        <v>59</v>
      </c>
      <c r="C250" s="502" t="s">
        <v>1107</v>
      </c>
      <c r="D250" s="156">
        <v>27</v>
      </c>
      <c r="E250" s="79"/>
      <c r="F250" s="79"/>
      <c r="G250" s="79"/>
      <c r="H250" s="79">
        <v>97.4</v>
      </c>
      <c r="I250" s="79"/>
      <c r="J250" s="79"/>
      <c r="K250" s="79"/>
      <c r="L250" s="79"/>
      <c r="M250" s="79"/>
      <c r="N250" s="79"/>
      <c r="O250" s="79"/>
      <c r="P250" s="79"/>
      <c r="Q250" s="139">
        <f t="shared" si="28"/>
        <v>97.4</v>
      </c>
      <c r="R250" s="144" t="str">
        <f t="shared" si="29"/>
        <v>NO</v>
      </c>
      <c r="S250" s="145" t="str">
        <f t="shared" si="24"/>
        <v>Inviable Sanitariamente</v>
      </c>
      <c r="T250" s="169"/>
    </row>
    <row r="251" spans="1:20" s="167" customFormat="1" ht="32.1" customHeight="1">
      <c r="A251" s="419" t="s">
        <v>216</v>
      </c>
      <c r="B251" s="110" t="s">
        <v>1108</v>
      </c>
      <c r="C251" s="502" t="s">
        <v>1109</v>
      </c>
      <c r="D251" s="156"/>
      <c r="E251" s="79"/>
      <c r="F251" s="79"/>
      <c r="G251" s="79"/>
      <c r="H251" s="79"/>
      <c r="I251" s="79"/>
      <c r="J251" s="79"/>
      <c r="K251" s="79"/>
      <c r="L251" s="79"/>
      <c r="M251" s="79"/>
      <c r="N251" s="79"/>
      <c r="O251" s="79"/>
      <c r="P251" s="79"/>
      <c r="Q251" s="139" t="e">
        <f t="shared" si="28"/>
        <v>#DIV/0!</v>
      </c>
      <c r="R251" s="144" t="e">
        <f t="shared" si="29"/>
        <v>#DIV/0!</v>
      </c>
      <c r="S251" s="145" t="e">
        <f t="shared" si="24"/>
        <v>#DIV/0!</v>
      </c>
      <c r="T251" s="169"/>
    </row>
    <row r="252" spans="1:20" s="167" customFormat="1" ht="32.1" customHeight="1">
      <c r="A252" s="419" t="s">
        <v>216</v>
      </c>
      <c r="B252" s="110" t="s">
        <v>1110</v>
      </c>
      <c r="C252" s="502" t="s">
        <v>1111</v>
      </c>
      <c r="D252" s="156"/>
      <c r="E252" s="79"/>
      <c r="F252" s="79"/>
      <c r="G252" s="79"/>
      <c r="H252" s="79"/>
      <c r="I252" s="79"/>
      <c r="J252" s="79"/>
      <c r="K252" s="79"/>
      <c r="L252" s="79"/>
      <c r="M252" s="79"/>
      <c r="N252" s="79"/>
      <c r="O252" s="79"/>
      <c r="P252" s="79"/>
      <c r="Q252" s="139" t="e">
        <f t="shared" si="28"/>
        <v>#DIV/0!</v>
      </c>
      <c r="R252" s="144" t="e">
        <f t="shared" si="29"/>
        <v>#DIV/0!</v>
      </c>
      <c r="S252" s="145" t="e">
        <f t="shared" si="24"/>
        <v>#DIV/0!</v>
      </c>
      <c r="T252" s="169"/>
    </row>
    <row r="253" spans="1:20" s="167" customFormat="1" ht="32.1" customHeight="1">
      <c r="A253" s="419" t="s">
        <v>216</v>
      </c>
      <c r="B253" s="110" t="s">
        <v>1112</v>
      </c>
      <c r="C253" s="502" t="s">
        <v>1113</v>
      </c>
      <c r="D253" s="156">
        <v>23</v>
      </c>
      <c r="E253" s="79"/>
      <c r="F253" s="79"/>
      <c r="G253" s="79"/>
      <c r="H253" s="79"/>
      <c r="I253" s="79"/>
      <c r="J253" s="79"/>
      <c r="K253" s="79"/>
      <c r="L253" s="152"/>
      <c r="M253" s="79"/>
      <c r="N253" s="79"/>
      <c r="O253" s="79"/>
      <c r="P253" s="79"/>
      <c r="Q253" s="139">
        <v>97.4</v>
      </c>
      <c r="R253" s="144" t="s">
        <v>1114</v>
      </c>
      <c r="S253" s="145" t="str">
        <f t="shared" si="24"/>
        <v>Inviable Sanitariamente</v>
      </c>
      <c r="T253" s="169"/>
    </row>
    <row r="254" spans="1:20" s="167" customFormat="1" ht="32.1" customHeight="1">
      <c r="A254" s="419" t="s">
        <v>216</v>
      </c>
      <c r="B254" s="110" t="s">
        <v>1115</v>
      </c>
      <c r="C254" s="502" t="s">
        <v>1116</v>
      </c>
      <c r="D254" s="156"/>
      <c r="E254" s="79"/>
      <c r="F254" s="79"/>
      <c r="G254" s="79"/>
      <c r="H254" s="79"/>
      <c r="I254" s="79"/>
      <c r="J254" s="79"/>
      <c r="K254" s="79"/>
      <c r="L254" s="79"/>
      <c r="M254" s="79"/>
      <c r="N254" s="79"/>
      <c r="O254" s="79"/>
      <c r="P254" s="79"/>
      <c r="Q254" s="139" t="e">
        <f t="shared" ref="Q254:Q265" si="30">AVERAGE(E254:P254)</f>
        <v>#DIV/0!</v>
      </c>
      <c r="R254" s="144" t="e">
        <f t="shared" ref="R254:R317" si="31">IF(Q254&lt;5,"SI","NO")</f>
        <v>#DIV/0!</v>
      </c>
      <c r="S254" s="145" t="e">
        <f t="shared" si="24"/>
        <v>#DIV/0!</v>
      </c>
      <c r="T254" s="169"/>
    </row>
    <row r="255" spans="1:20" s="167" customFormat="1" ht="32.1" customHeight="1">
      <c r="A255" s="419" t="s">
        <v>216</v>
      </c>
      <c r="B255" s="110" t="s">
        <v>1117</v>
      </c>
      <c r="C255" s="502" t="s">
        <v>1118</v>
      </c>
      <c r="D255" s="156"/>
      <c r="E255" s="79"/>
      <c r="F255" s="79"/>
      <c r="G255" s="79"/>
      <c r="H255" s="79"/>
      <c r="I255" s="79"/>
      <c r="J255" s="79"/>
      <c r="K255" s="79"/>
      <c r="L255" s="79"/>
      <c r="M255" s="79"/>
      <c r="N255" s="79"/>
      <c r="O255" s="79"/>
      <c r="P255" s="79"/>
      <c r="Q255" s="139" t="e">
        <f t="shared" si="30"/>
        <v>#DIV/0!</v>
      </c>
      <c r="R255" s="144" t="e">
        <f t="shared" si="31"/>
        <v>#DIV/0!</v>
      </c>
      <c r="S255" s="145" t="e">
        <f t="shared" si="24"/>
        <v>#DIV/0!</v>
      </c>
      <c r="T255" s="169"/>
    </row>
    <row r="256" spans="1:20" s="167" customFormat="1" ht="32.1" customHeight="1">
      <c r="A256" s="419" t="s">
        <v>216</v>
      </c>
      <c r="B256" s="110" t="s">
        <v>1119</v>
      </c>
      <c r="C256" s="502" t="s">
        <v>1120</v>
      </c>
      <c r="D256" s="512">
        <v>43</v>
      </c>
      <c r="E256" s="79"/>
      <c r="F256" s="79"/>
      <c r="G256" s="79">
        <v>97.4</v>
      </c>
      <c r="H256" s="79"/>
      <c r="I256" s="79"/>
      <c r="J256" s="79"/>
      <c r="K256" s="79"/>
      <c r="L256" s="79"/>
      <c r="M256" s="79"/>
      <c r="N256" s="79"/>
      <c r="O256" s="79"/>
      <c r="P256" s="79"/>
      <c r="Q256" s="139">
        <f t="shared" si="30"/>
        <v>97.4</v>
      </c>
      <c r="R256" s="144" t="str">
        <f t="shared" si="31"/>
        <v>NO</v>
      </c>
      <c r="S256" s="145" t="str">
        <f t="shared" si="24"/>
        <v>Inviable Sanitariamente</v>
      </c>
      <c r="T256" s="169"/>
    </row>
    <row r="257" spans="1:20" s="167" customFormat="1" ht="32.1" customHeight="1">
      <c r="A257" s="419" t="s">
        <v>216</v>
      </c>
      <c r="B257" s="110" t="s">
        <v>5</v>
      </c>
      <c r="C257" s="502" t="s">
        <v>1121</v>
      </c>
      <c r="D257" s="156">
        <v>162</v>
      </c>
      <c r="E257" s="79"/>
      <c r="F257" s="79"/>
      <c r="G257" s="138">
        <v>97.4</v>
      </c>
      <c r="H257" s="79"/>
      <c r="I257" s="79"/>
      <c r="J257" s="79"/>
      <c r="K257" s="79"/>
      <c r="L257" s="79"/>
      <c r="M257" s="79"/>
      <c r="N257" s="79"/>
      <c r="O257" s="79"/>
      <c r="P257" s="79"/>
      <c r="Q257" s="139">
        <f t="shared" si="30"/>
        <v>97.4</v>
      </c>
      <c r="R257" s="144" t="str">
        <f t="shared" si="31"/>
        <v>NO</v>
      </c>
      <c r="S257" s="145" t="str">
        <f t="shared" si="24"/>
        <v>Inviable Sanitariamente</v>
      </c>
      <c r="T257" s="169"/>
    </row>
    <row r="258" spans="1:20" s="167" customFormat="1" ht="32.1" customHeight="1">
      <c r="A258" s="419" t="s">
        <v>216</v>
      </c>
      <c r="B258" s="110" t="s">
        <v>1122</v>
      </c>
      <c r="C258" s="502" t="s">
        <v>1123</v>
      </c>
      <c r="D258" s="156"/>
      <c r="E258" s="79"/>
      <c r="F258" s="79"/>
      <c r="G258" s="79"/>
      <c r="H258" s="79"/>
      <c r="I258" s="79"/>
      <c r="J258" s="79"/>
      <c r="K258" s="79"/>
      <c r="L258" s="79"/>
      <c r="M258" s="79"/>
      <c r="N258" s="79"/>
      <c r="O258" s="79"/>
      <c r="P258" s="79"/>
      <c r="Q258" s="139" t="e">
        <f t="shared" si="30"/>
        <v>#DIV/0!</v>
      </c>
      <c r="R258" s="144" t="e">
        <f t="shared" si="31"/>
        <v>#DIV/0!</v>
      </c>
      <c r="S258" s="145" t="e">
        <f t="shared" si="24"/>
        <v>#DIV/0!</v>
      </c>
      <c r="T258" s="169"/>
    </row>
    <row r="259" spans="1:20" s="167" customFormat="1" ht="32.1" customHeight="1">
      <c r="A259" s="419" t="s">
        <v>216</v>
      </c>
      <c r="B259" s="110" t="s">
        <v>512</v>
      </c>
      <c r="C259" s="502" t="s">
        <v>1124</v>
      </c>
      <c r="D259" s="156">
        <v>162</v>
      </c>
      <c r="E259" s="79"/>
      <c r="F259" s="79"/>
      <c r="G259" s="79">
        <v>97.4</v>
      </c>
      <c r="H259" s="79"/>
      <c r="I259" s="79"/>
      <c r="J259" s="79"/>
      <c r="K259" s="79"/>
      <c r="L259" s="79"/>
      <c r="M259" s="79"/>
      <c r="N259" s="79"/>
      <c r="O259" s="79"/>
      <c r="P259" s="79"/>
      <c r="Q259" s="139">
        <f t="shared" si="30"/>
        <v>97.4</v>
      </c>
      <c r="R259" s="144" t="str">
        <f t="shared" si="31"/>
        <v>NO</v>
      </c>
      <c r="S259" s="145" t="str">
        <f t="shared" si="24"/>
        <v>Inviable Sanitariamente</v>
      </c>
      <c r="T259" s="169"/>
    </row>
    <row r="260" spans="1:20" s="167" customFormat="1" ht="32.1" customHeight="1">
      <c r="A260" s="419" t="s">
        <v>216</v>
      </c>
      <c r="B260" s="110" t="s">
        <v>1125</v>
      </c>
      <c r="C260" s="502" t="s">
        <v>1126</v>
      </c>
      <c r="D260" s="156"/>
      <c r="E260" s="79"/>
      <c r="F260" s="79"/>
      <c r="G260" s="79"/>
      <c r="H260" s="79"/>
      <c r="I260" s="79"/>
      <c r="J260" s="79"/>
      <c r="K260" s="79"/>
      <c r="L260" s="79"/>
      <c r="M260" s="79"/>
      <c r="N260" s="79"/>
      <c r="O260" s="79"/>
      <c r="P260" s="79"/>
      <c r="Q260" s="139" t="e">
        <f t="shared" si="30"/>
        <v>#DIV/0!</v>
      </c>
      <c r="R260" s="144" t="e">
        <f t="shared" si="31"/>
        <v>#DIV/0!</v>
      </c>
      <c r="S260" s="145" t="e">
        <f t="shared" si="24"/>
        <v>#DIV/0!</v>
      </c>
      <c r="T260" s="169"/>
    </row>
    <row r="261" spans="1:20" s="167" customFormat="1" ht="32.1" customHeight="1">
      <c r="A261" s="419" t="s">
        <v>216</v>
      </c>
      <c r="B261" s="419" t="s">
        <v>1127</v>
      </c>
      <c r="C261" s="480" t="s">
        <v>1128</v>
      </c>
      <c r="D261" s="156"/>
      <c r="E261" s="79"/>
      <c r="F261" s="79"/>
      <c r="G261" s="79"/>
      <c r="H261" s="79"/>
      <c r="I261" s="79"/>
      <c r="J261" s="79"/>
      <c r="K261" s="79"/>
      <c r="L261" s="79"/>
      <c r="M261" s="79"/>
      <c r="N261" s="79"/>
      <c r="O261" s="79"/>
      <c r="P261" s="79"/>
      <c r="Q261" s="139" t="e">
        <f t="shared" si="30"/>
        <v>#DIV/0!</v>
      </c>
      <c r="R261" s="144" t="e">
        <f t="shared" si="31"/>
        <v>#DIV/0!</v>
      </c>
      <c r="S261" s="145" t="e">
        <f t="shared" si="24"/>
        <v>#DIV/0!</v>
      </c>
      <c r="T261" s="169"/>
    </row>
    <row r="262" spans="1:20" s="167" customFormat="1" ht="32.1" customHeight="1">
      <c r="A262" s="419" t="s">
        <v>216</v>
      </c>
      <c r="B262" s="419" t="s">
        <v>0</v>
      </c>
      <c r="C262" s="480" t="s">
        <v>1129</v>
      </c>
      <c r="D262" s="156"/>
      <c r="E262" s="79"/>
      <c r="F262" s="79"/>
      <c r="G262" s="79"/>
      <c r="H262" s="79"/>
      <c r="I262" s="79"/>
      <c r="J262" s="79"/>
      <c r="K262" s="79"/>
      <c r="L262" s="79"/>
      <c r="M262" s="79"/>
      <c r="N262" s="79"/>
      <c r="O262" s="79"/>
      <c r="P262" s="79"/>
      <c r="Q262" s="139" t="e">
        <f t="shared" si="30"/>
        <v>#DIV/0!</v>
      </c>
      <c r="R262" s="144" t="e">
        <f t="shared" si="31"/>
        <v>#DIV/0!</v>
      </c>
      <c r="S262" s="145" t="e">
        <f t="shared" si="24"/>
        <v>#DIV/0!</v>
      </c>
      <c r="T262" s="169"/>
    </row>
    <row r="263" spans="1:20" s="167" customFormat="1" ht="32.1" customHeight="1">
      <c r="A263" s="419" t="s">
        <v>216</v>
      </c>
      <c r="B263" s="419" t="s">
        <v>1130</v>
      </c>
      <c r="C263" s="480" t="s">
        <v>1131</v>
      </c>
      <c r="D263" s="156"/>
      <c r="E263" s="79"/>
      <c r="F263" s="79"/>
      <c r="G263" s="79"/>
      <c r="H263" s="79"/>
      <c r="I263" s="79"/>
      <c r="J263" s="79"/>
      <c r="K263" s="79"/>
      <c r="L263" s="79"/>
      <c r="M263" s="79"/>
      <c r="N263" s="79"/>
      <c r="O263" s="79"/>
      <c r="P263" s="79"/>
      <c r="Q263" s="139" t="e">
        <f t="shared" si="30"/>
        <v>#DIV/0!</v>
      </c>
      <c r="R263" s="144" t="e">
        <f t="shared" si="31"/>
        <v>#DIV/0!</v>
      </c>
      <c r="S263" s="145" t="e">
        <f t="shared" si="24"/>
        <v>#DIV/0!</v>
      </c>
      <c r="T263" s="169"/>
    </row>
    <row r="264" spans="1:20" s="167" customFormat="1" ht="32.1" customHeight="1">
      <c r="A264" s="419" t="s">
        <v>217</v>
      </c>
      <c r="B264" s="110" t="s">
        <v>1132</v>
      </c>
      <c r="C264" s="502" t="s">
        <v>1133</v>
      </c>
      <c r="D264" s="172">
        <v>224</v>
      </c>
      <c r="E264" s="80">
        <v>0</v>
      </c>
      <c r="F264" s="80"/>
      <c r="G264" s="80"/>
      <c r="H264" s="80"/>
      <c r="I264" s="80"/>
      <c r="J264" s="80">
        <v>0</v>
      </c>
      <c r="K264" s="79">
        <v>65.8</v>
      </c>
      <c r="L264" s="79">
        <v>0</v>
      </c>
      <c r="M264" s="79">
        <v>0</v>
      </c>
      <c r="N264" s="79">
        <v>0</v>
      </c>
      <c r="O264" s="79">
        <v>0</v>
      </c>
      <c r="P264" s="79">
        <v>0</v>
      </c>
      <c r="Q264" s="139">
        <f t="shared" si="30"/>
        <v>8.2249999999999996</v>
      </c>
      <c r="R264" s="144" t="str">
        <f t="shared" si="31"/>
        <v>NO</v>
      </c>
      <c r="S264" s="145" t="str">
        <f t="shared" si="24"/>
        <v>Bajo</v>
      </c>
      <c r="T264" s="169"/>
    </row>
    <row r="265" spans="1:20" s="167" customFormat="1" ht="32.1" customHeight="1">
      <c r="A265" s="419" t="s">
        <v>217</v>
      </c>
      <c r="B265" s="110" t="s">
        <v>698</v>
      </c>
      <c r="C265" s="502" t="s">
        <v>1134</v>
      </c>
      <c r="D265" s="172">
        <v>122</v>
      </c>
      <c r="E265" s="80"/>
      <c r="F265" s="80"/>
      <c r="G265" s="80"/>
      <c r="H265" s="80"/>
      <c r="I265" s="80"/>
      <c r="J265" s="80">
        <v>19.350000000000001</v>
      </c>
      <c r="K265" s="79">
        <v>38.700000000000003</v>
      </c>
      <c r="L265" s="79">
        <v>19.350000000000001</v>
      </c>
      <c r="M265" s="79">
        <v>0</v>
      </c>
      <c r="N265" s="79">
        <v>51.61</v>
      </c>
      <c r="O265" s="79">
        <v>0</v>
      </c>
      <c r="P265" s="79">
        <v>19.350000000000001</v>
      </c>
      <c r="Q265" s="139">
        <f t="shared" si="30"/>
        <v>21.194285714285712</v>
      </c>
      <c r="R265" s="144" t="str">
        <f t="shared" si="31"/>
        <v>NO</v>
      </c>
      <c r="S265" s="145" t="str">
        <f t="shared" ref="S265:S328" si="32">IF(Q265&lt;5,"Sin Riesgo",IF(Q265 &lt;=14,"Bajo",IF(Q265&lt;=35,"Medio",IF(Q265&lt;=80,"Alto","Inviable Sanitariamente"))))</f>
        <v>Medio</v>
      </c>
      <c r="T265" s="169"/>
    </row>
    <row r="266" spans="1:20" s="167" customFormat="1" ht="32.1" customHeight="1">
      <c r="A266" s="419" t="s">
        <v>217</v>
      </c>
      <c r="B266" s="110" t="s">
        <v>1135</v>
      </c>
      <c r="C266" s="502" t="s">
        <v>1136</v>
      </c>
      <c r="D266" s="172">
        <v>64</v>
      </c>
      <c r="E266" s="168"/>
      <c r="F266" s="168"/>
      <c r="G266" s="80"/>
      <c r="H266" s="80"/>
      <c r="I266" s="80"/>
      <c r="J266" s="80">
        <v>0</v>
      </c>
      <c r="K266" s="79"/>
      <c r="L266" s="79">
        <v>0</v>
      </c>
      <c r="M266" s="79">
        <v>0</v>
      </c>
      <c r="N266" s="79"/>
      <c r="O266" s="79">
        <v>19.350000000000001</v>
      </c>
      <c r="P266" s="79"/>
      <c r="Q266" s="139">
        <f>AVERAGE(G266:P266)</f>
        <v>4.8375000000000004</v>
      </c>
      <c r="R266" s="144" t="str">
        <f t="shared" si="31"/>
        <v>SI</v>
      </c>
      <c r="S266" s="145" t="str">
        <f t="shared" si="32"/>
        <v>Sin Riesgo</v>
      </c>
      <c r="T266" s="169"/>
    </row>
    <row r="267" spans="1:20" s="167" customFormat="1" ht="32.1" customHeight="1">
      <c r="A267" s="419" t="s">
        <v>217</v>
      </c>
      <c r="B267" s="110" t="s">
        <v>587</v>
      </c>
      <c r="C267" s="502" t="s">
        <v>1137</v>
      </c>
      <c r="D267" s="172">
        <v>484</v>
      </c>
      <c r="E267" s="80">
        <v>0</v>
      </c>
      <c r="F267" s="168"/>
      <c r="G267" s="80"/>
      <c r="H267" s="80"/>
      <c r="I267" s="80"/>
      <c r="J267" s="80"/>
      <c r="K267" s="79">
        <v>19.399999999999999</v>
      </c>
      <c r="L267" s="79"/>
      <c r="M267" s="79"/>
      <c r="N267" s="79">
        <v>27.1</v>
      </c>
      <c r="O267" s="79"/>
      <c r="P267" s="79">
        <v>0</v>
      </c>
      <c r="Q267" s="139">
        <f>AVERAGE(G267:P267)</f>
        <v>15.5</v>
      </c>
      <c r="R267" s="144" t="str">
        <f t="shared" si="31"/>
        <v>NO</v>
      </c>
      <c r="S267" s="145" t="str">
        <f t="shared" si="32"/>
        <v>Medio</v>
      </c>
      <c r="T267" s="169"/>
    </row>
    <row r="268" spans="1:20" s="167" customFormat="1" ht="32.1" customHeight="1">
      <c r="A268" s="419" t="s">
        <v>217</v>
      </c>
      <c r="B268" s="110" t="s">
        <v>1138</v>
      </c>
      <c r="C268" s="502" t="s">
        <v>1139</v>
      </c>
      <c r="D268" s="172"/>
      <c r="E268" s="168"/>
      <c r="F268" s="168"/>
      <c r="G268" s="80"/>
      <c r="H268" s="80"/>
      <c r="I268" s="80"/>
      <c r="J268" s="80"/>
      <c r="K268" s="79"/>
      <c r="L268" s="79"/>
      <c r="M268" s="79"/>
      <c r="N268" s="79"/>
      <c r="O268" s="79"/>
      <c r="P268" s="79"/>
      <c r="Q268" s="139" t="e">
        <f>AVERAGE(G268:P268)</f>
        <v>#DIV/0!</v>
      </c>
      <c r="R268" s="144" t="e">
        <f t="shared" si="31"/>
        <v>#DIV/0!</v>
      </c>
      <c r="S268" s="145" t="e">
        <f t="shared" si="32"/>
        <v>#DIV/0!</v>
      </c>
      <c r="T268" s="169"/>
    </row>
    <row r="269" spans="1:20" s="167" customFormat="1" ht="32.1" customHeight="1">
      <c r="A269" s="419" t="s">
        <v>217</v>
      </c>
      <c r="B269" s="110" t="s">
        <v>1140</v>
      </c>
      <c r="C269" s="502" t="s">
        <v>1141</v>
      </c>
      <c r="D269" s="172"/>
      <c r="E269" s="168"/>
      <c r="F269" s="168"/>
      <c r="G269" s="80"/>
      <c r="H269" s="80"/>
      <c r="I269" s="80"/>
      <c r="J269" s="80"/>
      <c r="K269" s="79"/>
      <c r="L269" s="79"/>
      <c r="M269" s="79"/>
      <c r="N269" s="79"/>
      <c r="O269" s="79"/>
      <c r="P269" s="79"/>
      <c r="Q269" s="139" t="e">
        <f>AVERAGE(G269:P269)</f>
        <v>#DIV/0!</v>
      </c>
      <c r="R269" s="144" t="e">
        <f t="shared" si="31"/>
        <v>#DIV/0!</v>
      </c>
      <c r="S269" s="145" t="e">
        <f t="shared" si="32"/>
        <v>#DIV/0!</v>
      </c>
      <c r="T269" s="169"/>
    </row>
    <row r="270" spans="1:20" s="167" customFormat="1" ht="32.1" customHeight="1">
      <c r="A270" s="419" t="s">
        <v>217</v>
      </c>
      <c r="B270" s="110" t="s">
        <v>1142</v>
      </c>
      <c r="C270" s="502" t="s">
        <v>1143</v>
      </c>
      <c r="D270" s="172"/>
      <c r="E270" s="168"/>
      <c r="F270" s="168"/>
      <c r="G270" s="80"/>
      <c r="H270" s="80"/>
      <c r="I270" s="80"/>
      <c r="J270" s="80"/>
      <c r="K270" s="79"/>
      <c r="L270" s="79"/>
      <c r="M270" s="79"/>
      <c r="N270" s="79"/>
      <c r="O270" s="79"/>
      <c r="P270" s="79"/>
      <c r="Q270" s="139" t="e">
        <f>AVERAGE(G270:P270)</f>
        <v>#DIV/0!</v>
      </c>
      <c r="R270" s="144" t="e">
        <f t="shared" si="31"/>
        <v>#DIV/0!</v>
      </c>
      <c r="S270" s="145" t="e">
        <f t="shared" si="32"/>
        <v>#DIV/0!</v>
      </c>
      <c r="T270" s="169"/>
    </row>
    <row r="271" spans="1:20" s="167" customFormat="1" ht="32.1" customHeight="1">
      <c r="A271" s="419" t="s">
        <v>217</v>
      </c>
      <c r="B271" s="110" t="s">
        <v>1144</v>
      </c>
      <c r="C271" s="502" t="s">
        <v>1145</v>
      </c>
      <c r="D271" s="172">
        <v>99</v>
      </c>
      <c r="E271" s="79"/>
      <c r="F271" s="79"/>
      <c r="G271" s="80"/>
      <c r="H271" s="80"/>
      <c r="I271" s="80"/>
      <c r="J271" s="80"/>
      <c r="K271" s="79">
        <v>0</v>
      </c>
      <c r="L271" s="79"/>
      <c r="M271" s="79"/>
      <c r="N271" s="79"/>
      <c r="O271" s="79"/>
      <c r="P271" s="79"/>
      <c r="Q271" s="139">
        <f t="shared" ref="Q271:Q334" si="33">AVERAGE(E271:P271)</f>
        <v>0</v>
      </c>
      <c r="R271" s="144" t="str">
        <f t="shared" si="31"/>
        <v>SI</v>
      </c>
      <c r="S271" s="145" t="str">
        <f t="shared" si="32"/>
        <v>Sin Riesgo</v>
      </c>
      <c r="T271" s="169"/>
    </row>
    <row r="272" spans="1:20" s="167" customFormat="1" ht="32.1" customHeight="1">
      <c r="A272" s="419" t="s">
        <v>217</v>
      </c>
      <c r="B272" s="110" t="s">
        <v>1146</v>
      </c>
      <c r="C272" s="502" t="s">
        <v>1147</v>
      </c>
      <c r="D272" s="172">
        <v>1230</v>
      </c>
      <c r="E272" s="80"/>
      <c r="F272" s="80"/>
      <c r="G272" s="80"/>
      <c r="H272" s="80"/>
      <c r="I272" s="80"/>
      <c r="J272" s="80"/>
      <c r="K272" s="79"/>
      <c r="L272" s="79">
        <v>0</v>
      </c>
      <c r="M272" s="79">
        <v>0</v>
      </c>
      <c r="N272" s="79"/>
      <c r="O272" s="79">
        <v>19.350000000000001</v>
      </c>
      <c r="P272" s="79">
        <v>0</v>
      </c>
      <c r="Q272" s="139">
        <f t="shared" si="33"/>
        <v>4.8375000000000004</v>
      </c>
      <c r="R272" s="144" t="str">
        <f t="shared" si="31"/>
        <v>SI</v>
      </c>
      <c r="S272" s="145" t="str">
        <f t="shared" si="32"/>
        <v>Sin Riesgo</v>
      </c>
      <c r="T272" s="169"/>
    </row>
    <row r="273" spans="1:20" s="167" customFormat="1" ht="32.1" customHeight="1">
      <c r="A273" s="419" t="s">
        <v>217</v>
      </c>
      <c r="B273" s="110" t="s">
        <v>1148</v>
      </c>
      <c r="C273" s="502" t="s">
        <v>1149</v>
      </c>
      <c r="D273" s="172">
        <v>156</v>
      </c>
      <c r="E273" s="79"/>
      <c r="F273" s="79"/>
      <c r="G273" s="80"/>
      <c r="H273" s="80"/>
      <c r="I273" s="80"/>
      <c r="J273" s="80"/>
      <c r="K273" s="79"/>
      <c r="L273" s="79"/>
      <c r="M273" s="79"/>
      <c r="N273" s="79">
        <v>0</v>
      </c>
      <c r="O273" s="79"/>
      <c r="P273" s="79"/>
      <c r="Q273" s="139">
        <f t="shared" si="33"/>
        <v>0</v>
      </c>
      <c r="R273" s="144" t="str">
        <f t="shared" si="31"/>
        <v>SI</v>
      </c>
      <c r="S273" s="145" t="str">
        <f t="shared" si="32"/>
        <v>Sin Riesgo</v>
      </c>
      <c r="T273" s="169"/>
    </row>
    <row r="274" spans="1:20" s="167" customFormat="1" ht="32.1" customHeight="1">
      <c r="A274" s="419" t="s">
        <v>217</v>
      </c>
      <c r="B274" s="110" t="s">
        <v>1144</v>
      </c>
      <c r="C274" s="502" t="s">
        <v>1150</v>
      </c>
      <c r="D274" s="172">
        <v>170</v>
      </c>
      <c r="E274" s="79">
        <v>0</v>
      </c>
      <c r="F274" s="79"/>
      <c r="G274" s="80"/>
      <c r="H274" s="80"/>
      <c r="I274" s="80"/>
      <c r="J274" s="80"/>
      <c r="K274" s="79">
        <v>0</v>
      </c>
      <c r="L274" s="79">
        <v>0</v>
      </c>
      <c r="M274" s="79">
        <v>0</v>
      </c>
      <c r="N274" s="79">
        <v>0</v>
      </c>
      <c r="O274" s="79">
        <v>0</v>
      </c>
      <c r="P274" s="79">
        <v>0</v>
      </c>
      <c r="Q274" s="139">
        <f t="shared" si="33"/>
        <v>0</v>
      </c>
      <c r="R274" s="144" t="str">
        <f t="shared" si="31"/>
        <v>SI</v>
      </c>
      <c r="S274" s="145" t="str">
        <f t="shared" si="32"/>
        <v>Sin Riesgo</v>
      </c>
      <c r="T274" s="169"/>
    </row>
    <row r="275" spans="1:20" s="167" customFormat="1" ht="32.1" customHeight="1">
      <c r="A275" s="419" t="s">
        <v>217</v>
      </c>
      <c r="B275" s="110" t="s">
        <v>1151</v>
      </c>
      <c r="C275" s="502" t="s">
        <v>1152</v>
      </c>
      <c r="D275" s="172">
        <v>407</v>
      </c>
      <c r="E275" s="80"/>
      <c r="F275" s="80"/>
      <c r="G275" s="80"/>
      <c r="H275" s="80"/>
      <c r="I275" s="80"/>
      <c r="J275" s="80">
        <v>0</v>
      </c>
      <c r="K275" s="79">
        <v>0</v>
      </c>
      <c r="L275" s="79">
        <v>0</v>
      </c>
      <c r="M275" s="79">
        <v>0</v>
      </c>
      <c r="N275" s="79"/>
      <c r="O275" s="79">
        <v>0</v>
      </c>
      <c r="P275" s="79">
        <v>19.350000000000001</v>
      </c>
      <c r="Q275" s="139">
        <f t="shared" si="33"/>
        <v>3.2250000000000001</v>
      </c>
      <c r="R275" s="144" t="str">
        <f t="shared" si="31"/>
        <v>SI</v>
      </c>
      <c r="S275" s="145" t="str">
        <f t="shared" si="32"/>
        <v>Sin Riesgo</v>
      </c>
      <c r="T275" s="169"/>
    </row>
    <row r="276" spans="1:20" s="167" customFormat="1" ht="32.1" customHeight="1">
      <c r="A276" s="419" t="s">
        <v>217</v>
      </c>
      <c r="B276" s="110" t="s">
        <v>20</v>
      </c>
      <c r="C276" s="502" t="s">
        <v>1153</v>
      </c>
      <c r="D276" s="172">
        <v>176</v>
      </c>
      <c r="E276" s="80"/>
      <c r="F276" s="80"/>
      <c r="G276" s="80"/>
      <c r="H276" s="80"/>
      <c r="I276" s="80"/>
      <c r="J276" s="80">
        <v>0</v>
      </c>
      <c r="K276" s="79"/>
      <c r="L276" s="79">
        <v>0</v>
      </c>
      <c r="M276" s="79">
        <v>19.350000000000001</v>
      </c>
      <c r="N276" s="79">
        <v>0</v>
      </c>
      <c r="O276" s="79">
        <v>0</v>
      </c>
      <c r="P276" s="79">
        <v>0</v>
      </c>
      <c r="Q276" s="139">
        <f t="shared" si="33"/>
        <v>3.2250000000000001</v>
      </c>
      <c r="R276" s="144" t="str">
        <f t="shared" si="31"/>
        <v>SI</v>
      </c>
      <c r="S276" s="145" t="str">
        <f t="shared" si="32"/>
        <v>Sin Riesgo</v>
      </c>
      <c r="T276" s="169"/>
    </row>
    <row r="277" spans="1:20" s="167" customFormat="1" ht="32.1" customHeight="1">
      <c r="A277" s="419" t="s">
        <v>217</v>
      </c>
      <c r="B277" s="110" t="s">
        <v>698</v>
      </c>
      <c r="C277" s="502" t="s">
        <v>1154</v>
      </c>
      <c r="D277" s="172"/>
      <c r="E277" s="80"/>
      <c r="F277" s="80"/>
      <c r="G277" s="80"/>
      <c r="H277" s="80"/>
      <c r="I277" s="80"/>
      <c r="J277" s="80"/>
      <c r="K277" s="79"/>
      <c r="L277" s="79"/>
      <c r="M277" s="79"/>
      <c r="N277" s="79"/>
      <c r="O277" s="79"/>
      <c r="P277" s="79"/>
      <c r="Q277" s="139" t="e">
        <f t="shared" si="33"/>
        <v>#DIV/0!</v>
      </c>
      <c r="R277" s="144" t="e">
        <f t="shared" si="31"/>
        <v>#DIV/0!</v>
      </c>
      <c r="S277" s="145" t="e">
        <f t="shared" si="32"/>
        <v>#DIV/0!</v>
      </c>
      <c r="T277" s="169"/>
    </row>
    <row r="278" spans="1:20" s="167" customFormat="1" ht="32.1" customHeight="1">
      <c r="A278" s="419" t="s">
        <v>217</v>
      </c>
      <c r="B278" s="110" t="s">
        <v>1155</v>
      </c>
      <c r="C278" s="502" t="s">
        <v>1156</v>
      </c>
      <c r="D278" s="172">
        <v>160</v>
      </c>
      <c r="E278" s="80"/>
      <c r="F278" s="80"/>
      <c r="G278" s="80"/>
      <c r="H278" s="80"/>
      <c r="I278" s="80"/>
      <c r="J278" s="80">
        <v>0</v>
      </c>
      <c r="K278" s="79"/>
      <c r="L278" s="79"/>
      <c r="M278" s="79"/>
      <c r="N278" s="79">
        <v>0</v>
      </c>
      <c r="O278" s="79"/>
      <c r="P278" s="79"/>
      <c r="Q278" s="139">
        <f t="shared" si="33"/>
        <v>0</v>
      </c>
      <c r="R278" s="144" t="str">
        <f t="shared" si="31"/>
        <v>SI</v>
      </c>
      <c r="S278" s="145" t="str">
        <f t="shared" si="32"/>
        <v>Sin Riesgo</v>
      </c>
      <c r="T278" s="169"/>
    </row>
    <row r="279" spans="1:20" s="167" customFormat="1" ht="32.1" customHeight="1">
      <c r="A279" s="419" t="s">
        <v>217</v>
      </c>
      <c r="B279" s="110" t="s">
        <v>1157</v>
      </c>
      <c r="C279" s="502" t="s">
        <v>1158</v>
      </c>
      <c r="D279" s="172">
        <v>158</v>
      </c>
      <c r="E279" s="80">
        <v>0</v>
      </c>
      <c r="F279" s="80"/>
      <c r="G279" s="80"/>
      <c r="H279" s="80"/>
      <c r="I279" s="80"/>
      <c r="J279" s="80">
        <v>0</v>
      </c>
      <c r="K279" s="79">
        <v>19.350000000000001</v>
      </c>
      <c r="L279" s="79">
        <v>19.350000000000001</v>
      </c>
      <c r="M279" s="79">
        <v>19.350000000000001</v>
      </c>
      <c r="N279" s="79">
        <v>19.350000000000001</v>
      </c>
      <c r="O279" s="79">
        <v>0</v>
      </c>
      <c r="P279" s="79">
        <v>0</v>
      </c>
      <c r="Q279" s="139">
        <f t="shared" si="33"/>
        <v>9.6750000000000007</v>
      </c>
      <c r="R279" s="144" t="str">
        <f t="shared" si="31"/>
        <v>NO</v>
      </c>
      <c r="S279" s="145" t="str">
        <f t="shared" si="32"/>
        <v>Bajo</v>
      </c>
      <c r="T279" s="169"/>
    </row>
    <row r="280" spans="1:20" s="167" customFormat="1" ht="32.1" customHeight="1">
      <c r="A280" s="419" t="s">
        <v>217</v>
      </c>
      <c r="B280" s="110" t="s">
        <v>1159</v>
      </c>
      <c r="C280" s="502" t="s">
        <v>1160</v>
      </c>
      <c r="D280" s="172"/>
      <c r="E280" s="80"/>
      <c r="F280" s="80"/>
      <c r="G280" s="80"/>
      <c r="H280" s="80"/>
      <c r="I280" s="80"/>
      <c r="J280" s="80"/>
      <c r="K280" s="79"/>
      <c r="L280" s="79"/>
      <c r="M280" s="79"/>
      <c r="N280" s="79"/>
      <c r="O280" s="79"/>
      <c r="P280" s="79"/>
      <c r="Q280" s="139" t="e">
        <f t="shared" si="33"/>
        <v>#DIV/0!</v>
      </c>
      <c r="R280" s="144" t="e">
        <f t="shared" si="31"/>
        <v>#DIV/0!</v>
      </c>
      <c r="S280" s="145" t="e">
        <f t="shared" si="32"/>
        <v>#DIV/0!</v>
      </c>
      <c r="T280" s="169"/>
    </row>
    <row r="281" spans="1:20" s="167" customFormat="1" ht="32.1" customHeight="1">
      <c r="A281" s="419" t="s">
        <v>217</v>
      </c>
      <c r="B281" s="110" t="s">
        <v>587</v>
      </c>
      <c r="C281" s="502" t="s">
        <v>1161</v>
      </c>
      <c r="D281" s="172">
        <v>82</v>
      </c>
      <c r="E281" s="80"/>
      <c r="F281" s="80"/>
      <c r="G281" s="80"/>
      <c r="H281" s="80"/>
      <c r="I281" s="80"/>
      <c r="J281" s="80"/>
      <c r="K281" s="79">
        <v>0</v>
      </c>
      <c r="L281" s="79"/>
      <c r="M281" s="79"/>
      <c r="N281" s="79"/>
      <c r="O281" s="79"/>
      <c r="P281" s="79"/>
      <c r="Q281" s="139">
        <f t="shared" si="33"/>
        <v>0</v>
      </c>
      <c r="R281" s="144" t="str">
        <f t="shared" si="31"/>
        <v>SI</v>
      </c>
      <c r="S281" s="145" t="str">
        <f t="shared" si="32"/>
        <v>Sin Riesgo</v>
      </c>
      <c r="T281" s="169"/>
    </row>
    <row r="282" spans="1:20" s="167" customFormat="1" ht="32.1" customHeight="1">
      <c r="A282" s="419" t="s">
        <v>217</v>
      </c>
      <c r="B282" s="110" t="s">
        <v>1162</v>
      </c>
      <c r="C282" s="502" t="s">
        <v>1163</v>
      </c>
      <c r="D282" s="172">
        <v>358</v>
      </c>
      <c r="E282" s="80"/>
      <c r="F282" s="80"/>
      <c r="G282" s="80"/>
      <c r="H282" s="80"/>
      <c r="I282" s="80"/>
      <c r="J282" s="80"/>
      <c r="K282" s="79"/>
      <c r="L282" s="79">
        <v>0</v>
      </c>
      <c r="M282" s="79"/>
      <c r="N282" s="79">
        <v>0</v>
      </c>
      <c r="O282" s="79"/>
      <c r="P282" s="79">
        <v>19.350000000000001</v>
      </c>
      <c r="Q282" s="139">
        <f t="shared" si="33"/>
        <v>6.45</v>
      </c>
      <c r="R282" s="144" t="str">
        <f t="shared" si="31"/>
        <v>NO</v>
      </c>
      <c r="S282" s="145" t="str">
        <f t="shared" si="32"/>
        <v>Bajo</v>
      </c>
      <c r="T282" s="169"/>
    </row>
    <row r="283" spans="1:20" s="167" customFormat="1" ht="32.1" customHeight="1">
      <c r="A283" s="419" t="s">
        <v>217</v>
      </c>
      <c r="B283" s="110" t="s">
        <v>70</v>
      </c>
      <c r="C283" s="502" t="s">
        <v>1164</v>
      </c>
      <c r="D283" s="172">
        <v>253</v>
      </c>
      <c r="E283" s="80">
        <v>19.399999999999999</v>
      </c>
      <c r="F283" s="80"/>
      <c r="G283" s="80"/>
      <c r="H283" s="80"/>
      <c r="I283" s="80"/>
      <c r="J283" s="80"/>
      <c r="K283" s="79">
        <v>19.399999999999999</v>
      </c>
      <c r="L283" s="79">
        <v>0</v>
      </c>
      <c r="M283" s="79">
        <v>19.350000000000001</v>
      </c>
      <c r="N283" s="79"/>
      <c r="O283" s="79">
        <v>0</v>
      </c>
      <c r="P283" s="79">
        <v>19.350000000000001</v>
      </c>
      <c r="Q283" s="139">
        <f t="shared" si="33"/>
        <v>12.916666666666666</v>
      </c>
      <c r="R283" s="144" t="str">
        <f t="shared" si="31"/>
        <v>NO</v>
      </c>
      <c r="S283" s="145" t="str">
        <f t="shared" si="32"/>
        <v>Bajo</v>
      </c>
      <c r="T283" s="169"/>
    </row>
    <row r="284" spans="1:20" s="167" customFormat="1" ht="32.1" customHeight="1">
      <c r="A284" s="419" t="s">
        <v>217</v>
      </c>
      <c r="B284" s="110" t="s">
        <v>1165</v>
      </c>
      <c r="C284" s="502" t="s">
        <v>1166</v>
      </c>
      <c r="D284" s="172"/>
      <c r="E284" s="80"/>
      <c r="F284" s="80"/>
      <c r="G284" s="80"/>
      <c r="H284" s="80"/>
      <c r="I284" s="80"/>
      <c r="J284" s="80"/>
      <c r="K284" s="79"/>
      <c r="L284" s="79"/>
      <c r="M284" s="79"/>
      <c r="N284" s="79"/>
      <c r="O284" s="79"/>
      <c r="P284" s="79"/>
      <c r="Q284" s="139" t="e">
        <f t="shared" si="33"/>
        <v>#DIV/0!</v>
      </c>
      <c r="R284" s="144" t="e">
        <f t="shared" si="31"/>
        <v>#DIV/0!</v>
      </c>
      <c r="S284" s="145" t="e">
        <f t="shared" si="32"/>
        <v>#DIV/0!</v>
      </c>
      <c r="T284" s="169"/>
    </row>
    <row r="285" spans="1:20" s="167" customFormat="1" ht="32.1" customHeight="1">
      <c r="A285" s="419" t="s">
        <v>217</v>
      </c>
      <c r="B285" s="110" t="s">
        <v>99</v>
      </c>
      <c r="C285" s="502" t="s">
        <v>1167</v>
      </c>
      <c r="D285" s="172">
        <v>139</v>
      </c>
      <c r="E285" s="80"/>
      <c r="F285" s="80"/>
      <c r="G285" s="80"/>
      <c r="H285" s="80"/>
      <c r="I285" s="80"/>
      <c r="J285" s="80"/>
      <c r="K285" s="79"/>
      <c r="L285" s="79"/>
      <c r="M285" s="79"/>
      <c r="N285" s="79">
        <v>0</v>
      </c>
      <c r="O285" s="79"/>
      <c r="P285" s="79"/>
      <c r="Q285" s="139">
        <f t="shared" si="33"/>
        <v>0</v>
      </c>
      <c r="R285" s="144" t="str">
        <f t="shared" si="31"/>
        <v>SI</v>
      </c>
      <c r="S285" s="145" t="str">
        <f t="shared" si="32"/>
        <v>Sin Riesgo</v>
      </c>
      <c r="T285" s="169"/>
    </row>
    <row r="286" spans="1:20" s="167" customFormat="1" ht="32.1" customHeight="1">
      <c r="A286" s="419" t="s">
        <v>217</v>
      </c>
      <c r="B286" s="110" t="s">
        <v>1168</v>
      </c>
      <c r="C286" s="502" t="s">
        <v>1169</v>
      </c>
      <c r="D286" s="172"/>
      <c r="E286" s="80"/>
      <c r="F286" s="80"/>
      <c r="G286" s="80"/>
      <c r="H286" s="80"/>
      <c r="I286" s="80"/>
      <c r="J286" s="80"/>
      <c r="K286" s="79"/>
      <c r="L286" s="79"/>
      <c r="M286" s="79"/>
      <c r="N286" s="79"/>
      <c r="O286" s="79"/>
      <c r="P286" s="79"/>
      <c r="Q286" s="139" t="e">
        <f t="shared" si="33"/>
        <v>#DIV/0!</v>
      </c>
      <c r="R286" s="144" t="e">
        <f t="shared" si="31"/>
        <v>#DIV/0!</v>
      </c>
      <c r="S286" s="145" t="e">
        <f t="shared" si="32"/>
        <v>#DIV/0!</v>
      </c>
      <c r="T286" s="169"/>
    </row>
    <row r="287" spans="1:20" s="167" customFormat="1" ht="32.1" customHeight="1">
      <c r="A287" s="419" t="s">
        <v>217</v>
      </c>
      <c r="B287" s="110" t="s">
        <v>915</v>
      </c>
      <c r="C287" s="502" t="s">
        <v>1170</v>
      </c>
      <c r="D287" s="172">
        <v>334</v>
      </c>
      <c r="E287" s="80">
        <v>0</v>
      </c>
      <c r="F287" s="80"/>
      <c r="G287" s="80"/>
      <c r="H287" s="80"/>
      <c r="I287" s="80"/>
      <c r="J287" s="80"/>
      <c r="K287" s="79">
        <v>0</v>
      </c>
      <c r="L287" s="79">
        <v>0</v>
      </c>
      <c r="M287" s="79">
        <v>21.29</v>
      </c>
      <c r="N287" s="79">
        <v>0</v>
      </c>
      <c r="O287" s="79">
        <v>0</v>
      </c>
      <c r="P287" s="79">
        <v>0</v>
      </c>
      <c r="Q287" s="139">
        <f>AVERAGE(E287:P287)</f>
        <v>3.0414285714285714</v>
      </c>
      <c r="R287" s="144" t="str">
        <f t="shared" si="31"/>
        <v>SI</v>
      </c>
      <c r="S287" s="145" t="str">
        <f t="shared" si="32"/>
        <v>Sin Riesgo</v>
      </c>
      <c r="T287" s="169"/>
    </row>
    <row r="288" spans="1:20" s="167" customFormat="1" ht="32.1" customHeight="1">
      <c r="A288" s="419" t="s">
        <v>217</v>
      </c>
      <c r="B288" s="110" t="s">
        <v>1165</v>
      </c>
      <c r="C288" s="502" t="s">
        <v>1171</v>
      </c>
      <c r="D288" s="172"/>
      <c r="E288" s="80"/>
      <c r="F288" s="80"/>
      <c r="G288" s="80"/>
      <c r="H288" s="80"/>
      <c r="I288" s="80"/>
      <c r="J288" s="80"/>
      <c r="K288" s="79"/>
      <c r="L288" s="79"/>
      <c r="M288" s="79"/>
      <c r="N288" s="79"/>
      <c r="O288" s="79"/>
      <c r="P288" s="79"/>
      <c r="Q288" s="139" t="e">
        <f t="shared" si="33"/>
        <v>#DIV/0!</v>
      </c>
      <c r="R288" s="144" t="e">
        <f t="shared" si="31"/>
        <v>#DIV/0!</v>
      </c>
      <c r="S288" s="145" t="e">
        <f t="shared" si="32"/>
        <v>#DIV/0!</v>
      </c>
      <c r="T288" s="169"/>
    </row>
    <row r="289" spans="1:20" s="167" customFormat="1" ht="32.1" customHeight="1">
      <c r="A289" s="419" t="s">
        <v>217</v>
      </c>
      <c r="B289" s="110" t="s">
        <v>1172</v>
      </c>
      <c r="C289" s="502" t="s">
        <v>1173</v>
      </c>
      <c r="D289" s="172"/>
      <c r="E289" s="80"/>
      <c r="F289" s="80"/>
      <c r="G289" s="80"/>
      <c r="H289" s="80"/>
      <c r="I289" s="80"/>
      <c r="J289" s="80"/>
      <c r="K289" s="79"/>
      <c r="L289" s="79"/>
      <c r="M289" s="79"/>
      <c r="N289" s="79"/>
      <c r="O289" s="79"/>
      <c r="P289" s="79"/>
      <c r="Q289" s="139" t="e">
        <f t="shared" si="33"/>
        <v>#DIV/0!</v>
      </c>
      <c r="R289" s="144" t="e">
        <f t="shared" si="31"/>
        <v>#DIV/0!</v>
      </c>
      <c r="S289" s="145" t="e">
        <f t="shared" si="32"/>
        <v>#DIV/0!</v>
      </c>
      <c r="T289" s="169"/>
    </row>
    <row r="290" spans="1:20" s="167" customFormat="1" ht="32.1" customHeight="1">
      <c r="A290" s="419" t="s">
        <v>217</v>
      </c>
      <c r="B290" s="110" t="s">
        <v>1174</v>
      </c>
      <c r="C290" s="502" t="s">
        <v>1175</v>
      </c>
      <c r="D290" s="172">
        <v>55</v>
      </c>
      <c r="E290" s="80"/>
      <c r="F290" s="80"/>
      <c r="G290" s="80"/>
      <c r="H290" s="80"/>
      <c r="I290" s="80"/>
      <c r="J290" s="80"/>
      <c r="K290" s="79">
        <v>0</v>
      </c>
      <c r="L290" s="79"/>
      <c r="M290" s="79">
        <v>0</v>
      </c>
      <c r="N290" s="79">
        <v>0</v>
      </c>
      <c r="O290" s="79">
        <v>0</v>
      </c>
      <c r="P290" s="79">
        <v>0</v>
      </c>
      <c r="Q290" s="139">
        <f t="shared" si="33"/>
        <v>0</v>
      </c>
      <c r="R290" s="144" t="str">
        <f t="shared" si="31"/>
        <v>SI</v>
      </c>
      <c r="S290" s="145" t="str">
        <f t="shared" si="32"/>
        <v>Sin Riesgo</v>
      </c>
      <c r="T290" s="169"/>
    </row>
    <row r="291" spans="1:20" s="167" customFormat="1" ht="32.1" customHeight="1">
      <c r="A291" s="419" t="s">
        <v>217</v>
      </c>
      <c r="B291" s="110" t="s">
        <v>99</v>
      </c>
      <c r="C291" s="502" t="s">
        <v>1176</v>
      </c>
      <c r="D291" s="172">
        <v>215</v>
      </c>
      <c r="E291" s="80"/>
      <c r="F291" s="80"/>
      <c r="G291" s="80"/>
      <c r="H291" s="80"/>
      <c r="I291" s="80"/>
      <c r="J291" s="80"/>
      <c r="K291" s="79"/>
      <c r="L291" s="79">
        <v>0</v>
      </c>
      <c r="M291" s="79"/>
      <c r="N291" s="79"/>
      <c r="O291" s="79"/>
      <c r="P291" s="79"/>
      <c r="Q291" s="139">
        <f t="shared" si="33"/>
        <v>0</v>
      </c>
      <c r="R291" s="144" t="str">
        <f t="shared" si="31"/>
        <v>SI</v>
      </c>
      <c r="S291" s="145" t="str">
        <f t="shared" si="32"/>
        <v>Sin Riesgo</v>
      </c>
      <c r="T291" s="169"/>
    </row>
    <row r="292" spans="1:20" s="167" customFormat="1" ht="32.1" customHeight="1">
      <c r="A292" s="419" t="s">
        <v>217</v>
      </c>
      <c r="B292" s="110" t="s">
        <v>1177</v>
      </c>
      <c r="C292" s="502" t="s">
        <v>1178</v>
      </c>
      <c r="D292" s="172">
        <v>40</v>
      </c>
      <c r="E292" s="80">
        <v>0</v>
      </c>
      <c r="F292" s="80"/>
      <c r="G292" s="80"/>
      <c r="H292" s="80"/>
      <c r="I292" s="80"/>
      <c r="J292" s="80"/>
      <c r="K292" s="79">
        <v>0</v>
      </c>
      <c r="L292" s="79">
        <v>0</v>
      </c>
      <c r="M292" s="79">
        <v>0</v>
      </c>
      <c r="N292" s="79">
        <v>0</v>
      </c>
      <c r="O292" s="79"/>
      <c r="P292" s="79">
        <v>19.350000000000001</v>
      </c>
      <c r="Q292" s="139">
        <f t="shared" si="33"/>
        <v>3.2250000000000001</v>
      </c>
      <c r="R292" s="144" t="str">
        <f t="shared" si="31"/>
        <v>SI</v>
      </c>
      <c r="S292" s="145" t="str">
        <f t="shared" si="32"/>
        <v>Sin Riesgo</v>
      </c>
      <c r="T292" s="169"/>
    </row>
    <row r="293" spans="1:20" s="167" customFormat="1" ht="32.1" customHeight="1">
      <c r="A293" s="419" t="s">
        <v>217</v>
      </c>
      <c r="B293" s="110" t="s">
        <v>1179</v>
      </c>
      <c r="C293" s="502" t="s">
        <v>1180</v>
      </c>
      <c r="D293" s="172">
        <v>255</v>
      </c>
      <c r="E293" s="80"/>
      <c r="F293" s="80"/>
      <c r="G293" s="80"/>
      <c r="H293" s="80"/>
      <c r="I293" s="80"/>
      <c r="J293" s="80"/>
      <c r="K293" s="79">
        <v>0</v>
      </c>
      <c r="L293" s="79">
        <v>0</v>
      </c>
      <c r="M293" s="79">
        <v>0</v>
      </c>
      <c r="N293" s="79">
        <v>0</v>
      </c>
      <c r="O293" s="79">
        <v>19.350000000000001</v>
      </c>
      <c r="P293" s="79">
        <v>19.350000000000001</v>
      </c>
      <c r="Q293" s="139">
        <f>AVERAGE(E293:P293)</f>
        <v>6.45</v>
      </c>
      <c r="R293" s="144" t="str">
        <f t="shared" si="31"/>
        <v>NO</v>
      </c>
      <c r="S293" s="145" t="str">
        <f t="shared" si="32"/>
        <v>Bajo</v>
      </c>
      <c r="T293" s="169"/>
    </row>
    <row r="294" spans="1:20" s="167" customFormat="1" ht="32.1" customHeight="1">
      <c r="A294" s="419" t="s">
        <v>217</v>
      </c>
      <c r="B294" s="110" t="s">
        <v>1181</v>
      </c>
      <c r="C294" s="502" t="s">
        <v>1182</v>
      </c>
      <c r="D294" s="172">
        <v>718</v>
      </c>
      <c r="E294" s="80"/>
      <c r="F294" s="80"/>
      <c r="G294" s="80"/>
      <c r="H294" s="80"/>
      <c r="I294" s="80"/>
      <c r="J294" s="80">
        <v>0</v>
      </c>
      <c r="K294" s="79">
        <v>27.1</v>
      </c>
      <c r="L294" s="79">
        <v>19.350000000000001</v>
      </c>
      <c r="M294" s="79">
        <v>0</v>
      </c>
      <c r="N294" s="79">
        <v>0</v>
      </c>
      <c r="O294" s="79">
        <v>0</v>
      </c>
      <c r="P294" s="79">
        <v>0</v>
      </c>
      <c r="Q294" s="139">
        <f t="shared" si="33"/>
        <v>6.6357142857142861</v>
      </c>
      <c r="R294" s="144" t="str">
        <f t="shared" si="31"/>
        <v>NO</v>
      </c>
      <c r="S294" s="145" t="str">
        <f t="shared" si="32"/>
        <v>Bajo</v>
      </c>
      <c r="T294" s="169"/>
    </row>
    <row r="295" spans="1:20" s="167" customFormat="1" ht="32.1" customHeight="1">
      <c r="A295" s="419" t="s">
        <v>217</v>
      </c>
      <c r="B295" s="110" t="s">
        <v>662</v>
      </c>
      <c r="C295" s="502" t="s">
        <v>1183</v>
      </c>
      <c r="D295" s="172">
        <v>117</v>
      </c>
      <c r="E295" s="80">
        <v>19.350000000000001</v>
      </c>
      <c r="F295" s="80"/>
      <c r="G295" s="80"/>
      <c r="H295" s="80"/>
      <c r="I295" s="80"/>
      <c r="J295" s="80"/>
      <c r="K295" s="79">
        <v>46.45</v>
      </c>
      <c r="L295" s="79">
        <v>0</v>
      </c>
      <c r="M295" s="79"/>
      <c r="N295" s="79">
        <v>0</v>
      </c>
      <c r="O295" s="79"/>
      <c r="P295" s="79"/>
      <c r="Q295" s="139">
        <f t="shared" si="33"/>
        <v>16.450000000000003</v>
      </c>
      <c r="R295" s="144" t="str">
        <f t="shared" si="31"/>
        <v>NO</v>
      </c>
      <c r="S295" s="145" t="str">
        <f t="shared" si="32"/>
        <v>Medio</v>
      </c>
      <c r="T295" s="169"/>
    </row>
    <row r="296" spans="1:20" s="167" customFormat="1" ht="32.1" customHeight="1">
      <c r="A296" s="419" t="s">
        <v>217</v>
      </c>
      <c r="B296" s="110" t="s">
        <v>1184</v>
      </c>
      <c r="C296" s="502" t="s">
        <v>1185</v>
      </c>
      <c r="D296" s="172">
        <v>119</v>
      </c>
      <c r="E296" s="80"/>
      <c r="F296" s="80"/>
      <c r="G296" s="80"/>
      <c r="H296" s="80"/>
      <c r="I296" s="80"/>
      <c r="J296" s="80">
        <v>0</v>
      </c>
      <c r="K296" s="79"/>
      <c r="L296" s="79"/>
      <c r="M296" s="79">
        <v>19.350000000000001</v>
      </c>
      <c r="N296" s="79"/>
      <c r="O296" s="79">
        <v>0</v>
      </c>
      <c r="P296" s="79">
        <v>0</v>
      </c>
      <c r="Q296" s="139">
        <f t="shared" si="33"/>
        <v>4.8375000000000004</v>
      </c>
      <c r="R296" s="144" t="str">
        <f t="shared" si="31"/>
        <v>SI</v>
      </c>
      <c r="S296" s="145" t="str">
        <f t="shared" si="32"/>
        <v>Sin Riesgo</v>
      </c>
      <c r="T296" s="169"/>
    </row>
    <row r="297" spans="1:20" s="167" customFormat="1" ht="32.1" customHeight="1">
      <c r="A297" s="419" t="s">
        <v>217</v>
      </c>
      <c r="B297" s="110" t="s">
        <v>1186</v>
      </c>
      <c r="C297" s="502" t="s">
        <v>1187</v>
      </c>
      <c r="D297" s="172">
        <v>100</v>
      </c>
      <c r="E297" s="80">
        <v>0</v>
      </c>
      <c r="F297" s="80"/>
      <c r="G297" s="80"/>
      <c r="H297" s="80"/>
      <c r="I297" s="80"/>
      <c r="J297" s="80"/>
      <c r="K297" s="79">
        <v>0</v>
      </c>
      <c r="L297" s="79">
        <v>0</v>
      </c>
      <c r="M297" s="79">
        <v>0</v>
      </c>
      <c r="N297" s="79">
        <v>0</v>
      </c>
      <c r="O297" s="79"/>
      <c r="P297" s="79">
        <v>0</v>
      </c>
      <c r="Q297" s="139">
        <f t="shared" si="33"/>
        <v>0</v>
      </c>
      <c r="R297" s="144" t="str">
        <f t="shared" si="31"/>
        <v>SI</v>
      </c>
      <c r="S297" s="145" t="str">
        <f t="shared" si="32"/>
        <v>Sin Riesgo</v>
      </c>
      <c r="T297" s="169"/>
    </row>
    <row r="298" spans="1:20" s="167" customFormat="1" ht="32.1" customHeight="1">
      <c r="A298" s="419" t="s">
        <v>217</v>
      </c>
      <c r="B298" s="110" t="s">
        <v>1188</v>
      </c>
      <c r="C298" s="502" t="s">
        <v>1189</v>
      </c>
      <c r="D298" s="172"/>
      <c r="E298" s="80"/>
      <c r="F298" s="80"/>
      <c r="G298" s="80"/>
      <c r="H298" s="80"/>
      <c r="I298" s="80"/>
      <c r="J298" s="80"/>
      <c r="K298" s="79"/>
      <c r="L298" s="79"/>
      <c r="M298" s="79"/>
      <c r="N298" s="79"/>
      <c r="O298" s="79"/>
      <c r="P298" s="79"/>
      <c r="Q298" s="139" t="e">
        <f t="shared" si="33"/>
        <v>#DIV/0!</v>
      </c>
      <c r="R298" s="144" t="e">
        <f t="shared" si="31"/>
        <v>#DIV/0!</v>
      </c>
      <c r="S298" s="145" t="e">
        <f t="shared" si="32"/>
        <v>#DIV/0!</v>
      </c>
      <c r="T298" s="169"/>
    </row>
    <row r="299" spans="1:20" s="167" customFormat="1" ht="32.1" customHeight="1">
      <c r="A299" s="419" t="s">
        <v>217</v>
      </c>
      <c r="B299" s="110" t="s">
        <v>20</v>
      </c>
      <c r="C299" s="502" t="s">
        <v>1190</v>
      </c>
      <c r="D299" s="172">
        <v>440</v>
      </c>
      <c r="E299" s="80"/>
      <c r="F299" s="80"/>
      <c r="G299" s="80"/>
      <c r="H299" s="80"/>
      <c r="I299" s="80"/>
      <c r="J299" s="80">
        <v>19.399999999999999</v>
      </c>
      <c r="K299" s="79">
        <v>0</v>
      </c>
      <c r="L299" s="79">
        <v>0</v>
      </c>
      <c r="M299" s="79">
        <v>0</v>
      </c>
      <c r="N299" s="79">
        <v>0</v>
      </c>
      <c r="O299" s="79">
        <v>0</v>
      </c>
      <c r="P299" s="79">
        <v>0</v>
      </c>
      <c r="Q299" s="139">
        <f t="shared" si="33"/>
        <v>2.7714285714285714</v>
      </c>
      <c r="R299" s="144" t="str">
        <f t="shared" si="31"/>
        <v>SI</v>
      </c>
      <c r="S299" s="145" t="str">
        <f t="shared" si="32"/>
        <v>Sin Riesgo</v>
      </c>
      <c r="T299" s="169"/>
    </row>
    <row r="300" spans="1:20" s="167" customFormat="1" ht="32.1" customHeight="1">
      <c r="A300" s="419" t="s">
        <v>217</v>
      </c>
      <c r="B300" s="110" t="s">
        <v>1191</v>
      </c>
      <c r="C300" s="502" t="s">
        <v>1192</v>
      </c>
      <c r="D300" s="172">
        <v>245.304</v>
      </c>
      <c r="E300" s="80"/>
      <c r="F300" s="80"/>
      <c r="G300" s="80"/>
      <c r="H300" s="80"/>
      <c r="I300" s="80"/>
      <c r="J300" s="80">
        <v>0</v>
      </c>
      <c r="K300" s="79"/>
      <c r="L300" s="79">
        <v>0</v>
      </c>
      <c r="M300" s="79">
        <v>27.1</v>
      </c>
      <c r="N300" s="79">
        <v>0</v>
      </c>
      <c r="O300" s="79"/>
      <c r="P300" s="79">
        <v>0</v>
      </c>
      <c r="Q300" s="139">
        <f t="shared" si="33"/>
        <v>5.42</v>
      </c>
      <c r="R300" s="144" t="str">
        <f t="shared" si="31"/>
        <v>NO</v>
      </c>
      <c r="S300" s="145" t="str">
        <f t="shared" si="32"/>
        <v>Bajo</v>
      </c>
      <c r="T300" s="169"/>
    </row>
    <row r="301" spans="1:20" s="167" customFormat="1" ht="32.1" customHeight="1">
      <c r="A301" s="419" t="s">
        <v>217</v>
      </c>
      <c r="B301" s="110" t="s">
        <v>698</v>
      </c>
      <c r="C301" s="502" t="s">
        <v>1193</v>
      </c>
      <c r="D301" s="172">
        <v>93</v>
      </c>
      <c r="E301" s="80"/>
      <c r="F301" s="80"/>
      <c r="G301" s="80"/>
      <c r="H301" s="80"/>
      <c r="I301" s="80"/>
      <c r="J301" s="80"/>
      <c r="K301" s="79"/>
      <c r="L301" s="79">
        <v>0</v>
      </c>
      <c r="M301" s="79"/>
      <c r="N301" s="79"/>
      <c r="O301" s="79"/>
      <c r="P301" s="79"/>
      <c r="Q301" s="139">
        <f t="shared" si="33"/>
        <v>0</v>
      </c>
      <c r="R301" s="144" t="str">
        <f t="shared" si="31"/>
        <v>SI</v>
      </c>
      <c r="S301" s="145" t="str">
        <f t="shared" si="32"/>
        <v>Sin Riesgo</v>
      </c>
      <c r="T301" s="169"/>
    </row>
    <row r="302" spans="1:20" s="167" customFormat="1" ht="32.1" customHeight="1">
      <c r="A302" s="419" t="s">
        <v>217</v>
      </c>
      <c r="B302" s="110" t="s">
        <v>1194</v>
      </c>
      <c r="C302" s="502" t="s">
        <v>1195</v>
      </c>
      <c r="D302" s="172">
        <v>174</v>
      </c>
      <c r="E302" s="80"/>
      <c r="F302" s="80"/>
      <c r="G302" s="80"/>
      <c r="H302" s="80"/>
      <c r="I302" s="80"/>
      <c r="J302" s="80"/>
      <c r="K302" s="79">
        <v>19.399999999999999</v>
      </c>
      <c r="L302" s="79"/>
      <c r="M302" s="79"/>
      <c r="N302" s="79"/>
      <c r="O302" s="79"/>
      <c r="P302" s="79">
        <v>0</v>
      </c>
      <c r="Q302" s="139">
        <f t="shared" si="33"/>
        <v>9.6999999999999993</v>
      </c>
      <c r="R302" s="144" t="str">
        <f t="shared" si="31"/>
        <v>NO</v>
      </c>
      <c r="S302" s="145" t="str">
        <f t="shared" si="32"/>
        <v>Bajo</v>
      </c>
      <c r="T302" s="169"/>
    </row>
    <row r="303" spans="1:20" s="167" customFormat="1" ht="32.1" customHeight="1">
      <c r="A303" s="419" t="s">
        <v>217</v>
      </c>
      <c r="B303" s="110" t="s">
        <v>1155</v>
      </c>
      <c r="C303" s="502" t="s">
        <v>1196</v>
      </c>
      <c r="D303" s="172">
        <v>107</v>
      </c>
      <c r="E303" s="80"/>
      <c r="F303" s="80"/>
      <c r="G303" s="80"/>
      <c r="H303" s="80"/>
      <c r="I303" s="80"/>
      <c r="J303" s="80">
        <v>0</v>
      </c>
      <c r="K303" s="79"/>
      <c r="L303" s="79"/>
      <c r="M303" s="79">
        <v>38.700000000000003</v>
      </c>
      <c r="N303" s="79"/>
      <c r="O303" s="79"/>
      <c r="P303" s="79"/>
      <c r="Q303" s="139">
        <f t="shared" si="33"/>
        <v>19.350000000000001</v>
      </c>
      <c r="R303" s="144" t="str">
        <f t="shared" si="31"/>
        <v>NO</v>
      </c>
      <c r="S303" s="145" t="str">
        <f t="shared" si="32"/>
        <v>Medio</v>
      </c>
      <c r="T303" s="169"/>
    </row>
    <row r="304" spans="1:20" s="167" customFormat="1" ht="32.1" customHeight="1">
      <c r="A304" s="419" t="s">
        <v>217</v>
      </c>
      <c r="B304" s="110" t="s">
        <v>1197</v>
      </c>
      <c r="C304" s="502" t="s">
        <v>1198</v>
      </c>
      <c r="D304" s="172"/>
      <c r="E304" s="80"/>
      <c r="F304" s="80"/>
      <c r="G304" s="80"/>
      <c r="H304" s="80"/>
      <c r="I304" s="80"/>
      <c r="J304" s="80"/>
      <c r="K304" s="79"/>
      <c r="L304" s="79"/>
      <c r="M304" s="79"/>
      <c r="N304" s="79"/>
      <c r="O304" s="79"/>
      <c r="P304" s="79"/>
      <c r="Q304" s="139" t="e">
        <f t="shared" si="33"/>
        <v>#DIV/0!</v>
      </c>
      <c r="R304" s="144" t="e">
        <f t="shared" si="31"/>
        <v>#DIV/0!</v>
      </c>
      <c r="S304" s="145" t="e">
        <f t="shared" si="32"/>
        <v>#DIV/0!</v>
      </c>
      <c r="T304" s="169"/>
    </row>
    <row r="305" spans="1:20" s="167" customFormat="1" ht="32.1" customHeight="1">
      <c r="A305" s="419" t="s">
        <v>217</v>
      </c>
      <c r="B305" s="110" t="s">
        <v>1181</v>
      </c>
      <c r="C305" s="502" t="s">
        <v>1199</v>
      </c>
      <c r="D305" s="172">
        <v>588</v>
      </c>
      <c r="E305" s="80"/>
      <c r="F305" s="80"/>
      <c r="G305" s="80"/>
      <c r="H305" s="80"/>
      <c r="I305" s="80"/>
      <c r="J305" s="80"/>
      <c r="K305" s="79"/>
      <c r="L305" s="79">
        <v>0</v>
      </c>
      <c r="M305" s="79"/>
      <c r="N305" s="79"/>
      <c r="O305" s="79">
        <v>0</v>
      </c>
      <c r="P305" s="79"/>
      <c r="Q305" s="139">
        <f t="shared" si="33"/>
        <v>0</v>
      </c>
      <c r="R305" s="144" t="str">
        <f t="shared" si="31"/>
        <v>SI</v>
      </c>
      <c r="S305" s="145" t="str">
        <f t="shared" si="32"/>
        <v>Sin Riesgo</v>
      </c>
      <c r="T305" s="169"/>
    </row>
    <row r="306" spans="1:20" s="167" customFormat="1" ht="32.1" customHeight="1">
      <c r="A306" s="419" t="s">
        <v>217</v>
      </c>
      <c r="B306" s="110" t="s">
        <v>1200</v>
      </c>
      <c r="C306" s="502" t="s">
        <v>1201</v>
      </c>
      <c r="D306" s="172">
        <v>92</v>
      </c>
      <c r="E306" s="80"/>
      <c r="F306" s="80"/>
      <c r="G306" s="80"/>
      <c r="H306" s="80"/>
      <c r="I306" s="80"/>
      <c r="J306" s="80"/>
      <c r="K306" s="79"/>
      <c r="L306" s="79"/>
      <c r="M306" s="79"/>
      <c r="N306" s="79"/>
      <c r="O306" s="79">
        <v>0</v>
      </c>
      <c r="P306" s="79"/>
      <c r="Q306" s="139">
        <f t="shared" si="33"/>
        <v>0</v>
      </c>
      <c r="R306" s="144" t="str">
        <f t="shared" si="31"/>
        <v>SI</v>
      </c>
      <c r="S306" s="145" t="str">
        <f t="shared" si="32"/>
        <v>Sin Riesgo</v>
      </c>
      <c r="T306" s="169"/>
    </row>
    <row r="307" spans="1:20" s="167" customFormat="1" ht="32.1" customHeight="1">
      <c r="A307" s="419" t="s">
        <v>217</v>
      </c>
      <c r="B307" s="110" t="s">
        <v>1202</v>
      </c>
      <c r="C307" s="502" t="s">
        <v>1203</v>
      </c>
      <c r="D307" s="172">
        <v>65</v>
      </c>
      <c r="E307" s="80">
        <v>0</v>
      </c>
      <c r="F307" s="80"/>
      <c r="G307" s="80"/>
      <c r="H307" s="80"/>
      <c r="I307" s="80"/>
      <c r="J307" s="80"/>
      <c r="K307" s="79">
        <v>0</v>
      </c>
      <c r="L307" s="79">
        <v>0</v>
      </c>
      <c r="M307" s="79"/>
      <c r="N307" s="79">
        <v>0</v>
      </c>
      <c r="O307" s="79">
        <v>0</v>
      </c>
      <c r="P307" s="79">
        <v>0</v>
      </c>
      <c r="Q307" s="139">
        <f t="shared" si="33"/>
        <v>0</v>
      </c>
      <c r="R307" s="144" t="str">
        <f t="shared" si="31"/>
        <v>SI</v>
      </c>
      <c r="S307" s="145" t="str">
        <f t="shared" si="32"/>
        <v>Sin Riesgo</v>
      </c>
      <c r="T307" s="169"/>
    </row>
    <row r="308" spans="1:20" s="167" customFormat="1" ht="32.1" customHeight="1">
      <c r="A308" s="419" t="s">
        <v>217</v>
      </c>
      <c r="B308" s="110" t="s">
        <v>1165</v>
      </c>
      <c r="C308" s="502" t="s">
        <v>1204</v>
      </c>
      <c r="D308" s="172">
        <v>174</v>
      </c>
      <c r="E308" s="80">
        <v>0</v>
      </c>
      <c r="F308" s="80"/>
      <c r="G308" s="80"/>
      <c r="H308" s="80"/>
      <c r="I308" s="80"/>
      <c r="J308" s="80"/>
      <c r="K308" s="79">
        <v>0</v>
      </c>
      <c r="L308" s="79">
        <v>19.350000000000001</v>
      </c>
      <c r="M308" s="79">
        <v>19.350000000000001</v>
      </c>
      <c r="N308" s="79">
        <v>0</v>
      </c>
      <c r="O308" s="79">
        <v>0</v>
      </c>
      <c r="P308" s="79">
        <v>0</v>
      </c>
      <c r="Q308" s="139">
        <f t="shared" si="33"/>
        <v>5.5285714285714294</v>
      </c>
      <c r="R308" s="144" t="str">
        <f t="shared" si="31"/>
        <v>NO</v>
      </c>
      <c r="S308" s="145" t="str">
        <f t="shared" si="32"/>
        <v>Bajo</v>
      </c>
      <c r="T308" s="169"/>
    </row>
    <row r="309" spans="1:20" s="167" customFormat="1" ht="32.1" customHeight="1">
      <c r="A309" s="419" t="s">
        <v>217</v>
      </c>
      <c r="B309" s="110" t="s">
        <v>1159</v>
      </c>
      <c r="C309" s="502" t="s">
        <v>1205</v>
      </c>
      <c r="D309" s="172">
        <v>609</v>
      </c>
      <c r="E309" s="80">
        <v>38.700000000000003</v>
      </c>
      <c r="F309" s="80"/>
      <c r="G309" s="80"/>
      <c r="H309" s="80"/>
      <c r="I309" s="80"/>
      <c r="J309" s="80">
        <v>0</v>
      </c>
      <c r="K309" s="79">
        <v>19.350000000000001</v>
      </c>
      <c r="L309" s="79">
        <v>0</v>
      </c>
      <c r="M309" s="79">
        <v>0</v>
      </c>
      <c r="N309" s="79">
        <v>0</v>
      </c>
      <c r="O309" s="79">
        <v>0</v>
      </c>
      <c r="P309" s="79">
        <v>0</v>
      </c>
      <c r="Q309" s="139">
        <f t="shared" si="33"/>
        <v>7.2562500000000005</v>
      </c>
      <c r="R309" s="144" t="str">
        <f t="shared" si="31"/>
        <v>NO</v>
      </c>
      <c r="S309" s="145" t="str">
        <f t="shared" si="32"/>
        <v>Bajo</v>
      </c>
      <c r="T309" s="169"/>
    </row>
    <row r="310" spans="1:20" s="167" customFormat="1" ht="32.1" customHeight="1">
      <c r="A310" s="419" t="s">
        <v>217</v>
      </c>
      <c r="B310" s="110" t="s">
        <v>1206</v>
      </c>
      <c r="C310" s="502" t="s">
        <v>1207</v>
      </c>
      <c r="D310" s="172">
        <v>390</v>
      </c>
      <c r="E310" s="80">
        <v>0</v>
      </c>
      <c r="F310" s="80"/>
      <c r="G310" s="80"/>
      <c r="H310" s="80"/>
      <c r="I310" s="80"/>
      <c r="J310" s="80"/>
      <c r="K310" s="79">
        <v>0</v>
      </c>
      <c r="L310" s="79">
        <v>0</v>
      </c>
      <c r="M310" s="79">
        <v>0</v>
      </c>
      <c r="N310" s="79">
        <v>0</v>
      </c>
      <c r="O310" s="79">
        <v>0</v>
      </c>
      <c r="P310" s="79">
        <v>0</v>
      </c>
      <c r="Q310" s="139">
        <f t="shared" si="33"/>
        <v>0</v>
      </c>
      <c r="R310" s="144" t="str">
        <f t="shared" si="31"/>
        <v>SI</v>
      </c>
      <c r="S310" s="145" t="str">
        <f t="shared" si="32"/>
        <v>Sin Riesgo</v>
      </c>
      <c r="T310" s="169"/>
    </row>
    <row r="311" spans="1:20" s="167" customFormat="1" ht="32.1" customHeight="1">
      <c r="A311" s="419" t="s">
        <v>217</v>
      </c>
      <c r="B311" s="110" t="s">
        <v>1208</v>
      </c>
      <c r="C311" s="502" t="s">
        <v>1209</v>
      </c>
      <c r="D311" s="172"/>
      <c r="E311" s="80"/>
      <c r="F311" s="80"/>
      <c r="G311" s="80"/>
      <c r="H311" s="80"/>
      <c r="I311" s="80"/>
      <c r="J311" s="80"/>
      <c r="K311" s="79"/>
      <c r="L311" s="79"/>
      <c r="M311" s="79"/>
      <c r="N311" s="79"/>
      <c r="O311" s="79"/>
      <c r="P311" s="79"/>
      <c r="Q311" s="139" t="e">
        <f t="shared" si="33"/>
        <v>#DIV/0!</v>
      </c>
      <c r="R311" s="144" t="e">
        <f t="shared" si="31"/>
        <v>#DIV/0!</v>
      </c>
      <c r="S311" s="145" t="e">
        <f t="shared" si="32"/>
        <v>#DIV/0!</v>
      </c>
      <c r="T311" s="169"/>
    </row>
    <row r="312" spans="1:20" s="167" customFormat="1" ht="32.1" customHeight="1">
      <c r="A312" s="419" t="s">
        <v>217</v>
      </c>
      <c r="B312" s="110" t="s">
        <v>1210</v>
      </c>
      <c r="C312" s="502" t="s">
        <v>1211</v>
      </c>
      <c r="D312" s="172">
        <v>153</v>
      </c>
      <c r="E312" s="80">
        <v>0</v>
      </c>
      <c r="F312" s="80"/>
      <c r="G312" s="80"/>
      <c r="H312" s="80"/>
      <c r="I312" s="80"/>
      <c r="J312" s="80">
        <v>0</v>
      </c>
      <c r="K312" s="79"/>
      <c r="L312" s="79">
        <v>0</v>
      </c>
      <c r="M312" s="79">
        <v>0</v>
      </c>
      <c r="N312" s="79">
        <v>0</v>
      </c>
      <c r="O312" s="79">
        <v>38.71</v>
      </c>
      <c r="P312" s="79">
        <v>0</v>
      </c>
      <c r="Q312" s="139">
        <f t="shared" si="33"/>
        <v>5.53</v>
      </c>
      <c r="R312" s="144" t="str">
        <f t="shared" si="31"/>
        <v>NO</v>
      </c>
      <c r="S312" s="145" t="str">
        <f t="shared" si="32"/>
        <v>Bajo</v>
      </c>
      <c r="T312" s="169"/>
    </row>
    <row r="313" spans="1:20" s="167" customFormat="1" ht="32.1" customHeight="1">
      <c r="A313" s="419" t="s">
        <v>217</v>
      </c>
      <c r="B313" s="110" t="s">
        <v>1212</v>
      </c>
      <c r="C313" s="502" t="s">
        <v>1213</v>
      </c>
      <c r="D313" s="172">
        <v>353</v>
      </c>
      <c r="E313" s="80">
        <v>38.71</v>
      </c>
      <c r="F313" s="80"/>
      <c r="G313" s="80"/>
      <c r="H313" s="80"/>
      <c r="I313" s="80"/>
      <c r="J313" s="80">
        <v>0</v>
      </c>
      <c r="K313" s="79"/>
      <c r="L313" s="79"/>
      <c r="M313" s="79"/>
      <c r="N313" s="79"/>
      <c r="O313" s="79">
        <v>19.350000000000001</v>
      </c>
      <c r="P313" s="79">
        <v>0</v>
      </c>
      <c r="Q313" s="139">
        <f t="shared" si="33"/>
        <v>14.515000000000001</v>
      </c>
      <c r="R313" s="144" t="str">
        <f t="shared" si="31"/>
        <v>NO</v>
      </c>
      <c r="S313" s="145" t="str">
        <f t="shared" si="32"/>
        <v>Medio</v>
      </c>
      <c r="T313" s="169"/>
    </row>
    <row r="314" spans="1:20" s="167" customFormat="1" ht="32.1" customHeight="1">
      <c r="A314" s="419" t="s">
        <v>217</v>
      </c>
      <c r="B314" s="110" t="s">
        <v>1214</v>
      </c>
      <c r="C314" s="502" t="s">
        <v>1215</v>
      </c>
      <c r="D314" s="172">
        <v>99</v>
      </c>
      <c r="E314" s="80"/>
      <c r="F314" s="80"/>
      <c r="G314" s="80"/>
      <c r="H314" s="80"/>
      <c r="I314" s="80"/>
      <c r="J314" s="80"/>
      <c r="K314" s="79"/>
      <c r="L314" s="79"/>
      <c r="M314" s="79"/>
      <c r="N314" s="79">
        <v>0</v>
      </c>
      <c r="O314" s="79"/>
      <c r="P314" s="79"/>
      <c r="Q314" s="139">
        <f t="shared" si="33"/>
        <v>0</v>
      </c>
      <c r="R314" s="144" t="str">
        <f t="shared" si="31"/>
        <v>SI</v>
      </c>
      <c r="S314" s="145" t="str">
        <f t="shared" si="32"/>
        <v>Sin Riesgo</v>
      </c>
      <c r="T314" s="169"/>
    </row>
    <row r="315" spans="1:20" s="167" customFormat="1" ht="32.1" customHeight="1">
      <c r="A315" s="419" t="s">
        <v>217</v>
      </c>
      <c r="B315" s="110" t="s">
        <v>1216</v>
      </c>
      <c r="C315" s="502" t="s">
        <v>1217</v>
      </c>
      <c r="D315" s="172">
        <v>46</v>
      </c>
      <c r="E315" s="80"/>
      <c r="F315" s="80"/>
      <c r="G315" s="80"/>
      <c r="H315" s="80"/>
      <c r="I315" s="80"/>
      <c r="J315" s="80"/>
      <c r="K315" s="79"/>
      <c r="L315" s="79">
        <v>0</v>
      </c>
      <c r="M315" s="79"/>
      <c r="N315" s="79"/>
      <c r="O315" s="79"/>
      <c r="P315" s="79"/>
      <c r="Q315" s="139">
        <f t="shared" si="33"/>
        <v>0</v>
      </c>
      <c r="R315" s="144" t="str">
        <f t="shared" si="31"/>
        <v>SI</v>
      </c>
      <c r="S315" s="145" t="str">
        <f t="shared" si="32"/>
        <v>Sin Riesgo</v>
      </c>
      <c r="T315" s="169"/>
    </row>
    <row r="316" spans="1:20" s="167" customFormat="1" ht="32.1" customHeight="1">
      <c r="A316" s="419" t="s">
        <v>217</v>
      </c>
      <c r="B316" s="110" t="s">
        <v>1218</v>
      </c>
      <c r="C316" s="502" t="s">
        <v>1219</v>
      </c>
      <c r="D316" s="172">
        <v>103</v>
      </c>
      <c r="E316" s="80"/>
      <c r="F316" s="80"/>
      <c r="G316" s="80"/>
      <c r="H316" s="80"/>
      <c r="I316" s="80"/>
      <c r="J316" s="80"/>
      <c r="K316" s="79">
        <v>0</v>
      </c>
      <c r="L316" s="79"/>
      <c r="M316" s="79"/>
      <c r="N316" s="79"/>
      <c r="O316" s="79"/>
      <c r="P316" s="79"/>
      <c r="Q316" s="139">
        <f t="shared" si="33"/>
        <v>0</v>
      </c>
      <c r="R316" s="144" t="str">
        <f t="shared" si="31"/>
        <v>SI</v>
      </c>
      <c r="S316" s="145" t="str">
        <f t="shared" si="32"/>
        <v>Sin Riesgo</v>
      </c>
      <c r="T316" s="169"/>
    </row>
    <row r="317" spans="1:20" s="167" customFormat="1" ht="32.1" customHeight="1">
      <c r="A317" s="419" t="s">
        <v>217</v>
      </c>
      <c r="B317" s="110" t="s">
        <v>1220</v>
      </c>
      <c r="C317" s="502" t="s">
        <v>1221</v>
      </c>
      <c r="D317" s="172">
        <v>65</v>
      </c>
      <c r="E317" s="80"/>
      <c r="F317" s="80"/>
      <c r="G317" s="80"/>
      <c r="H317" s="80"/>
      <c r="I317" s="80"/>
      <c r="J317" s="80"/>
      <c r="K317" s="79"/>
      <c r="L317" s="79"/>
      <c r="M317" s="79">
        <v>0</v>
      </c>
      <c r="N317" s="79"/>
      <c r="O317" s="79"/>
      <c r="P317" s="79"/>
      <c r="Q317" s="139">
        <f t="shared" si="33"/>
        <v>0</v>
      </c>
      <c r="R317" s="144" t="str">
        <f t="shared" si="31"/>
        <v>SI</v>
      </c>
      <c r="S317" s="145" t="str">
        <f t="shared" si="32"/>
        <v>Sin Riesgo</v>
      </c>
      <c r="T317" s="169"/>
    </row>
    <row r="318" spans="1:20" s="167" customFormat="1" ht="32.1" customHeight="1">
      <c r="A318" s="419" t="s">
        <v>217</v>
      </c>
      <c r="B318" s="110" t="s">
        <v>1222</v>
      </c>
      <c r="C318" s="502" t="s">
        <v>1223</v>
      </c>
      <c r="D318" s="172">
        <v>74</v>
      </c>
      <c r="E318" s="80"/>
      <c r="F318" s="80"/>
      <c r="G318" s="80"/>
      <c r="H318" s="80"/>
      <c r="I318" s="80"/>
      <c r="J318" s="80"/>
      <c r="K318" s="79"/>
      <c r="L318" s="79"/>
      <c r="M318" s="79"/>
      <c r="N318" s="79"/>
      <c r="O318" s="79">
        <v>19.350000000000001</v>
      </c>
      <c r="P318" s="79"/>
      <c r="Q318" s="139">
        <f t="shared" si="33"/>
        <v>19.350000000000001</v>
      </c>
      <c r="R318" s="144" t="str">
        <f t="shared" ref="R318:R383" si="34">IF(Q318&lt;5,"SI","NO")</f>
        <v>NO</v>
      </c>
      <c r="S318" s="145" t="str">
        <f t="shared" si="32"/>
        <v>Medio</v>
      </c>
      <c r="T318" s="169"/>
    </row>
    <row r="319" spans="1:20" s="167" customFormat="1" ht="32.1" customHeight="1">
      <c r="A319" s="419" t="s">
        <v>217</v>
      </c>
      <c r="B319" s="110" t="s">
        <v>99</v>
      </c>
      <c r="C319" s="502" t="s">
        <v>1224</v>
      </c>
      <c r="D319" s="172">
        <v>163</v>
      </c>
      <c r="E319" s="80">
        <v>27.1</v>
      </c>
      <c r="F319" s="80"/>
      <c r="G319" s="80"/>
      <c r="H319" s="80"/>
      <c r="I319" s="80"/>
      <c r="J319" s="80">
        <v>0</v>
      </c>
      <c r="K319" s="79">
        <v>38.700000000000003</v>
      </c>
      <c r="L319" s="79">
        <v>38.700000000000003</v>
      </c>
      <c r="M319" s="79">
        <v>0</v>
      </c>
      <c r="N319" s="79">
        <v>0</v>
      </c>
      <c r="O319" s="79">
        <v>19.350000000000001</v>
      </c>
      <c r="P319" s="79"/>
      <c r="Q319" s="139">
        <f t="shared" si="33"/>
        <v>17.692857142857147</v>
      </c>
      <c r="R319" s="144" t="str">
        <f t="shared" si="34"/>
        <v>NO</v>
      </c>
      <c r="S319" s="145" t="str">
        <f t="shared" si="32"/>
        <v>Medio</v>
      </c>
      <c r="T319" s="169"/>
    </row>
    <row r="320" spans="1:20" s="167" customFormat="1" ht="32.1" customHeight="1">
      <c r="A320" s="419" t="s">
        <v>217</v>
      </c>
      <c r="B320" s="110" t="s">
        <v>1225</v>
      </c>
      <c r="C320" s="502" t="s">
        <v>1226</v>
      </c>
      <c r="D320" s="172"/>
      <c r="E320" s="80"/>
      <c r="F320" s="80"/>
      <c r="G320" s="80"/>
      <c r="H320" s="80"/>
      <c r="I320" s="80"/>
      <c r="J320" s="80"/>
      <c r="K320" s="79"/>
      <c r="L320" s="79"/>
      <c r="M320" s="79"/>
      <c r="N320" s="79"/>
      <c r="O320" s="79"/>
      <c r="P320" s="79"/>
      <c r="Q320" s="139" t="e">
        <f t="shared" si="33"/>
        <v>#DIV/0!</v>
      </c>
      <c r="R320" s="144" t="e">
        <f t="shared" si="34"/>
        <v>#DIV/0!</v>
      </c>
      <c r="S320" s="145" t="e">
        <f t="shared" si="32"/>
        <v>#DIV/0!</v>
      </c>
      <c r="T320" s="169"/>
    </row>
    <row r="321" spans="1:20" s="167" customFormat="1" ht="32.1" customHeight="1">
      <c r="A321" s="419" t="s">
        <v>217</v>
      </c>
      <c r="B321" s="110" t="s">
        <v>1227</v>
      </c>
      <c r="C321" s="502" t="s">
        <v>1228</v>
      </c>
      <c r="D321" s="172"/>
      <c r="E321" s="80"/>
      <c r="F321" s="80"/>
      <c r="G321" s="80"/>
      <c r="H321" s="80"/>
      <c r="I321" s="80"/>
      <c r="J321" s="80"/>
      <c r="K321" s="79"/>
      <c r="L321" s="79"/>
      <c r="M321" s="79"/>
      <c r="N321" s="79"/>
      <c r="O321" s="79"/>
      <c r="P321" s="79"/>
      <c r="Q321" s="139" t="e">
        <f t="shared" si="33"/>
        <v>#DIV/0!</v>
      </c>
      <c r="R321" s="144" t="e">
        <f t="shared" si="34"/>
        <v>#DIV/0!</v>
      </c>
      <c r="S321" s="145" t="e">
        <f t="shared" si="32"/>
        <v>#DIV/0!</v>
      </c>
      <c r="T321" s="169"/>
    </row>
    <row r="322" spans="1:20" s="167" customFormat="1" ht="32.1" customHeight="1">
      <c r="A322" s="419" t="s">
        <v>217</v>
      </c>
      <c r="B322" s="110" t="s">
        <v>70</v>
      </c>
      <c r="C322" s="502" t="s">
        <v>1229</v>
      </c>
      <c r="D322" s="172"/>
      <c r="E322" s="80"/>
      <c r="F322" s="80"/>
      <c r="G322" s="80"/>
      <c r="H322" s="80"/>
      <c r="I322" s="80"/>
      <c r="J322" s="80"/>
      <c r="K322" s="79"/>
      <c r="L322" s="79"/>
      <c r="M322" s="79"/>
      <c r="N322" s="79"/>
      <c r="O322" s="79"/>
      <c r="P322" s="79"/>
      <c r="Q322" s="139" t="e">
        <f t="shared" si="33"/>
        <v>#DIV/0!</v>
      </c>
      <c r="R322" s="144" t="e">
        <f t="shared" si="34"/>
        <v>#DIV/0!</v>
      </c>
      <c r="S322" s="145" t="e">
        <f t="shared" si="32"/>
        <v>#DIV/0!</v>
      </c>
      <c r="T322" s="169"/>
    </row>
    <row r="323" spans="1:20" s="167" customFormat="1" ht="32.1" customHeight="1">
      <c r="A323" s="419" t="s">
        <v>217</v>
      </c>
      <c r="B323" s="110" t="s">
        <v>1230</v>
      </c>
      <c r="C323" s="502" t="s">
        <v>1231</v>
      </c>
      <c r="D323" s="172">
        <v>65</v>
      </c>
      <c r="E323" s="80"/>
      <c r="F323" s="80"/>
      <c r="G323" s="80"/>
      <c r="H323" s="80"/>
      <c r="I323" s="80"/>
      <c r="J323" s="80"/>
      <c r="K323" s="79">
        <v>0</v>
      </c>
      <c r="L323" s="79"/>
      <c r="M323" s="79"/>
      <c r="N323" s="79"/>
      <c r="O323" s="79"/>
      <c r="P323" s="79"/>
      <c r="Q323" s="139">
        <f t="shared" si="33"/>
        <v>0</v>
      </c>
      <c r="R323" s="144" t="str">
        <f t="shared" si="34"/>
        <v>SI</v>
      </c>
      <c r="S323" s="145" t="str">
        <f t="shared" si="32"/>
        <v>Sin Riesgo</v>
      </c>
      <c r="T323" s="169"/>
    </row>
    <row r="324" spans="1:20" s="167" customFormat="1" ht="32.1" customHeight="1">
      <c r="A324" s="419" t="s">
        <v>217</v>
      </c>
      <c r="B324" s="110" t="s">
        <v>1232</v>
      </c>
      <c r="C324" s="502" t="s">
        <v>1233</v>
      </c>
      <c r="D324" s="172"/>
      <c r="E324" s="80"/>
      <c r="F324" s="80"/>
      <c r="G324" s="80"/>
      <c r="H324" s="80"/>
      <c r="I324" s="80"/>
      <c r="J324" s="80"/>
      <c r="K324" s="79"/>
      <c r="L324" s="79"/>
      <c r="M324" s="79"/>
      <c r="N324" s="79"/>
      <c r="O324" s="79"/>
      <c r="P324" s="79"/>
      <c r="Q324" s="139" t="e">
        <f t="shared" si="33"/>
        <v>#DIV/0!</v>
      </c>
      <c r="R324" s="144" t="e">
        <f t="shared" si="34"/>
        <v>#DIV/0!</v>
      </c>
      <c r="S324" s="145" t="e">
        <f t="shared" si="32"/>
        <v>#DIV/0!</v>
      </c>
      <c r="T324" s="169"/>
    </row>
    <row r="325" spans="1:20" s="167" customFormat="1" ht="32.1" customHeight="1">
      <c r="A325" s="419" t="s">
        <v>217</v>
      </c>
      <c r="B325" s="110" t="s">
        <v>1234</v>
      </c>
      <c r="C325" s="502" t="s">
        <v>1235</v>
      </c>
      <c r="D325" s="172">
        <v>134</v>
      </c>
      <c r="E325" s="80">
        <v>0</v>
      </c>
      <c r="F325" s="80"/>
      <c r="G325" s="80"/>
      <c r="H325" s="80"/>
      <c r="I325" s="80"/>
      <c r="J325" s="80">
        <v>0</v>
      </c>
      <c r="K325" s="79">
        <v>0</v>
      </c>
      <c r="L325" s="79">
        <v>0</v>
      </c>
      <c r="M325" s="79">
        <v>19.350000000000001</v>
      </c>
      <c r="N325" s="79">
        <v>0</v>
      </c>
      <c r="O325" s="79">
        <v>0</v>
      </c>
      <c r="P325" s="79">
        <v>0</v>
      </c>
      <c r="Q325" s="139">
        <f t="shared" si="33"/>
        <v>2.4187500000000002</v>
      </c>
      <c r="R325" s="144" t="str">
        <f t="shared" si="34"/>
        <v>SI</v>
      </c>
      <c r="S325" s="145" t="str">
        <f t="shared" si="32"/>
        <v>Sin Riesgo</v>
      </c>
      <c r="T325" s="169"/>
    </row>
    <row r="326" spans="1:20" s="167" customFormat="1" ht="32.1" customHeight="1">
      <c r="A326" s="419" t="s">
        <v>217</v>
      </c>
      <c r="B326" s="110" t="s">
        <v>1236</v>
      </c>
      <c r="C326" s="502" t="s">
        <v>1237</v>
      </c>
      <c r="D326" s="172">
        <v>160</v>
      </c>
      <c r="E326" s="80"/>
      <c r="F326" s="80"/>
      <c r="G326" s="80"/>
      <c r="H326" s="80"/>
      <c r="I326" s="80"/>
      <c r="J326" s="80">
        <v>19.350000000000001</v>
      </c>
      <c r="K326" s="79">
        <v>0</v>
      </c>
      <c r="L326" s="79">
        <v>0</v>
      </c>
      <c r="M326" s="79">
        <v>0</v>
      </c>
      <c r="N326" s="79">
        <v>0</v>
      </c>
      <c r="O326" s="79">
        <v>0</v>
      </c>
      <c r="P326" s="79">
        <v>0</v>
      </c>
      <c r="Q326" s="139">
        <f t="shared" si="33"/>
        <v>2.7642857142857147</v>
      </c>
      <c r="R326" s="144" t="str">
        <f t="shared" si="34"/>
        <v>SI</v>
      </c>
      <c r="S326" s="145" t="str">
        <f t="shared" si="32"/>
        <v>Sin Riesgo</v>
      </c>
      <c r="T326" s="169"/>
    </row>
    <row r="327" spans="1:20" s="167" customFormat="1" ht="32.1" customHeight="1">
      <c r="A327" s="419" t="s">
        <v>217</v>
      </c>
      <c r="B327" s="110" t="s">
        <v>1238</v>
      </c>
      <c r="C327" s="502" t="s">
        <v>1239</v>
      </c>
      <c r="D327" s="172"/>
      <c r="E327" s="80"/>
      <c r="F327" s="80"/>
      <c r="G327" s="80"/>
      <c r="H327" s="80"/>
      <c r="I327" s="80"/>
      <c r="J327" s="80"/>
      <c r="K327" s="79"/>
      <c r="L327" s="79"/>
      <c r="M327" s="79"/>
      <c r="N327" s="79"/>
      <c r="O327" s="79"/>
      <c r="P327" s="79"/>
      <c r="Q327" s="139" t="e">
        <f t="shared" si="33"/>
        <v>#DIV/0!</v>
      </c>
      <c r="R327" s="144" t="e">
        <f t="shared" si="34"/>
        <v>#DIV/0!</v>
      </c>
      <c r="S327" s="145" t="e">
        <f t="shared" si="32"/>
        <v>#DIV/0!</v>
      </c>
      <c r="T327" s="169"/>
    </row>
    <row r="328" spans="1:20" s="167" customFormat="1" ht="32.1" customHeight="1">
      <c r="A328" s="419" t="s">
        <v>217</v>
      </c>
      <c r="B328" s="110" t="s">
        <v>1214</v>
      </c>
      <c r="C328" s="502" t="s">
        <v>1240</v>
      </c>
      <c r="D328" s="172">
        <v>119</v>
      </c>
      <c r="E328" s="80"/>
      <c r="F328" s="80"/>
      <c r="G328" s="80"/>
      <c r="H328" s="80"/>
      <c r="I328" s="80"/>
      <c r="J328" s="80">
        <v>0</v>
      </c>
      <c r="K328" s="79"/>
      <c r="L328" s="79"/>
      <c r="M328" s="79">
        <v>19.350000000000001</v>
      </c>
      <c r="N328" s="79">
        <v>19.350000000000001</v>
      </c>
      <c r="O328" s="79"/>
      <c r="P328" s="79">
        <v>0</v>
      </c>
      <c r="Q328" s="139">
        <f t="shared" si="33"/>
        <v>9.6750000000000007</v>
      </c>
      <c r="R328" s="144" t="str">
        <f t="shared" si="34"/>
        <v>NO</v>
      </c>
      <c r="S328" s="145" t="str">
        <f t="shared" si="32"/>
        <v>Bajo</v>
      </c>
      <c r="T328" s="169"/>
    </row>
    <row r="329" spans="1:20" s="167" customFormat="1" ht="32.1" customHeight="1">
      <c r="A329" s="419" t="s">
        <v>217</v>
      </c>
      <c r="B329" s="110" t="s">
        <v>1214</v>
      </c>
      <c r="C329" s="502" t="s">
        <v>1241</v>
      </c>
      <c r="D329" s="172"/>
      <c r="E329" s="80"/>
      <c r="F329" s="80"/>
      <c r="G329" s="80"/>
      <c r="H329" s="80"/>
      <c r="I329" s="80"/>
      <c r="J329" s="80"/>
      <c r="K329" s="79"/>
      <c r="L329" s="79"/>
      <c r="M329" s="79"/>
      <c r="N329" s="79"/>
      <c r="O329" s="79"/>
      <c r="P329" s="79"/>
      <c r="Q329" s="139" t="e">
        <f t="shared" si="33"/>
        <v>#DIV/0!</v>
      </c>
      <c r="R329" s="144" t="e">
        <f t="shared" si="34"/>
        <v>#DIV/0!</v>
      </c>
      <c r="S329" s="145" t="e">
        <f t="shared" ref="S329:S394" si="35">IF(Q329&lt;5,"Sin Riesgo",IF(Q329 &lt;=14,"Bajo",IF(Q329&lt;=35,"Medio",IF(Q329&lt;=80,"Alto","Inviable Sanitariamente"))))</f>
        <v>#DIV/0!</v>
      </c>
      <c r="T329" s="169"/>
    </row>
    <row r="330" spans="1:20" s="167" customFormat="1" ht="32.1" customHeight="1">
      <c r="A330" s="419" t="s">
        <v>217</v>
      </c>
      <c r="B330" s="110" t="s">
        <v>1242</v>
      </c>
      <c r="C330" s="502" t="s">
        <v>1243</v>
      </c>
      <c r="D330" s="172">
        <v>35</v>
      </c>
      <c r="E330" s="80"/>
      <c r="F330" s="80"/>
      <c r="G330" s="80"/>
      <c r="H330" s="80"/>
      <c r="I330" s="80"/>
      <c r="J330" s="80"/>
      <c r="K330" s="79">
        <v>0</v>
      </c>
      <c r="L330" s="79">
        <v>0</v>
      </c>
      <c r="M330" s="79"/>
      <c r="N330" s="79"/>
      <c r="O330" s="79">
        <v>58.06</v>
      </c>
      <c r="P330" s="79"/>
      <c r="Q330" s="139">
        <f t="shared" si="33"/>
        <v>19.353333333333335</v>
      </c>
      <c r="R330" s="144" t="str">
        <f t="shared" si="34"/>
        <v>NO</v>
      </c>
      <c r="S330" s="145" t="str">
        <f t="shared" si="35"/>
        <v>Medio</v>
      </c>
      <c r="T330" s="169"/>
    </row>
    <row r="331" spans="1:20" s="167" customFormat="1" ht="32.1" customHeight="1">
      <c r="A331" s="419" t="s">
        <v>217</v>
      </c>
      <c r="B331" s="110" t="s">
        <v>1222</v>
      </c>
      <c r="C331" s="502" t="s">
        <v>1244</v>
      </c>
      <c r="D331" s="172"/>
      <c r="E331" s="80"/>
      <c r="F331" s="80"/>
      <c r="G331" s="80"/>
      <c r="H331" s="80"/>
      <c r="I331" s="80"/>
      <c r="J331" s="80"/>
      <c r="K331" s="79"/>
      <c r="L331" s="79"/>
      <c r="M331" s="79"/>
      <c r="N331" s="79"/>
      <c r="O331" s="79"/>
      <c r="P331" s="79"/>
      <c r="Q331" s="139" t="e">
        <f t="shared" si="33"/>
        <v>#DIV/0!</v>
      </c>
      <c r="R331" s="144" t="e">
        <f t="shared" si="34"/>
        <v>#DIV/0!</v>
      </c>
      <c r="S331" s="145" t="e">
        <f t="shared" si="35"/>
        <v>#DIV/0!</v>
      </c>
      <c r="T331" s="169"/>
    </row>
    <row r="332" spans="1:20" s="167" customFormat="1" ht="32.1" customHeight="1">
      <c r="A332" s="419" t="s">
        <v>217</v>
      </c>
      <c r="B332" s="110" t="s">
        <v>1236</v>
      </c>
      <c r="C332" s="502" t="s">
        <v>1245</v>
      </c>
      <c r="D332" s="172"/>
      <c r="E332" s="80"/>
      <c r="F332" s="80"/>
      <c r="G332" s="80"/>
      <c r="H332" s="80"/>
      <c r="I332" s="80"/>
      <c r="J332" s="80"/>
      <c r="K332" s="79"/>
      <c r="L332" s="79"/>
      <c r="M332" s="79"/>
      <c r="N332" s="79"/>
      <c r="O332" s="79"/>
      <c r="P332" s="79"/>
      <c r="Q332" s="139" t="e">
        <f t="shared" si="33"/>
        <v>#DIV/0!</v>
      </c>
      <c r="R332" s="144" t="e">
        <f t="shared" si="34"/>
        <v>#DIV/0!</v>
      </c>
      <c r="S332" s="145" t="e">
        <f t="shared" si="35"/>
        <v>#DIV/0!</v>
      </c>
      <c r="T332" s="169"/>
    </row>
    <row r="333" spans="1:20" s="167" customFormat="1" ht="32.1" customHeight="1">
      <c r="A333" s="419" t="s">
        <v>217</v>
      </c>
      <c r="B333" s="110" t="s">
        <v>1246</v>
      </c>
      <c r="C333" s="502" t="s">
        <v>1247</v>
      </c>
      <c r="D333" s="172">
        <v>140</v>
      </c>
      <c r="E333" s="80">
        <v>46.45</v>
      </c>
      <c r="F333" s="80"/>
      <c r="G333" s="80"/>
      <c r="H333" s="80"/>
      <c r="I333" s="80"/>
      <c r="J333" s="80">
        <v>0</v>
      </c>
      <c r="K333" s="79">
        <v>19.350000000000001</v>
      </c>
      <c r="L333" s="79">
        <v>0</v>
      </c>
      <c r="M333" s="79">
        <v>0</v>
      </c>
      <c r="N333" s="79">
        <v>0</v>
      </c>
      <c r="O333" s="79">
        <v>19.350000000000001</v>
      </c>
      <c r="P333" s="79">
        <v>0</v>
      </c>
      <c r="Q333" s="139">
        <f t="shared" si="33"/>
        <v>10.643750000000001</v>
      </c>
      <c r="R333" s="144" t="str">
        <f t="shared" si="34"/>
        <v>NO</v>
      </c>
      <c r="S333" s="145" t="str">
        <f t="shared" si="35"/>
        <v>Bajo</v>
      </c>
      <c r="T333" s="169"/>
    </row>
    <row r="334" spans="1:20" s="167" customFormat="1" ht="32.1" customHeight="1">
      <c r="A334" s="419" t="s">
        <v>217</v>
      </c>
      <c r="B334" s="110" t="s">
        <v>1248</v>
      </c>
      <c r="C334" s="502" t="s">
        <v>1249</v>
      </c>
      <c r="D334" s="172">
        <v>139</v>
      </c>
      <c r="E334" s="80">
        <v>0</v>
      </c>
      <c r="F334" s="80"/>
      <c r="G334" s="80"/>
      <c r="H334" s="80"/>
      <c r="I334" s="80"/>
      <c r="J334" s="80">
        <v>0</v>
      </c>
      <c r="K334" s="79">
        <v>19.350000000000001</v>
      </c>
      <c r="L334" s="79">
        <v>0</v>
      </c>
      <c r="M334" s="79">
        <v>0</v>
      </c>
      <c r="N334" s="79">
        <v>0</v>
      </c>
      <c r="O334" s="79">
        <v>0</v>
      </c>
      <c r="P334" s="79">
        <v>0</v>
      </c>
      <c r="Q334" s="139">
        <f t="shared" si="33"/>
        <v>2.4187500000000002</v>
      </c>
      <c r="R334" s="144" t="str">
        <f t="shared" si="34"/>
        <v>SI</v>
      </c>
      <c r="S334" s="145" t="str">
        <f t="shared" si="35"/>
        <v>Sin Riesgo</v>
      </c>
      <c r="T334" s="169"/>
    </row>
    <row r="335" spans="1:20" s="167" customFormat="1" ht="32.1" customHeight="1">
      <c r="A335" s="419" t="s">
        <v>217</v>
      </c>
      <c r="B335" s="110" t="s">
        <v>1250</v>
      </c>
      <c r="C335" s="502" t="s">
        <v>1251</v>
      </c>
      <c r="D335" s="172"/>
      <c r="E335" s="80"/>
      <c r="F335" s="80"/>
      <c r="G335" s="80"/>
      <c r="H335" s="80"/>
      <c r="I335" s="80"/>
      <c r="J335" s="80"/>
      <c r="K335" s="79"/>
      <c r="L335" s="79"/>
      <c r="M335" s="79"/>
      <c r="N335" s="79"/>
      <c r="O335" s="79"/>
      <c r="P335" s="79"/>
      <c r="Q335" s="139" t="e">
        <f t="shared" ref="Q335:Q400" si="36">AVERAGE(E335:P335)</f>
        <v>#DIV/0!</v>
      </c>
      <c r="R335" s="144" t="e">
        <f t="shared" si="34"/>
        <v>#DIV/0!</v>
      </c>
      <c r="S335" s="145" t="e">
        <f t="shared" si="35"/>
        <v>#DIV/0!</v>
      </c>
      <c r="T335" s="169"/>
    </row>
    <row r="336" spans="1:20" s="167" customFormat="1" ht="32.1" customHeight="1">
      <c r="A336" s="419" t="s">
        <v>217</v>
      </c>
      <c r="B336" s="110" t="s">
        <v>1252</v>
      </c>
      <c r="C336" s="502" t="s">
        <v>1253</v>
      </c>
      <c r="D336" s="172">
        <v>154</v>
      </c>
      <c r="E336" s="80">
        <v>0</v>
      </c>
      <c r="F336" s="80"/>
      <c r="G336" s="80"/>
      <c r="H336" s="80"/>
      <c r="I336" s="80"/>
      <c r="J336" s="80"/>
      <c r="K336" s="79"/>
      <c r="L336" s="79">
        <v>0</v>
      </c>
      <c r="M336" s="79"/>
      <c r="N336" s="79">
        <v>0</v>
      </c>
      <c r="O336" s="79"/>
      <c r="P336" s="79">
        <v>0</v>
      </c>
      <c r="Q336" s="139">
        <f t="shared" si="36"/>
        <v>0</v>
      </c>
      <c r="R336" s="144" t="str">
        <f t="shared" si="34"/>
        <v>SI</v>
      </c>
      <c r="S336" s="145" t="str">
        <f t="shared" si="35"/>
        <v>Sin Riesgo</v>
      </c>
      <c r="T336" s="169"/>
    </row>
    <row r="337" spans="1:20" s="167" customFormat="1" ht="32.1" customHeight="1">
      <c r="A337" s="419" t="s">
        <v>217</v>
      </c>
      <c r="B337" s="110" t="s">
        <v>1254</v>
      </c>
      <c r="C337" s="502" t="s">
        <v>1255</v>
      </c>
      <c r="D337" s="172">
        <v>43</v>
      </c>
      <c r="E337" s="80"/>
      <c r="F337" s="80"/>
      <c r="G337" s="80"/>
      <c r="H337" s="80"/>
      <c r="I337" s="80"/>
      <c r="J337" s="80"/>
      <c r="K337" s="79">
        <v>0</v>
      </c>
      <c r="L337" s="79"/>
      <c r="M337" s="79">
        <v>0</v>
      </c>
      <c r="N337" s="79"/>
      <c r="O337" s="79">
        <v>0</v>
      </c>
      <c r="P337" s="79"/>
      <c r="Q337" s="139">
        <f t="shared" si="36"/>
        <v>0</v>
      </c>
      <c r="R337" s="144" t="str">
        <f t="shared" si="34"/>
        <v>SI</v>
      </c>
      <c r="S337" s="145" t="str">
        <f t="shared" si="35"/>
        <v>Sin Riesgo</v>
      </c>
      <c r="T337" s="169"/>
    </row>
    <row r="338" spans="1:20" s="167" customFormat="1" ht="32.1" customHeight="1">
      <c r="A338" s="419" t="s">
        <v>217</v>
      </c>
      <c r="B338" s="110" t="s">
        <v>1179</v>
      </c>
      <c r="C338" s="502" t="s">
        <v>1256</v>
      </c>
      <c r="D338" s="172"/>
      <c r="E338" s="80"/>
      <c r="F338" s="80"/>
      <c r="G338" s="80"/>
      <c r="H338" s="80"/>
      <c r="I338" s="80"/>
      <c r="J338" s="80"/>
      <c r="K338" s="80"/>
      <c r="L338" s="80"/>
      <c r="M338" s="80"/>
      <c r="N338" s="80"/>
      <c r="O338" s="80"/>
      <c r="P338" s="80"/>
      <c r="Q338" s="139" t="e">
        <f t="shared" si="36"/>
        <v>#DIV/0!</v>
      </c>
      <c r="R338" s="144" t="e">
        <f t="shared" si="34"/>
        <v>#DIV/0!</v>
      </c>
      <c r="S338" s="145" t="e">
        <f t="shared" si="35"/>
        <v>#DIV/0!</v>
      </c>
      <c r="T338" s="169"/>
    </row>
    <row r="339" spans="1:20" s="167" customFormat="1" ht="32.1" customHeight="1">
      <c r="A339" s="419" t="s">
        <v>217</v>
      </c>
      <c r="B339" s="110" t="s">
        <v>1144</v>
      </c>
      <c r="C339" s="502" t="s">
        <v>1257</v>
      </c>
      <c r="D339" s="172"/>
      <c r="E339" s="80"/>
      <c r="F339" s="80"/>
      <c r="G339" s="80"/>
      <c r="H339" s="80"/>
      <c r="I339" s="80"/>
      <c r="J339" s="80"/>
      <c r="K339" s="80"/>
      <c r="L339" s="80"/>
      <c r="M339" s="80"/>
      <c r="N339" s="80"/>
      <c r="O339" s="80"/>
      <c r="P339" s="80"/>
      <c r="Q339" s="139" t="e">
        <f t="shared" si="36"/>
        <v>#DIV/0!</v>
      </c>
      <c r="R339" s="144" t="e">
        <f t="shared" si="34"/>
        <v>#DIV/0!</v>
      </c>
      <c r="S339" s="145" t="e">
        <f t="shared" si="35"/>
        <v>#DIV/0!</v>
      </c>
      <c r="T339" s="169"/>
    </row>
    <row r="340" spans="1:20" s="167" customFormat="1" ht="32.1" customHeight="1">
      <c r="A340" s="419" t="s">
        <v>217</v>
      </c>
      <c r="B340" s="110" t="s">
        <v>1246</v>
      </c>
      <c r="C340" s="502" t="s">
        <v>1258</v>
      </c>
      <c r="D340" s="172"/>
      <c r="E340" s="80"/>
      <c r="F340" s="80"/>
      <c r="G340" s="80"/>
      <c r="H340" s="80"/>
      <c r="I340" s="80"/>
      <c r="J340" s="80"/>
      <c r="K340" s="80"/>
      <c r="L340" s="80"/>
      <c r="M340" s="80"/>
      <c r="N340" s="80"/>
      <c r="O340" s="80"/>
      <c r="P340" s="80"/>
      <c r="Q340" s="139" t="e">
        <f t="shared" si="36"/>
        <v>#DIV/0!</v>
      </c>
      <c r="R340" s="144" t="e">
        <f t="shared" si="34"/>
        <v>#DIV/0!</v>
      </c>
      <c r="S340" s="145" t="e">
        <f t="shared" si="35"/>
        <v>#DIV/0!</v>
      </c>
      <c r="T340" s="169"/>
    </row>
    <row r="341" spans="1:20" s="167" customFormat="1" ht="32.1" customHeight="1">
      <c r="A341" s="419" t="s">
        <v>217</v>
      </c>
      <c r="B341" s="110" t="s">
        <v>1210</v>
      </c>
      <c r="C341" s="502" t="s">
        <v>1259</v>
      </c>
      <c r="D341" s="172"/>
      <c r="E341" s="80"/>
      <c r="F341" s="80"/>
      <c r="G341" s="80"/>
      <c r="H341" s="80"/>
      <c r="I341" s="80"/>
      <c r="J341" s="80"/>
      <c r="K341" s="80"/>
      <c r="L341" s="80"/>
      <c r="M341" s="80"/>
      <c r="N341" s="80"/>
      <c r="O341" s="80"/>
      <c r="P341" s="80"/>
      <c r="Q341" s="139" t="e">
        <f t="shared" si="36"/>
        <v>#DIV/0!</v>
      </c>
      <c r="R341" s="144" t="e">
        <f t="shared" si="34"/>
        <v>#DIV/0!</v>
      </c>
      <c r="S341" s="145" t="e">
        <f t="shared" si="35"/>
        <v>#DIV/0!</v>
      </c>
      <c r="T341" s="169"/>
    </row>
    <row r="342" spans="1:20" s="167" customFormat="1" ht="32.1" customHeight="1">
      <c r="A342" s="419" t="s">
        <v>217</v>
      </c>
      <c r="B342" s="499" t="s">
        <v>1260</v>
      </c>
      <c r="C342" s="502" t="s">
        <v>1261</v>
      </c>
      <c r="D342" s="156"/>
      <c r="E342" s="80"/>
      <c r="F342" s="80"/>
      <c r="G342" s="80"/>
      <c r="H342" s="80"/>
      <c r="I342" s="80"/>
      <c r="J342" s="80"/>
      <c r="K342" s="80"/>
      <c r="L342" s="80"/>
      <c r="M342" s="80"/>
      <c r="N342" s="80"/>
      <c r="O342" s="80"/>
      <c r="P342" s="80"/>
      <c r="Q342" s="139" t="e">
        <f t="shared" si="36"/>
        <v>#DIV/0!</v>
      </c>
      <c r="R342" s="155" t="e">
        <f t="shared" si="34"/>
        <v>#DIV/0!</v>
      </c>
      <c r="S342" s="145" t="e">
        <f t="shared" si="35"/>
        <v>#DIV/0!</v>
      </c>
      <c r="T342" s="169"/>
    </row>
    <row r="343" spans="1:20" s="167" customFormat="1" ht="32.1" customHeight="1">
      <c r="A343" s="419" t="s">
        <v>218</v>
      </c>
      <c r="B343" s="110" t="s">
        <v>672</v>
      </c>
      <c r="C343" s="502" t="s">
        <v>1262</v>
      </c>
      <c r="D343" s="156">
        <v>38</v>
      </c>
      <c r="E343" s="80"/>
      <c r="F343" s="80">
        <v>97.3</v>
      </c>
      <c r="G343" s="80"/>
      <c r="H343" s="80"/>
      <c r="I343" s="80"/>
      <c r="J343" s="80"/>
      <c r="K343" s="80"/>
      <c r="L343" s="80"/>
      <c r="M343" s="80"/>
      <c r="N343" s="80"/>
      <c r="O343" s="80"/>
      <c r="P343" s="80"/>
      <c r="Q343" s="139">
        <f t="shared" si="36"/>
        <v>97.3</v>
      </c>
      <c r="R343" s="144" t="str">
        <f t="shared" si="34"/>
        <v>NO</v>
      </c>
      <c r="S343" s="145" t="str">
        <f t="shared" si="35"/>
        <v>Inviable Sanitariamente</v>
      </c>
      <c r="T343" s="169"/>
    </row>
    <row r="344" spans="1:20" s="167" customFormat="1" ht="32.1" customHeight="1">
      <c r="A344" s="419" t="s">
        <v>218</v>
      </c>
      <c r="B344" s="110" t="s">
        <v>1263</v>
      </c>
      <c r="C344" s="502" t="s">
        <v>1264</v>
      </c>
      <c r="D344" s="156">
        <v>301</v>
      </c>
      <c r="E344" s="80"/>
      <c r="F344" s="80">
        <v>0</v>
      </c>
      <c r="G344" s="80"/>
      <c r="H344" s="80"/>
      <c r="I344" s="80"/>
      <c r="J344" s="80"/>
      <c r="K344" s="80"/>
      <c r="L344" s="80"/>
      <c r="M344" s="80"/>
      <c r="N344" s="80"/>
      <c r="O344" s="80"/>
      <c r="P344" s="80"/>
      <c r="Q344" s="139">
        <f t="shared" si="36"/>
        <v>0</v>
      </c>
      <c r="R344" s="144" t="str">
        <f t="shared" si="34"/>
        <v>SI</v>
      </c>
      <c r="S344" s="145" t="str">
        <f t="shared" si="35"/>
        <v>Sin Riesgo</v>
      </c>
      <c r="T344" s="169"/>
    </row>
    <row r="345" spans="1:20" s="167" customFormat="1" ht="32.1" customHeight="1">
      <c r="A345" s="419" t="s">
        <v>218</v>
      </c>
      <c r="B345" s="110" t="s">
        <v>5</v>
      </c>
      <c r="C345" s="502" t="s">
        <v>1265</v>
      </c>
      <c r="D345" s="156">
        <v>256</v>
      </c>
      <c r="E345" s="80"/>
      <c r="F345" s="80">
        <v>97.3</v>
      </c>
      <c r="G345" s="80"/>
      <c r="H345" s="80"/>
      <c r="I345" s="80"/>
      <c r="J345" s="80"/>
      <c r="K345" s="80"/>
      <c r="L345" s="80"/>
      <c r="M345" s="80"/>
      <c r="N345" s="80"/>
      <c r="O345" s="80"/>
      <c r="P345" s="80"/>
      <c r="Q345" s="139">
        <f t="shared" si="36"/>
        <v>97.3</v>
      </c>
      <c r="R345" s="144" t="str">
        <f t="shared" si="34"/>
        <v>NO</v>
      </c>
      <c r="S345" s="145" t="str">
        <f t="shared" si="35"/>
        <v>Inviable Sanitariamente</v>
      </c>
      <c r="T345" s="169"/>
    </row>
    <row r="346" spans="1:20" s="167" customFormat="1" ht="32.1" customHeight="1">
      <c r="A346" s="419" t="s">
        <v>218</v>
      </c>
      <c r="B346" s="110" t="s">
        <v>51</v>
      </c>
      <c r="C346" s="502" t="s">
        <v>1266</v>
      </c>
      <c r="D346" s="156"/>
      <c r="E346" s="80"/>
      <c r="F346" s="80"/>
      <c r="G346" s="80"/>
      <c r="H346" s="80"/>
      <c r="I346" s="80"/>
      <c r="J346" s="80"/>
      <c r="K346" s="80"/>
      <c r="L346" s="80"/>
      <c r="M346" s="80"/>
      <c r="N346" s="80"/>
      <c r="O346" s="80"/>
      <c r="P346" s="80"/>
      <c r="Q346" s="139" t="e">
        <f t="shared" ref="Q346:Q347" si="37">AVERAGE(E346:P346)</f>
        <v>#DIV/0!</v>
      </c>
      <c r="R346" s="144" t="e">
        <f t="shared" ref="R346:R347" si="38">IF(Q346&lt;5,"SI","NO")</f>
        <v>#DIV/0!</v>
      </c>
      <c r="S346" s="145" t="e">
        <f t="shared" ref="S346:S347" si="39">IF(Q346&lt;5,"Sin Riesgo",IF(Q346 &lt;=14,"Bajo",IF(Q346&lt;=35,"Medio",IF(Q346&lt;=80,"Alto","Inviable Sanitariamente"))))</f>
        <v>#DIV/0!</v>
      </c>
      <c r="T346" s="473"/>
    </row>
    <row r="347" spans="1:20" s="167" customFormat="1" ht="32.1" customHeight="1">
      <c r="A347" s="419" t="s">
        <v>218</v>
      </c>
      <c r="B347" s="110" t="s">
        <v>2894</v>
      </c>
      <c r="C347" s="502" t="s">
        <v>4546</v>
      </c>
      <c r="D347" s="119">
        <v>67</v>
      </c>
      <c r="E347" s="80"/>
      <c r="F347" s="80"/>
      <c r="G347" s="80"/>
      <c r="H347" s="80"/>
      <c r="I347" s="80">
        <v>0</v>
      </c>
      <c r="J347" s="80"/>
      <c r="K347" s="80"/>
      <c r="L347" s="80"/>
      <c r="M347" s="80"/>
      <c r="N347" s="80"/>
      <c r="O347" s="80"/>
      <c r="P347" s="80"/>
      <c r="Q347" s="139">
        <f t="shared" si="37"/>
        <v>0</v>
      </c>
      <c r="R347" s="144" t="str">
        <f t="shared" si="38"/>
        <v>SI</v>
      </c>
      <c r="S347" s="145" t="str">
        <f t="shared" si="39"/>
        <v>Sin Riesgo</v>
      </c>
      <c r="T347" s="473"/>
    </row>
    <row r="348" spans="1:20" s="167" customFormat="1" ht="32.1" customHeight="1">
      <c r="A348" s="419" t="s">
        <v>218</v>
      </c>
      <c r="B348" s="110" t="s">
        <v>61</v>
      </c>
      <c r="C348" s="502" t="s">
        <v>4547</v>
      </c>
      <c r="D348" s="119"/>
      <c r="E348" s="80"/>
      <c r="F348" s="80"/>
      <c r="G348" s="80"/>
      <c r="H348" s="80"/>
      <c r="I348" s="80"/>
      <c r="J348" s="80"/>
      <c r="K348" s="80"/>
      <c r="L348" s="80"/>
      <c r="M348" s="80"/>
      <c r="N348" s="80"/>
      <c r="O348" s="80"/>
      <c r="P348" s="80"/>
      <c r="Q348" s="139" t="e">
        <f t="shared" si="36"/>
        <v>#DIV/0!</v>
      </c>
      <c r="R348" s="144" t="e">
        <f t="shared" si="34"/>
        <v>#DIV/0!</v>
      </c>
      <c r="S348" s="145" t="e">
        <f t="shared" si="35"/>
        <v>#DIV/0!</v>
      </c>
      <c r="T348" s="169"/>
    </row>
    <row r="349" spans="1:20" s="167" customFormat="1" ht="50.1" customHeight="1">
      <c r="A349" s="419" t="s">
        <v>45</v>
      </c>
      <c r="B349" s="110" t="s">
        <v>1267</v>
      </c>
      <c r="C349" s="502" t="s">
        <v>4349</v>
      </c>
      <c r="D349" s="119">
        <v>66</v>
      </c>
      <c r="E349" s="80">
        <v>0</v>
      </c>
      <c r="F349" s="80"/>
      <c r="G349" s="80">
        <v>0</v>
      </c>
      <c r="H349" s="80">
        <v>0</v>
      </c>
      <c r="I349" s="80">
        <v>0</v>
      </c>
      <c r="J349" s="80">
        <v>0</v>
      </c>
      <c r="K349" s="80"/>
      <c r="L349" s="80"/>
      <c r="M349" s="80"/>
      <c r="N349" s="80"/>
      <c r="O349" s="80"/>
      <c r="P349" s="80"/>
      <c r="Q349" s="139">
        <f t="shared" si="36"/>
        <v>0</v>
      </c>
      <c r="R349" s="144" t="str">
        <f t="shared" si="34"/>
        <v>SI</v>
      </c>
      <c r="S349" s="145" t="str">
        <f t="shared" si="35"/>
        <v>Sin Riesgo</v>
      </c>
      <c r="T349" s="169"/>
    </row>
    <row r="350" spans="1:20" s="167" customFormat="1" ht="50.1" customHeight="1">
      <c r="A350" s="419" t="s">
        <v>45</v>
      </c>
      <c r="B350" s="110" t="s">
        <v>1267</v>
      </c>
      <c r="C350" s="502" t="s">
        <v>4350</v>
      </c>
      <c r="D350" s="119"/>
      <c r="E350" s="80"/>
      <c r="F350" s="80"/>
      <c r="G350" s="80"/>
      <c r="H350" s="80"/>
      <c r="I350" s="80"/>
      <c r="J350" s="80"/>
      <c r="K350" s="80"/>
      <c r="L350" s="80"/>
      <c r="M350" s="80"/>
      <c r="N350" s="80"/>
      <c r="O350" s="80"/>
      <c r="P350" s="80"/>
      <c r="Q350" s="139" t="e">
        <f t="shared" si="36"/>
        <v>#DIV/0!</v>
      </c>
      <c r="R350" s="144" t="e">
        <f t="shared" si="34"/>
        <v>#DIV/0!</v>
      </c>
      <c r="S350" s="145" t="e">
        <f t="shared" si="35"/>
        <v>#DIV/0!</v>
      </c>
      <c r="T350" s="169"/>
    </row>
    <row r="351" spans="1:20" s="167" customFormat="1" ht="50.1" customHeight="1">
      <c r="A351" s="419" t="s">
        <v>45</v>
      </c>
      <c r="B351" s="110" t="s">
        <v>1268</v>
      </c>
      <c r="C351" s="502" t="s">
        <v>4351</v>
      </c>
      <c r="D351" s="119">
        <v>50</v>
      </c>
      <c r="E351" s="80">
        <v>1.94</v>
      </c>
      <c r="F351" s="80"/>
      <c r="G351" s="80">
        <v>0</v>
      </c>
      <c r="H351" s="80"/>
      <c r="I351" s="80">
        <v>19.350000000000001</v>
      </c>
      <c r="J351" s="80"/>
      <c r="K351" s="80"/>
      <c r="L351" s="80"/>
      <c r="M351" s="80"/>
      <c r="N351" s="80"/>
      <c r="O351" s="80"/>
      <c r="P351" s="80"/>
      <c r="Q351" s="139">
        <f t="shared" si="36"/>
        <v>7.0966666666666676</v>
      </c>
      <c r="R351" s="144" t="str">
        <f t="shared" si="34"/>
        <v>NO</v>
      </c>
      <c r="S351" s="145" t="str">
        <f t="shared" si="35"/>
        <v>Bajo</v>
      </c>
      <c r="T351" s="169"/>
    </row>
    <row r="352" spans="1:20" s="167" customFormat="1" ht="50.1" customHeight="1">
      <c r="A352" s="419" t="s">
        <v>45</v>
      </c>
      <c r="B352" s="110" t="s">
        <v>1269</v>
      </c>
      <c r="C352" s="502" t="s">
        <v>4352</v>
      </c>
      <c r="D352" s="119">
        <v>30</v>
      </c>
      <c r="E352" s="80"/>
      <c r="F352" s="80">
        <v>70.97</v>
      </c>
      <c r="G352" s="80"/>
      <c r="H352" s="80"/>
      <c r="I352" s="80">
        <v>70.97</v>
      </c>
      <c r="J352" s="80">
        <v>90.32</v>
      </c>
      <c r="K352" s="80"/>
      <c r="L352" s="80"/>
      <c r="M352" s="80"/>
      <c r="N352" s="80"/>
      <c r="O352" s="80"/>
      <c r="P352" s="80"/>
      <c r="Q352" s="139">
        <f t="shared" si="36"/>
        <v>77.42</v>
      </c>
      <c r="R352" s="144" t="str">
        <f t="shared" si="34"/>
        <v>NO</v>
      </c>
      <c r="S352" s="145" t="str">
        <f t="shared" si="35"/>
        <v>Alto</v>
      </c>
      <c r="T352" s="169"/>
    </row>
    <row r="353" spans="1:20" s="167" customFormat="1" ht="50.1" customHeight="1">
      <c r="A353" s="419" t="s">
        <v>45</v>
      </c>
      <c r="B353" s="110" t="s">
        <v>1270</v>
      </c>
      <c r="C353" s="502" t="s">
        <v>4353</v>
      </c>
      <c r="D353" s="119">
        <v>25</v>
      </c>
      <c r="E353" s="80"/>
      <c r="F353" s="80"/>
      <c r="G353" s="80"/>
      <c r="H353" s="80"/>
      <c r="I353" s="80">
        <v>70.97</v>
      </c>
      <c r="J353" s="80">
        <v>38.71</v>
      </c>
      <c r="K353" s="80"/>
      <c r="L353" s="80"/>
      <c r="M353" s="80"/>
      <c r="N353" s="80"/>
      <c r="O353" s="80"/>
      <c r="P353" s="80"/>
      <c r="Q353" s="139">
        <f t="shared" si="36"/>
        <v>54.84</v>
      </c>
      <c r="R353" s="144" t="str">
        <f t="shared" si="34"/>
        <v>NO</v>
      </c>
      <c r="S353" s="145" t="str">
        <f t="shared" si="35"/>
        <v>Alto</v>
      </c>
      <c r="T353" s="169"/>
    </row>
    <row r="354" spans="1:20" s="167" customFormat="1" ht="50.1" customHeight="1">
      <c r="A354" s="419" t="s">
        <v>45</v>
      </c>
      <c r="B354" s="110" t="s">
        <v>1271</v>
      </c>
      <c r="C354" s="502" t="s">
        <v>4354</v>
      </c>
      <c r="D354" s="119">
        <v>82</v>
      </c>
      <c r="E354" s="80">
        <v>0</v>
      </c>
      <c r="F354" s="80"/>
      <c r="G354" s="80">
        <v>0</v>
      </c>
      <c r="H354" s="80"/>
      <c r="I354" s="80"/>
      <c r="J354" s="80">
        <v>19.350000000000001</v>
      </c>
      <c r="K354" s="80"/>
      <c r="L354" s="80"/>
      <c r="M354" s="80"/>
      <c r="N354" s="80"/>
      <c r="O354" s="80"/>
      <c r="P354" s="80"/>
      <c r="Q354" s="139">
        <f t="shared" si="36"/>
        <v>6.45</v>
      </c>
      <c r="R354" s="144" t="str">
        <f t="shared" si="34"/>
        <v>NO</v>
      </c>
      <c r="S354" s="145" t="str">
        <f t="shared" si="35"/>
        <v>Bajo</v>
      </c>
      <c r="T354" s="169"/>
    </row>
    <row r="355" spans="1:20" s="167" customFormat="1" ht="50.1" customHeight="1">
      <c r="A355" s="419" t="s">
        <v>45</v>
      </c>
      <c r="B355" s="110" t="s">
        <v>1271</v>
      </c>
      <c r="C355" s="502" t="s">
        <v>4355</v>
      </c>
      <c r="D355" s="119">
        <v>82</v>
      </c>
      <c r="E355" s="80">
        <v>19.350000000000001</v>
      </c>
      <c r="F355" s="80"/>
      <c r="G355" s="80">
        <v>19.350000000000001</v>
      </c>
      <c r="H355" s="80"/>
      <c r="I355" s="80"/>
      <c r="J355" s="80">
        <v>0</v>
      </c>
      <c r="K355" s="80"/>
      <c r="L355" s="80"/>
      <c r="M355" s="80"/>
      <c r="N355" s="80"/>
      <c r="O355" s="80"/>
      <c r="P355" s="80"/>
      <c r="Q355" s="139">
        <f t="shared" si="36"/>
        <v>12.9</v>
      </c>
      <c r="R355" s="144" t="str">
        <f t="shared" si="34"/>
        <v>NO</v>
      </c>
      <c r="S355" s="145" t="str">
        <f t="shared" si="35"/>
        <v>Bajo</v>
      </c>
      <c r="T355" s="169"/>
    </row>
    <row r="356" spans="1:20" s="167" customFormat="1" ht="50.1" customHeight="1">
      <c r="A356" s="419" t="s">
        <v>45</v>
      </c>
      <c r="B356" s="110" t="s">
        <v>1271</v>
      </c>
      <c r="C356" s="502" t="s">
        <v>4356</v>
      </c>
      <c r="D356" s="114">
        <v>82</v>
      </c>
      <c r="E356" s="80">
        <v>0</v>
      </c>
      <c r="F356" s="80"/>
      <c r="G356" s="80">
        <v>19.350000000000001</v>
      </c>
      <c r="H356" s="80"/>
      <c r="I356" s="80"/>
      <c r="J356" s="80">
        <v>0</v>
      </c>
      <c r="K356" s="80"/>
      <c r="L356" s="80"/>
      <c r="M356" s="80"/>
      <c r="N356" s="80"/>
      <c r="O356" s="80"/>
      <c r="P356" s="80"/>
      <c r="Q356" s="139">
        <f t="shared" si="36"/>
        <v>6.45</v>
      </c>
      <c r="R356" s="144" t="str">
        <f t="shared" si="34"/>
        <v>NO</v>
      </c>
      <c r="S356" s="145" t="str">
        <f t="shared" si="35"/>
        <v>Bajo</v>
      </c>
      <c r="T356" s="169"/>
    </row>
    <row r="357" spans="1:20" s="167" customFormat="1" ht="50.1" customHeight="1">
      <c r="A357" s="419" t="s">
        <v>45</v>
      </c>
      <c r="B357" s="110" t="s">
        <v>1272</v>
      </c>
      <c r="C357" s="502" t="s">
        <v>4357</v>
      </c>
      <c r="D357" s="119">
        <v>205</v>
      </c>
      <c r="E357" s="80">
        <v>70.97</v>
      </c>
      <c r="F357" s="80"/>
      <c r="G357" s="80">
        <v>90.32</v>
      </c>
      <c r="H357" s="80"/>
      <c r="I357" s="80">
        <v>90.32</v>
      </c>
      <c r="J357" s="80"/>
      <c r="K357" s="80"/>
      <c r="L357" s="80"/>
      <c r="M357" s="80"/>
      <c r="N357" s="80"/>
      <c r="O357" s="80"/>
      <c r="P357" s="80"/>
      <c r="Q357" s="139">
        <f t="shared" si="36"/>
        <v>83.86999999999999</v>
      </c>
      <c r="R357" s="144" t="str">
        <f t="shared" si="34"/>
        <v>NO</v>
      </c>
      <c r="S357" s="145" t="str">
        <f t="shared" si="35"/>
        <v>Inviable Sanitariamente</v>
      </c>
      <c r="T357" s="169"/>
    </row>
    <row r="358" spans="1:20" s="167" customFormat="1" ht="50.1" customHeight="1">
      <c r="A358" s="419" t="s">
        <v>45</v>
      </c>
      <c r="B358" s="110" t="s">
        <v>1273</v>
      </c>
      <c r="C358" s="502" t="s">
        <v>4358</v>
      </c>
      <c r="D358" s="119">
        <v>125</v>
      </c>
      <c r="E358" s="80"/>
      <c r="F358" s="80">
        <v>70.97</v>
      </c>
      <c r="G358" s="80"/>
      <c r="H358" s="80"/>
      <c r="I358" s="80"/>
      <c r="J358" s="80">
        <v>90.32</v>
      </c>
      <c r="K358" s="80"/>
      <c r="L358" s="80"/>
      <c r="M358" s="80"/>
      <c r="N358" s="80"/>
      <c r="O358" s="80"/>
      <c r="P358" s="80"/>
      <c r="Q358" s="139">
        <f t="shared" si="36"/>
        <v>80.644999999999996</v>
      </c>
      <c r="R358" s="144" t="str">
        <f t="shared" si="34"/>
        <v>NO</v>
      </c>
      <c r="S358" s="145" t="str">
        <f t="shared" si="35"/>
        <v>Inviable Sanitariamente</v>
      </c>
      <c r="T358" s="169"/>
    </row>
    <row r="359" spans="1:20" s="167" customFormat="1" ht="50.1" customHeight="1">
      <c r="A359" s="419" t="s">
        <v>45</v>
      </c>
      <c r="B359" s="110" t="s">
        <v>1274</v>
      </c>
      <c r="C359" s="502" t="s">
        <v>4359</v>
      </c>
      <c r="D359" s="114">
        <v>114</v>
      </c>
      <c r="E359" s="80"/>
      <c r="F359" s="80">
        <v>90.32</v>
      </c>
      <c r="G359" s="80"/>
      <c r="H359" s="80">
        <v>90.32</v>
      </c>
      <c r="I359" s="80"/>
      <c r="J359" s="80">
        <v>27.1</v>
      </c>
      <c r="K359" s="80"/>
      <c r="L359" s="80"/>
      <c r="M359" s="80"/>
      <c r="N359" s="80"/>
      <c r="O359" s="80"/>
      <c r="P359" s="80"/>
      <c r="Q359" s="139">
        <f t="shared" si="36"/>
        <v>69.246666666666655</v>
      </c>
      <c r="R359" s="144" t="str">
        <f t="shared" si="34"/>
        <v>NO</v>
      </c>
      <c r="S359" s="145" t="str">
        <f t="shared" si="35"/>
        <v>Alto</v>
      </c>
      <c r="T359" s="169"/>
    </row>
    <row r="360" spans="1:20" s="167" customFormat="1" ht="50.1" customHeight="1">
      <c r="A360" s="419" t="s">
        <v>45</v>
      </c>
      <c r="B360" s="110" t="s">
        <v>1275</v>
      </c>
      <c r="C360" s="502" t="s">
        <v>4360</v>
      </c>
      <c r="D360" s="119">
        <v>30</v>
      </c>
      <c r="E360" s="80"/>
      <c r="F360" s="80">
        <v>98.06</v>
      </c>
      <c r="G360" s="80"/>
      <c r="H360" s="80"/>
      <c r="I360" s="80">
        <v>90.32</v>
      </c>
      <c r="J360" s="80">
        <v>98.06</v>
      </c>
      <c r="K360" s="80"/>
      <c r="L360" s="80"/>
      <c r="M360" s="80"/>
      <c r="N360" s="80"/>
      <c r="O360" s="80"/>
      <c r="P360" s="80"/>
      <c r="Q360" s="139">
        <f t="shared" si="36"/>
        <v>95.48</v>
      </c>
      <c r="R360" s="144" t="str">
        <f t="shared" si="34"/>
        <v>NO</v>
      </c>
      <c r="S360" s="145" t="str">
        <f t="shared" si="35"/>
        <v>Inviable Sanitariamente</v>
      </c>
      <c r="T360" s="169"/>
    </row>
    <row r="361" spans="1:20" s="167" customFormat="1" ht="50.1" customHeight="1">
      <c r="A361" s="419" t="s">
        <v>45</v>
      </c>
      <c r="B361" s="110" t="s">
        <v>1276</v>
      </c>
      <c r="C361" s="502" t="s">
        <v>4361</v>
      </c>
      <c r="D361" s="119"/>
      <c r="E361" s="80"/>
      <c r="F361" s="80"/>
      <c r="G361" s="80"/>
      <c r="H361" s="80"/>
      <c r="I361" s="80"/>
      <c r="J361" s="80"/>
      <c r="K361" s="80"/>
      <c r="L361" s="80"/>
      <c r="M361" s="80"/>
      <c r="N361" s="80"/>
      <c r="O361" s="80"/>
      <c r="P361" s="80"/>
      <c r="Q361" s="139" t="e">
        <f t="shared" si="36"/>
        <v>#DIV/0!</v>
      </c>
      <c r="R361" s="144" t="e">
        <f t="shared" si="34"/>
        <v>#DIV/0!</v>
      </c>
      <c r="S361" s="145" t="e">
        <f t="shared" si="35"/>
        <v>#DIV/0!</v>
      </c>
      <c r="T361" s="169"/>
    </row>
    <row r="362" spans="1:20" s="167" customFormat="1" ht="50.1" customHeight="1">
      <c r="A362" s="419" t="s">
        <v>45</v>
      </c>
      <c r="B362" s="110" t="s">
        <v>1277</v>
      </c>
      <c r="C362" s="502" t="s">
        <v>4362</v>
      </c>
      <c r="D362" s="114"/>
      <c r="E362" s="80"/>
      <c r="F362" s="80"/>
      <c r="G362" s="80"/>
      <c r="H362" s="80"/>
      <c r="I362" s="80"/>
      <c r="J362" s="80"/>
      <c r="K362" s="80"/>
      <c r="L362" s="80"/>
      <c r="M362" s="80"/>
      <c r="N362" s="80"/>
      <c r="O362" s="80"/>
      <c r="P362" s="80"/>
      <c r="Q362" s="139" t="e">
        <f t="shared" si="36"/>
        <v>#DIV/0!</v>
      </c>
      <c r="R362" s="144" t="e">
        <f t="shared" si="34"/>
        <v>#DIV/0!</v>
      </c>
      <c r="S362" s="145" t="e">
        <f t="shared" si="35"/>
        <v>#DIV/0!</v>
      </c>
      <c r="T362" s="169"/>
    </row>
    <row r="363" spans="1:20" s="167" customFormat="1" ht="50.1" customHeight="1">
      <c r="A363" s="419" t="s">
        <v>45</v>
      </c>
      <c r="B363" s="110" t="s">
        <v>1278</v>
      </c>
      <c r="C363" s="502" t="s">
        <v>4363</v>
      </c>
      <c r="D363" s="119">
        <v>18</v>
      </c>
      <c r="E363" s="80"/>
      <c r="F363" s="80">
        <v>38.71</v>
      </c>
      <c r="G363" s="80"/>
      <c r="H363" s="80"/>
      <c r="I363" s="80">
        <v>70.97</v>
      </c>
      <c r="J363" s="80">
        <v>70.97</v>
      </c>
      <c r="K363" s="80"/>
      <c r="L363" s="80"/>
      <c r="M363" s="80"/>
      <c r="N363" s="80"/>
      <c r="O363" s="80"/>
      <c r="P363" s="80"/>
      <c r="Q363" s="139">
        <f t="shared" si="36"/>
        <v>60.216666666666669</v>
      </c>
      <c r="R363" s="144" t="str">
        <f t="shared" si="34"/>
        <v>NO</v>
      </c>
      <c r="S363" s="145" t="str">
        <f t="shared" si="35"/>
        <v>Alto</v>
      </c>
      <c r="T363" s="169"/>
    </row>
    <row r="364" spans="1:20" s="167" customFormat="1" ht="50.1" customHeight="1">
      <c r="A364" s="419" t="s">
        <v>45</v>
      </c>
      <c r="B364" s="110" t="s">
        <v>1279</v>
      </c>
      <c r="C364" s="502" t="s">
        <v>4364</v>
      </c>
      <c r="D364" s="119"/>
      <c r="E364" s="80"/>
      <c r="F364" s="80"/>
      <c r="G364" s="80"/>
      <c r="H364" s="80"/>
      <c r="I364" s="80">
        <v>98.06</v>
      </c>
      <c r="J364" s="80">
        <v>70.97</v>
      </c>
      <c r="K364" s="80"/>
      <c r="L364" s="80"/>
      <c r="M364" s="80"/>
      <c r="N364" s="80"/>
      <c r="O364" s="80"/>
      <c r="P364" s="80"/>
      <c r="Q364" s="139">
        <f t="shared" si="36"/>
        <v>84.515000000000001</v>
      </c>
      <c r="R364" s="144" t="str">
        <f t="shared" si="34"/>
        <v>NO</v>
      </c>
      <c r="S364" s="145" t="str">
        <f t="shared" si="35"/>
        <v>Inviable Sanitariamente</v>
      </c>
      <c r="T364" s="169"/>
    </row>
    <row r="365" spans="1:20" s="167" customFormat="1" ht="50.1" customHeight="1">
      <c r="A365" s="419" t="s">
        <v>45</v>
      </c>
      <c r="B365" s="110" t="s">
        <v>1280</v>
      </c>
      <c r="C365" s="502" t="s">
        <v>4365</v>
      </c>
      <c r="D365" s="119">
        <v>22</v>
      </c>
      <c r="E365" s="80">
        <v>70.97</v>
      </c>
      <c r="F365" s="80"/>
      <c r="G365" s="80">
        <v>19.350000000000001</v>
      </c>
      <c r="H365" s="80"/>
      <c r="I365" s="80">
        <v>0</v>
      </c>
      <c r="J365" s="80"/>
      <c r="K365" s="80"/>
      <c r="L365" s="80"/>
      <c r="M365" s="80"/>
      <c r="N365" s="80"/>
      <c r="O365" s="80"/>
      <c r="P365" s="80"/>
      <c r="Q365" s="139">
        <f t="shared" si="36"/>
        <v>30.106666666666666</v>
      </c>
      <c r="R365" s="144" t="str">
        <f t="shared" si="34"/>
        <v>NO</v>
      </c>
      <c r="S365" s="145" t="str">
        <f t="shared" si="35"/>
        <v>Medio</v>
      </c>
      <c r="T365" s="169"/>
    </row>
    <row r="366" spans="1:20" s="167" customFormat="1" ht="50.1" customHeight="1">
      <c r="A366" s="419" t="s">
        <v>45</v>
      </c>
      <c r="B366" s="110" t="s">
        <v>1281</v>
      </c>
      <c r="C366" s="502" t="s">
        <v>4366</v>
      </c>
      <c r="D366" s="119">
        <v>68</v>
      </c>
      <c r="E366" s="80"/>
      <c r="F366" s="80"/>
      <c r="G366" s="80"/>
      <c r="H366" s="80"/>
      <c r="I366" s="80">
        <v>70.97</v>
      </c>
      <c r="J366" s="80">
        <v>70.97</v>
      </c>
      <c r="K366" s="80"/>
      <c r="L366" s="80"/>
      <c r="M366" s="80"/>
      <c r="N366" s="80"/>
      <c r="O366" s="80"/>
      <c r="P366" s="80"/>
      <c r="Q366" s="139">
        <f t="shared" si="36"/>
        <v>70.97</v>
      </c>
      <c r="R366" s="144" t="str">
        <f t="shared" si="34"/>
        <v>NO</v>
      </c>
      <c r="S366" s="145" t="str">
        <f t="shared" si="35"/>
        <v>Alto</v>
      </c>
      <c r="T366" s="169"/>
    </row>
    <row r="367" spans="1:20" s="167" customFormat="1" ht="32.1" customHeight="1">
      <c r="A367" s="419" t="s">
        <v>219</v>
      </c>
      <c r="B367" s="110" t="s">
        <v>1282</v>
      </c>
      <c r="C367" s="502" t="s">
        <v>1283</v>
      </c>
      <c r="D367" s="119">
        <v>63</v>
      </c>
      <c r="E367" s="80"/>
      <c r="F367" s="80">
        <v>26.5</v>
      </c>
      <c r="G367" s="80">
        <v>0</v>
      </c>
      <c r="H367" s="80"/>
      <c r="I367" s="80">
        <v>0</v>
      </c>
      <c r="J367" s="80"/>
      <c r="K367" s="80">
        <v>0</v>
      </c>
      <c r="L367" s="80"/>
      <c r="M367" s="80">
        <v>0</v>
      </c>
      <c r="N367" s="80"/>
      <c r="O367" s="80">
        <v>0</v>
      </c>
      <c r="P367" s="80"/>
      <c r="Q367" s="139">
        <f t="shared" si="36"/>
        <v>4.416666666666667</v>
      </c>
      <c r="R367" s="144" t="str">
        <f t="shared" si="34"/>
        <v>SI</v>
      </c>
      <c r="S367" s="145" t="str">
        <f t="shared" si="35"/>
        <v>Sin Riesgo</v>
      </c>
      <c r="T367" s="169"/>
    </row>
    <row r="368" spans="1:20" s="167" customFormat="1" ht="32.1" customHeight="1">
      <c r="A368" s="419" t="s">
        <v>219</v>
      </c>
      <c r="B368" s="110" t="s">
        <v>1284</v>
      </c>
      <c r="C368" s="502" t="s">
        <v>1285</v>
      </c>
      <c r="D368" s="119">
        <v>162</v>
      </c>
      <c r="E368" s="80"/>
      <c r="F368" s="80">
        <v>0</v>
      </c>
      <c r="G368" s="80"/>
      <c r="H368" s="80">
        <v>0</v>
      </c>
      <c r="I368" s="80"/>
      <c r="J368" s="80">
        <v>0</v>
      </c>
      <c r="K368" s="80"/>
      <c r="L368" s="80">
        <v>0</v>
      </c>
      <c r="M368" s="80"/>
      <c r="N368" s="80">
        <v>0</v>
      </c>
      <c r="O368" s="80"/>
      <c r="P368" s="80">
        <v>56.5</v>
      </c>
      <c r="Q368" s="139">
        <f t="shared" si="36"/>
        <v>9.4166666666666661</v>
      </c>
      <c r="R368" s="144" t="str">
        <f t="shared" si="34"/>
        <v>NO</v>
      </c>
      <c r="S368" s="145" t="str">
        <f t="shared" si="35"/>
        <v>Bajo</v>
      </c>
      <c r="T368" s="169"/>
    </row>
    <row r="369" spans="1:20" s="167" customFormat="1" ht="32.1" customHeight="1">
      <c r="A369" s="419" t="s">
        <v>219</v>
      </c>
      <c r="B369" s="110" t="s">
        <v>1286</v>
      </c>
      <c r="C369" s="502" t="s">
        <v>1287</v>
      </c>
      <c r="D369" s="119">
        <v>265</v>
      </c>
      <c r="E369" s="80"/>
      <c r="F369" s="80">
        <v>53.1</v>
      </c>
      <c r="G369" s="80"/>
      <c r="H369" s="80">
        <v>0</v>
      </c>
      <c r="I369" s="80"/>
      <c r="J369" s="80">
        <v>0</v>
      </c>
      <c r="K369" s="80"/>
      <c r="L369" s="80">
        <v>0</v>
      </c>
      <c r="M369" s="80"/>
      <c r="N369" s="80">
        <v>53.1</v>
      </c>
      <c r="O369" s="80"/>
      <c r="P369" s="80">
        <v>0</v>
      </c>
      <c r="Q369" s="139">
        <f t="shared" si="36"/>
        <v>17.7</v>
      </c>
      <c r="R369" s="144" t="str">
        <f t="shared" si="34"/>
        <v>NO</v>
      </c>
      <c r="S369" s="145" t="str">
        <f t="shared" si="35"/>
        <v>Medio</v>
      </c>
      <c r="T369" s="169"/>
    </row>
    <row r="370" spans="1:20" s="167" customFormat="1" ht="32.1" customHeight="1">
      <c r="A370" s="419" t="s">
        <v>219</v>
      </c>
      <c r="B370" s="110" t="s">
        <v>808</v>
      </c>
      <c r="C370" s="502" t="s">
        <v>1288</v>
      </c>
      <c r="D370" s="119">
        <v>104</v>
      </c>
      <c r="E370" s="80"/>
      <c r="F370" s="80">
        <v>0</v>
      </c>
      <c r="G370" s="80">
        <v>0</v>
      </c>
      <c r="H370" s="80"/>
      <c r="I370" s="80">
        <v>0</v>
      </c>
      <c r="J370" s="80"/>
      <c r="K370" s="80">
        <v>0</v>
      </c>
      <c r="L370" s="80"/>
      <c r="M370" s="80">
        <v>0</v>
      </c>
      <c r="N370" s="80"/>
      <c r="O370" s="80">
        <v>0</v>
      </c>
      <c r="P370" s="80"/>
      <c r="Q370" s="139">
        <f t="shared" si="36"/>
        <v>0</v>
      </c>
      <c r="R370" s="144" t="str">
        <f t="shared" si="34"/>
        <v>SI</v>
      </c>
      <c r="S370" s="145" t="str">
        <f t="shared" si="35"/>
        <v>Sin Riesgo</v>
      </c>
      <c r="T370" s="169"/>
    </row>
    <row r="371" spans="1:20" s="167" customFormat="1" ht="32.1" customHeight="1">
      <c r="A371" s="419" t="s">
        <v>219</v>
      </c>
      <c r="B371" s="110" t="s">
        <v>1289</v>
      </c>
      <c r="C371" s="502" t="s">
        <v>1290</v>
      </c>
      <c r="D371" s="119">
        <v>210</v>
      </c>
      <c r="E371" s="80"/>
      <c r="F371" s="80">
        <v>26.5</v>
      </c>
      <c r="G371" s="80">
        <v>0</v>
      </c>
      <c r="H371" s="80"/>
      <c r="I371" s="80">
        <v>0</v>
      </c>
      <c r="J371" s="80"/>
      <c r="K371" s="80">
        <v>0</v>
      </c>
      <c r="L371" s="80"/>
      <c r="M371" s="80">
        <v>0</v>
      </c>
      <c r="N371" s="80"/>
      <c r="O371" s="80">
        <v>0</v>
      </c>
      <c r="P371" s="80"/>
      <c r="Q371" s="139">
        <f t="shared" si="36"/>
        <v>4.416666666666667</v>
      </c>
      <c r="R371" s="144" t="str">
        <f t="shared" si="34"/>
        <v>SI</v>
      </c>
      <c r="S371" s="145" t="str">
        <f t="shared" si="35"/>
        <v>Sin Riesgo</v>
      </c>
      <c r="T371" s="169"/>
    </row>
    <row r="372" spans="1:20" s="167" customFormat="1" ht="32.1" customHeight="1">
      <c r="A372" s="419" t="s">
        <v>219</v>
      </c>
      <c r="B372" s="110" t="s">
        <v>1127</v>
      </c>
      <c r="C372" s="502" t="s">
        <v>1291</v>
      </c>
      <c r="D372" s="119"/>
      <c r="E372" s="80"/>
      <c r="F372" s="80"/>
      <c r="G372" s="80"/>
      <c r="H372" s="80"/>
      <c r="I372" s="80"/>
      <c r="J372" s="80"/>
      <c r="K372" s="80"/>
      <c r="L372" s="80"/>
      <c r="M372" s="80"/>
      <c r="N372" s="80"/>
      <c r="O372" s="80"/>
      <c r="P372" s="80"/>
      <c r="Q372" s="139" t="e">
        <f t="shared" si="36"/>
        <v>#DIV/0!</v>
      </c>
      <c r="R372" s="144" t="e">
        <f t="shared" si="34"/>
        <v>#DIV/0!</v>
      </c>
      <c r="S372" s="145" t="e">
        <f t="shared" si="35"/>
        <v>#DIV/0!</v>
      </c>
      <c r="T372" s="169"/>
    </row>
    <row r="373" spans="1:20" s="167" customFormat="1" ht="32.1" customHeight="1">
      <c r="A373" s="419" t="s">
        <v>219</v>
      </c>
      <c r="B373" s="110" t="s">
        <v>1292</v>
      </c>
      <c r="C373" s="502" t="s">
        <v>1293</v>
      </c>
      <c r="D373" s="119">
        <v>85</v>
      </c>
      <c r="E373" s="80"/>
      <c r="F373" s="80">
        <v>0</v>
      </c>
      <c r="G373" s="80">
        <v>0</v>
      </c>
      <c r="H373" s="80"/>
      <c r="I373" s="80">
        <v>0</v>
      </c>
      <c r="J373" s="80"/>
      <c r="K373" s="80">
        <v>0</v>
      </c>
      <c r="L373" s="80"/>
      <c r="M373" s="80">
        <v>0</v>
      </c>
      <c r="N373" s="80"/>
      <c r="O373" s="80">
        <v>0</v>
      </c>
      <c r="P373" s="80"/>
      <c r="Q373" s="139">
        <f t="shared" si="36"/>
        <v>0</v>
      </c>
      <c r="R373" s="144" t="str">
        <f t="shared" si="34"/>
        <v>SI</v>
      </c>
      <c r="S373" s="145" t="str">
        <f t="shared" si="35"/>
        <v>Sin Riesgo</v>
      </c>
      <c r="T373" s="169"/>
    </row>
    <row r="374" spans="1:20" s="167" customFormat="1" ht="32.1" customHeight="1">
      <c r="A374" s="419" t="s">
        <v>219</v>
      </c>
      <c r="B374" s="110" t="s">
        <v>1294</v>
      </c>
      <c r="C374" s="502" t="s">
        <v>1295</v>
      </c>
      <c r="D374" s="114">
        <v>63</v>
      </c>
      <c r="E374" s="80"/>
      <c r="F374" s="80">
        <v>97.3</v>
      </c>
      <c r="G374" s="80"/>
      <c r="H374" s="80"/>
      <c r="I374" s="80"/>
      <c r="J374" s="80"/>
      <c r="K374" s="80">
        <v>97.3</v>
      </c>
      <c r="L374" s="80"/>
      <c r="M374" s="80"/>
      <c r="N374" s="80"/>
      <c r="O374" s="80"/>
      <c r="P374" s="80"/>
      <c r="Q374" s="139">
        <f t="shared" si="36"/>
        <v>97.3</v>
      </c>
      <c r="R374" s="144" t="str">
        <f t="shared" si="34"/>
        <v>NO</v>
      </c>
      <c r="S374" s="145" t="str">
        <f t="shared" si="35"/>
        <v>Inviable Sanitariamente</v>
      </c>
      <c r="T374" s="169"/>
    </row>
    <row r="375" spans="1:20" s="167" customFormat="1" ht="32.1" customHeight="1">
      <c r="A375" s="419" t="s">
        <v>219</v>
      </c>
      <c r="B375" s="110" t="s">
        <v>1112</v>
      </c>
      <c r="C375" s="502" t="s">
        <v>1296</v>
      </c>
      <c r="D375" s="119">
        <v>163</v>
      </c>
      <c r="E375" s="80"/>
      <c r="F375" s="80"/>
      <c r="G375" s="80"/>
      <c r="H375" s="80"/>
      <c r="I375" s="80"/>
      <c r="J375" s="80"/>
      <c r="K375" s="80"/>
      <c r="L375" s="80">
        <v>97.3</v>
      </c>
      <c r="M375" s="80"/>
      <c r="N375" s="80"/>
      <c r="O375" s="80"/>
      <c r="P375" s="80"/>
      <c r="Q375" s="139">
        <f t="shared" si="36"/>
        <v>97.3</v>
      </c>
      <c r="R375" s="144" t="str">
        <f t="shared" si="34"/>
        <v>NO</v>
      </c>
      <c r="S375" s="145" t="str">
        <f t="shared" si="35"/>
        <v>Inviable Sanitariamente</v>
      </c>
      <c r="T375" s="169"/>
    </row>
    <row r="376" spans="1:20" s="167" customFormat="1" ht="32.1" customHeight="1">
      <c r="A376" s="419" t="s">
        <v>219</v>
      </c>
      <c r="B376" s="110" t="s">
        <v>1297</v>
      </c>
      <c r="C376" s="502" t="s">
        <v>1298</v>
      </c>
      <c r="D376" s="119">
        <v>40</v>
      </c>
      <c r="E376" s="80"/>
      <c r="F376" s="80">
        <v>97.3</v>
      </c>
      <c r="G376" s="80"/>
      <c r="H376" s="80"/>
      <c r="I376" s="80"/>
      <c r="J376" s="80"/>
      <c r="K376" s="80"/>
      <c r="L376" s="80">
        <v>97.3</v>
      </c>
      <c r="M376" s="80"/>
      <c r="N376" s="80"/>
      <c r="O376" s="80"/>
      <c r="P376" s="80">
        <v>97.3</v>
      </c>
      <c r="Q376" s="139">
        <f t="shared" si="36"/>
        <v>97.3</v>
      </c>
      <c r="R376" s="144" t="str">
        <f t="shared" si="34"/>
        <v>NO</v>
      </c>
      <c r="S376" s="145" t="str">
        <f t="shared" si="35"/>
        <v>Inviable Sanitariamente</v>
      </c>
      <c r="T376" s="169"/>
    </row>
    <row r="377" spans="1:20" s="167" customFormat="1" ht="32.1" customHeight="1">
      <c r="A377" s="419" t="s">
        <v>219</v>
      </c>
      <c r="B377" s="110" t="s">
        <v>1299</v>
      </c>
      <c r="C377" s="502" t="s">
        <v>1300</v>
      </c>
      <c r="D377" s="114">
        <v>39</v>
      </c>
      <c r="E377" s="80"/>
      <c r="F377" s="80"/>
      <c r="G377" s="80"/>
      <c r="H377" s="80">
        <v>97.3</v>
      </c>
      <c r="I377" s="80"/>
      <c r="J377" s="80"/>
      <c r="K377" s="80"/>
      <c r="L377" s="80"/>
      <c r="M377" s="80">
        <v>97.3</v>
      </c>
      <c r="N377" s="80"/>
      <c r="O377" s="80"/>
      <c r="P377" s="80"/>
      <c r="Q377" s="139">
        <f t="shared" si="36"/>
        <v>97.3</v>
      </c>
      <c r="R377" s="144" t="str">
        <f t="shared" si="34"/>
        <v>NO</v>
      </c>
      <c r="S377" s="145" t="str">
        <f t="shared" si="35"/>
        <v>Inviable Sanitariamente</v>
      </c>
      <c r="T377" s="169"/>
    </row>
    <row r="378" spans="1:20" s="167" customFormat="1" ht="32.1" customHeight="1">
      <c r="A378" s="419" t="s">
        <v>219</v>
      </c>
      <c r="B378" s="110" t="s">
        <v>494</v>
      </c>
      <c r="C378" s="502" t="s">
        <v>1301</v>
      </c>
      <c r="D378" s="119">
        <v>22</v>
      </c>
      <c r="E378" s="80"/>
      <c r="F378" s="80"/>
      <c r="G378" s="80">
        <v>97.3</v>
      </c>
      <c r="H378" s="80"/>
      <c r="I378" s="80"/>
      <c r="J378" s="80"/>
      <c r="K378" s="80"/>
      <c r="L378" s="80"/>
      <c r="M378" s="80">
        <v>97.3</v>
      </c>
      <c r="N378" s="80"/>
      <c r="O378" s="80"/>
      <c r="P378" s="80"/>
      <c r="Q378" s="139">
        <f t="shared" si="36"/>
        <v>97.3</v>
      </c>
      <c r="R378" s="144" t="str">
        <f t="shared" si="34"/>
        <v>NO</v>
      </c>
      <c r="S378" s="145" t="str">
        <f t="shared" si="35"/>
        <v>Inviable Sanitariamente</v>
      </c>
      <c r="T378" s="169"/>
    </row>
    <row r="379" spans="1:20" s="167" customFormat="1" ht="32.1" customHeight="1">
      <c r="A379" s="419" t="s">
        <v>219</v>
      </c>
      <c r="B379" s="110" t="s">
        <v>1302</v>
      </c>
      <c r="C379" s="502" t="s">
        <v>1303</v>
      </c>
      <c r="D379" s="119">
        <v>24</v>
      </c>
      <c r="E379" s="80"/>
      <c r="F379" s="80"/>
      <c r="G379" s="80"/>
      <c r="H379" s="80">
        <v>97.3</v>
      </c>
      <c r="I379" s="80"/>
      <c r="J379" s="80"/>
      <c r="K379" s="80"/>
      <c r="L379" s="80"/>
      <c r="M379" s="80"/>
      <c r="N379" s="80">
        <v>97.3</v>
      </c>
      <c r="O379" s="80"/>
      <c r="P379" s="80"/>
      <c r="Q379" s="139">
        <f t="shared" si="36"/>
        <v>97.3</v>
      </c>
      <c r="R379" s="144" t="str">
        <f t="shared" si="34"/>
        <v>NO</v>
      </c>
      <c r="S379" s="145" t="str">
        <f t="shared" si="35"/>
        <v>Inviable Sanitariamente</v>
      </c>
      <c r="T379" s="169"/>
    </row>
    <row r="380" spans="1:20" s="167" customFormat="1" ht="32.1" customHeight="1">
      <c r="A380" s="419" t="s">
        <v>219</v>
      </c>
      <c r="B380" s="110" t="s">
        <v>1304</v>
      </c>
      <c r="C380" s="502" t="s">
        <v>1305</v>
      </c>
      <c r="D380" s="114">
        <v>43</v>
      </c>
      <c r="E380" s="80"/>
      <c r="F380" s="80">
        <v>97.3</v>
      </c>
      <c r="G380" s="80"/>
      <c r="H380" s="80">
        <v>0</v>
      </c>
      <c r="I380" s="80"/>
      <c r="J380" s="80">
        <v>0</v>
      </c>
      <c r="K380" s="80"/>
      <c r="L380" s="80">
        <v>0</v>
      </c>
      <c r="M380" s="80"/>
      <c r="N380" s="80">
        <v>97.3</v>
      </c>
      <c r="O380" s="80"/>
      <c r="P380" s="80">
        <v>0</v>
      </c>
      <c r="Q380" s="139">
        <f t="shared" si="36"/>
        <v>32.43333333333333</v>
      </c>
      <c r="R380" s="144" t="str">
        <f t="shared" si="34"/>
        <v>NO</v>
      </c>
      <c r="S380" s="145" t="str">
        <f t="shared" si="35"/>
        <v>Medio</v>
      </c>
      <c r="T380" s="169"/>
    </row>
    <row r="381" spans="1:20" s="167" customFormat="1" ht="32.1" customHeight="1">
      <c r="A381" s="419" t="s">
        <v>219</v>
      </c>
      <c r="B381" s="110" t="s">
        <v>863</v>
      </c>
      <c r="C381" s="502" t="s">
        <v>1306</v>
      </c>
      <c r="D381" s="119">
        <v>110</v>
      </c>
      <c r="E381" s="80"/>
      <c r="F381" s="80">
        <v>97.3</v>
      </c>
      <c r="G381" s="80"/>
      <c r="H381" s="80">
        <v>97.3</v>
      </c>
      <c r="I381" s="80"/>
      <c r="J381" s="80">
        <v>97.3</v>
      </c>
      <c r="K381" s="80"/>
      <c r="L381" s="80">
        <v>97.3</v>
      </c>
      <c r="M381" s="80"/>
      <c r="N381" s="80"/>
      <c r="O381" s="80">
        <v>97.3</v>
      </c>
      <c r="P381" s="80">
        <v>97.3</v>
      </c>
      <c r="Q381" s="139">
        <f t="shared" si="36"/>
        <v>97.3</v>
      </c>
      <c r="R381" s="144" t="str">
        <f t="shared" si="34"/>
        <v>NO</v>
      </c>
      <c r="S381" s="145" t="str">
        <f t="shared" si="35"/>
        <v>Inviable Sanitariamente</v>
      </c>
      <c r="T381" s="169"/>
    </row>
    <row r="382" spans="1:20" s="167" customFormat="1" ht="32.1" customHeight="1">
      <c r="A382" s="419" t="s">
        <v>219</v>
      </c>
      <c r="B382" s="110" t="s">
        <v>1307</v>
      </c>
      <c r="C382" s="502" t="s">
        <v>1308</v>
      </c>
      <c r="D382" s="119">
        <v>109</v>
      </c>
      <c r="E382" s="80"/>
      <c r="F382" s="80"/>
      <c r="G382" s="80">
        <v>97.3</v>
      </c>
      <c r="H382" s="80"/>
      <c r="I382" s="80"/>
      <c r="J382" s="80"/>
      <c r="K382" s="80"/>
      <c r="L382" s="80"/>
      <c r="M382" s="80"/>
      <c r="N382" s="80"/>
      <c r="O382" s="80">
        <v>97.3</v>
      </c>
      <c r="P382" s="80"/>
      <c r="Q382" s="139">
        <f t="shared" si="36"/>
        <v>97.3</v>
      </c>
      <c r="R382" s="144" t="str">
        <f t="shared" si="34"/>
        <v>NO</v>
      </c>
      <c r="S382" s="145" t="str">
        <f t="shared" si="35"/>
        <v>Inviable Sanitariamente</v>
      </c>
      <c r="T382" s="169"/>
    </row>
    <row r="383" spans="1:20" s="171" customFormat="1" ht="32.1" customHeight="1">
      <c r="A383" s="419" t="s">
        <v>219</v>
      </c>
      <c r="B383" s="110" t="s">
        <v>1309</v>
      </c>
      <c r="C383" s="502" t="s">
        <v>1310</v>
      </c>
      <c r="D383" s="119">
        <v>25</v>
      </c>
      <c r="E383" s="80"/>
      <c r="F383" s="80"/>
      <c r="G383" s="80">
        <v>97.3</v>
      </c>
      <c r="H383" s="80"/>
      <c r="I383" s="80"/>
      <c r="J383" s="80"/>
      <c r="K383" s="80"/>
      <c r="L383" s="80"/>
      <c r="M383" s="80"/>
      <c r="N383" s="80">
        <v>97.3</v>
      </c>
      <c r="O383" s="80"/>
      <c r="P383" s="80"/>
      <c r="Q383" s="139">
        <f t="shared" si="36"/>
        <v>97.3</v>
      </c>
      <c r="R383" s="144" t="str">
        <f t="shared" si="34"/>
        <v>NO</v>
      </c>
      <c r="S383" s="145" t="str">
        <f t="shared" si="35"/>
        <v>Inviable Sanitariamente</v>
      </c>
      <c r="T383" s="125"/>
    </row>
    <row r="384" spans="1:20" s="167" customFormat="1" ht="32.1" customHeight="1">
      <c r="A384" s="419" t="s">
        <v>219</v>
      </c>
      <c r="B384" s="110" t="s">
        <v>676</v>
      </c>
      <c r="C384" s="502" t="s">
        <v>1311</v>
      </c>
      <c r="D384" s="119">
        <v>80</v>
      </c>
      <c r="E384" s="80"/>
      <c r="F384" s="80">
        <v>0</v>
      </c>
      <c r="G384" s="80">
        <v>26.5</v>
      </c>
      <c r="H384" s="80"/>
      <c r="I384" s="80">
        <v>0</v>
      </c>
      <c r="J384" s="80"/>
      <c r="K384" s="80">
        <v>0</v>
      </c>
      <c r="L384" s="80"/>
      <c r="M384" s="80">
        <v>0</v>
      </c>
      <c r="N384" s="80"/>
      <c r="O384" s="80">
        <v>0</v>
      </c>
      <c r="P384" s="80"/>
      <c r="Q384" s="139">
        <f t="shared" si="36"/>
        <v>4.416666666666667</v>
      </c>
      <c r="R384" s="144" t="str">
        <f t="shared" ref="R384:R433" si="40">IF(Q384&lt;5,"SI","NO")</f>
        <v>SI</v>
      </c>
      <c r="S384" s="145" t="str">
        <f t="shared" si="35"/>
        <v>Sin Riesgo</v>
      </c>
      <c r="T384" s="169"/>
    </row>
    <row r="385" spans="1:20" s="167" customFormat="1" ht="32.1" customHeight="1">
      <c r="A385" s="419" t="s">
        <v>220</v>
      </c>
      <c r="B385" s="110" t="s">
        <v>1312</v>
      </c>
      <c r="C385" s="502" t="s">
        <v>1313</v>
      </c>
      <c r="D385" s="119">
        <v>57</v>
      </c>
      <c r="E385" s="80">
        <v>0</v>
      </c>
      <c r="F385" s="80">
        <v>0</v>
      </c>
      <c r="G385" s="80"/>
      <c r="H385" s="80">
        <v>0</v>
      </c>
      <c r="I385" s="80"/>
      <c r="J385" s="80">
        <v>0</v>
      </c>
      <c r="K385" s="80"/>
      <c r="L385" s="80">
        <v>0</v>
      </c>
      <c r="M385" s="80"/>
      <c r="N385" s="80">
        <v>0</v>
      </c>
      <c r="O385" s="80"/>
      <c r="P385" s="80">
        <v>0</v>
      </c>
      <c r="Q385" s="139">
        <f t="shared" si="36"/>
        <v>0</v>
      </c>
      <c r="R385" s="144" t="str">
        <f t="shared" si="40"/>
        <v>SI</v>
      </c>
      <c r="S385" s="145" t="str">
        <f t="shared" si="35"/>
        <v>Sin Riesgo</v>
      </c>
      <c r="T385" s="169"/>
    </row>
    <row r="386" spans="1:20" s="167" customFormat="1" ht="32.1" customHeight="1">
      <c r="A386" s="419" t="s">
        <v>220</v>
      </c>
      <c r="B386" s="110" t="s">
        <v>1314</v>
      </c>
      <c r="C386" s="502" t="s">
        <v>1315</v>
      </c>
      <c r="D386" s="119">
        <v>98</v>
      </c>
      <c r="E386" s="80">
        <v>0</v>
      </c>
      <c r="F386" s="80">
        <v>0</v>
      </c>
      <c r="G386" s="80"/>
      <c r="H386" s="80">
        <v>0</v>
      </c>
      <c r="I386" s="80"/>
      <c r="J386" s="80">
        <v>0</v>
      </c>
      <c r="K386" s="80"/>
      <c r="L386" s="80">
        <v>0</v>
      </c>
      <c r="M386" s="80"/>
      <c r="N386" s="80">
        <v>0</v>
      </c>
      <c r="O386" s="80"/>
      <c r="P386" s="80">
        <v>0</v>
      </c>
      <c r="Q386" s="139">
        <f t="shared" si="36"/>
        <v>0</v>
      </c>
      <c r="R386" s="144" t="str">
        <f t="shared" si="40"/>
        <v>SI</v>
      </c>
      <c r="S386" s="145" t="str">
        <f t="shared" si="35"/>
        <v>Sin Riesgo</v>
      </c>
      <c r="T386" s="169"/>
    </row>
    <row r="387" spans="1:20" s="167" customFormat="1" ht="32.1" customHeight="1">
      <c r="A387" s="419" t="s">
        <v>220</v>
      </c>
      <c r="B387" s="110" t="s">
        <v>1316</v>
      </c>
      <c r="C387" s="502" t="s">
        <v>1317</v>
      </c>
      <c r="D387" s="119">
        <v>379</v>
      </c>
      <c r="E387" s="80">
        <v>0</v>
      </c>
      <c r="F387" s="80">
        <v>0</v>
      </c>
      <c r="G387" s="80">
        <v>0</v>
      </c>
      <c r="H387" s="80">
        <v>0</v>
      </c>
      <c r="I387" s="80">
        <v>0</v>
      </c>
      <c r="J387" s="80">
        <v>0</v>
      </c>
      <c r="K387" s="80">
        <v>0</v>
      </c>
      <c r="L387" s="80">
        <v>0</v>
      </c>
      <c r="M387" s="80">
        <v>0</v>
      </c>
      <c r="N387" s="80">
        <v>0</v>
      </c>
      <c r="O387" s="80">
        <v>0</v>
      </c>
      <c r="P387" s="80">
        <v>0</v>
      </c>
      <c r="Q387" s="139">
        <f t="shared" si="36"/>
        <v>0</v>
      </c>
      <c r="R387" s="144" t="str">
        <f t="shared" si="40"/>
        <v>SI</v>
      </c>
      <c r="S387" s="145" t="str">
        <f t="shared" si="35"/>
        <v>Sin Riesgo</v>
      </c>
      <c r="T387" s="169"/>
    </row>
    <row r="388" spans="1:20" s="167" customFormat="1" ht="32.1" customHeight="1">
      <c r="A388" s="419" t="s">
        <v>220</v>
      </c>
      <c r="B388" s="110" t="s">
        <v>631</v>
      </c>
      <c r="C388" s="502" t="s">
        <v>1318</v>
      </c>
      <c r="D388" s="119">
        <v>251</v>
      </c>
      <c r="E388" s="80">
        <v>0</v>
      </c>
      <c r="F388" s="80">
        <v>0</v>
      </c>
      <c r="G388" s="80">
        <v>0</v>
      </c>
      <c r="H388" s="80">
        <v>0</v>
      </c>
      <c r="I388" s="80">
        <v>0</v>
      </c>
      <c r="J388" s="80">
        <v>0</v>
      </c>
      <c r="K388" s="80">
        <v>0</v>
      </c>
      <c r="L388" s="80">
        <v>0</v>
      </c>
      <c r="M388" s="80">
        <v>0</v>
      </c>
      <c r="N388" s="80">
        <v>0</v>
      </c>
      <c r="O388" s="80">
        <v>0</v>
      </c>
      <c r="P388" s="80">
        <v>0</v>
      </c>
      <c r="Q388" s="139">
        <f t="shared" si="36"/>
        <v>0</v>
      </c>
      <c r="R388" s="144" t="str">
        <f t="shared" si="40"/>
        <v>SI</v>
      </c>
      <c r="S388" s="145" t="str">
        <f t="shared" si="35"/>
        <v>Sin Riesgo</v>
      </c>
      <c r="T388" s="169"/>
    </row>
    <row r="389" spans="1:20" s="167" customFormat="1" ht="32.1" customHeight="1">
      <c r="A389" s="419" t="s">
        <v>220</v>
      </c>
      <c r="B389" s="110" t="s">
        <v>1319</v>
      </c>
      <c r="C389" s="502" t="s">
        <v>1320</v>
      </c>
      <c r="D389" s="119">
        <v>251</v>
      </c>
      <c r="E389" s="80">
        <v>0</v>
      </c>
      <c r="F389" s="80">
        <v>0</v>
      </c>
      <c r="G389" s="80">
        <v>0</v>
      </c>
      <c r="H389" s="80">
        <v>0</v>
      </c>
      <c r="I389" s="80">
        <v>0</v>
      </c>
      <c r="J389" s="80">
        <v>0</v>
      </c>
      <c r="K389" s="80">
        <v>0</v>
      </c>
      <c r="L389" s="80">
        <v>0</v>
      </c>
      <c r="M389" s="80">
        <v>0</v>
      </c>
      <c r="N389" s="80">
        <v>0</v>
      </c>
      <c r="O389" s="80">
        <v>0</v>
      </c>
      <c r="P389" s="80">
        <v>0</v>
      </c>
      <c r="Q389" s="139">
        <f t="shared" si="36"/>
        <v>0</v>
      </c>
      <c r="R389" s="144" t="str">
        <f t="shared" si="40"/>
        <v>SI</v>
      </c>
      <c r="S389" s="145" t="str">
        <f t="shared" si="35"/>
        <v>Sin Riesgo</v>
      </c>
      <c r="T389" s="169"/>
    </row>
    <row r="390" spans="1:20" s="167" customFormat="1" ht="32.1" customHeight="1">
      <c r="A390" s="419" t="s">
        <v>220</v>
      </c>
      <c r="B390" s="110" t="s">
        <v>1321</v>
      </c>
      <c r="C390" s="502" t="s">
        <v>1322</v>
      </c>
      <c r="D390" s="119">
        <v>219</v>
      </c>
      <c r="E390" s="80">
        <v>0</v>
      </c>
      <c r="F390" s="80">
        <v>0</v>
      </c>
      <c r="G390" s="80">
        <v>0</v>
      </c>
      <c r="H390" s="80">
        <v>0</v>
      </c>
      <c r="I390" s="80">
        <v>0</v>
      </c>
      <c r="J390" s="80">
        <v>0</v>
      </c>
      <c r="K390" s="80">
        <v>0</v>
      </c>
      <c r="L390" s="80">
        <v>0</v>
      </c>
      <c r="M390" s="80">
        <v>0</v>
      </c>
      <c r="N390" s="80">
        <v>0</v>
      </c>
      <c r="O390" s="80">
        <v>0</v>
      </c>
      <c r="P390" s="80">
        <v>0</v>
      </c>
      <c r="Q390" s="139">
        <f t="shared" si="36"/>
        <v>0</v>
      </c>
      <c r="R390" s="144" t="str">
        <f t="shared" si="40"/>
        <v>SI</v>
      </c>
      <c r="S390" s="145" t="str">
        <f t="shared" si="35"/>
        <v>Sin Riesgo</v>
      </c>
      <c r="T390" s="169"/>
    </row>
    <row r="391" spans="1:20" s="167" customFormat="1" ht="32.1" customHeight="1">
      <c r="A391" s="419" t="s">
        <v>220</v>
      </c>
      <c r="B391" s="110" t="s">
        <v>1323</v>
      </c>
      <c r="C391" s="502" t="s">
        <v>1324</v>
      </c>
      <c r="D391" s="119">
        <v>398</v>
      </c>
      <c r="E391" s="80">
        <v>0</v>
      </c>
      <c r="F391" s="80">
        <v>29</v>
      </c>
      <c r="G391" s="80">
        <v>0</v>
      </c>
      <c r="H391" s="80">
        <v>0</v>
      </c>
      <c r="I391" s="80">
        <v>0</v>
      </c>
      <c r="J391" s="80">
        <v>26.5</v>
      </c>
      <c r="K391" s="80">
        <v>0</v>
      </c>
      <c r="L391" s="80">
        <v>0</v>
      </c>
      <c r="M391" s="80">
        <v>0</v>
      </c>
      <c r="N391" s="80">
        <v>0</v>
      </c>
      <c r="O391" s="80">
        <v>0</v>
      </c>
      <c r="P391" s="80">
        <v>0</v>
      </c>
      <c r="Q391" s="139">
        <f t="shared" si="36"/>
        <v>4.625</v>
      </c>
      <c r="R391" s="144" t="str">
        <f t="shared" si="40"/>
        <v>SI</v>
      </c>
      <c r="S391" s="145" t="str">
        <f t="shared" si="35"/>
        <v>Sin Riesgo</v>
      </c>
      <c r="T391" s="169"/>
    </row>
    <row r="392" spans="1:20" s="167" customFormat="1" ht="32.1" customHeight="1">
      <c r="A392" s="419" t="s">
        <v>220</v>
      </c>
      <c r="B392" s="110" t="s">
        <v>1325</v>
      </c>
      <c r="C392" s="502" t="s">
        <v>1326</v>
      </c>
      <c r="D392" s="114">
        <v>251</v>
      </c>
      <c r="E392" s="80">
        <v>0</v>
      </c>
      <c r="F392" s="80">
        <v>0</v>
      </c>
      <c r="G392" s="80">
        <v>0</v>
      </c>
      <c r="H392" s="80">
        <v>0</v>
      </c>
      <c r="I392" s="80">
        <v>26.5</v>
      </c>
      <c r="J392" s="80">
        <v>0</v>
      </c>
      <c r="K392" s="80">
        <v>0</v>
      </c>
      <c r="L392" s="80">
        <v>0</v>
      </c>
      <c r="M392" s="80">
        <v>0</v>
      </c>
      <c r="N392" s="80">
        <v>0</v>
      </c>
      <c r="O392" s="80">
        <v>0</v>
      </c>
      <c r="P392" s="80">
        <v>0</v>
      </c>
      <c r="Q392" s="139">
        <f t="shared" si="36"/>
        <v>2.2083333333333335</v>
      </c>
      <c r="R392" s="144" t="str">
        <f t="shared" si="40"/>
        <v>SI</v>
      </c>
      <c r="S392" s="145" t="str">
        <f t="shared" si="35"/>
        <v>Sin Riesgo</v>
      </c>
      <c r="T392" s="169"/>
    </row>
    <row r="393" spans="1:20" s="167" customFormat="1" ht="32.1" customHeight="1">
      <c r="A393" s="419" t="s">
        <v>220</v>
      </c>
      <c r="B393" s="110" t="s">
        <v>243</v>
      </c>
      <c r="C393" s="502" t="s">
        <v>1327</v>
      </c>
      <c r="D393" s="119">
        <v>367</v>
      </c>
      <c r="E393" s="80">
        <v>0</v>
      </c>
      <c r="F393" s="80">
        <v>0</v>
      </c>
      <c r="G393" s="80">
        <v>0</v>
      </c>
      <c r="H393" s="80">
        <v>0</v>
      </c>
      <c r="I393" s="80">
        <v>26.5</v>
      </c>
      <c r="J393" s="80">
        <v>26.5</v>
      </c>
      <c r="K393" s="80">
        <v>0</v>
      </c>
      <c r="L393" s="80">
        <v>0</v>
      </c>
      <c r="M393" s="80">
        <v>0</v>
      </c>
      <c r="N393" s="80">
        <v>0</v>
      </c>
      <c r="O393" s="80">
        <v>0</v>
      </c>
      <c r="P393" s="80">
        <v>0</v>
      </c>
      <c r="Q393" s="139">
        <f t="shared" si="36"/>
        <v>4.416666666666667</v>
      </c>
      <c r="R393" s="144" t="str">
        <f t="shared" si="40"/>
        <v>SI</v>
      </c>
      <c r="S393" s="145" t="str">
        <f t="shared" si="35"/>
        <v>Sin Riesgo</v>
      </c>
      <c r="T393" s="169"/>
    </row>
    <row r="394" spans="1:20" s="167" customFormat="1" ht="32.1" customHeight="1">
      <c r="A394" s="419" t="s">
        <v>220</v>
      </c>
      <c r="B394" s="110" t="s">
        <v>1328</v>
      </c>
      <c r="C394" s="502" t="s">
        <v>1329</v>
      </c>
      <c r="D394" s="119">
        <v>276</v>
      </c>
      <c r="E394" s="80">
        <v>70</v>
      </c>
      <c r="F394" s="80">
        <v>97</v>
      </c>
      <c r="G394" s="80">
        <v>0</v>
      </c>
      <c r="H394" s="80">
        <v>0</v>
      </c>
      <c r="I394" s="80">
        <v>0</v>
      </c>
      <c r="J394" s="80">
        <v>53</v>
      </c>
      <c r="K394" s="80">
        <v>0</v>
      </c>
      <c r="L394" s="80">
        <v>0</v>
      </c>
      <c r="M394" s="80">
        <v>0</v>
      </c>
      <c r="N394" s="80">
        <v>0</v>
      </c>
      <c r="O394" s="80">
        <v>0</v>
      </c>
      <c r="P394" s="80">
        <v>0</v>
      </c>
      <c r="Q394" s="139">
        <f t="shared" si="36"/>
        <v>18.333333333333332</v>
      </c>
      <c r="R394" s="144" t="str">
        <f t="shared" si="40"/>
        <v>NO</v>
      </c>
      <c r="S394" s="145" t="str">
        <f t="shared" si="35"/>
        <v>Medio</v>
      </c>
      <c r="T394" s="169"/>
    </row>
    <row r="395" spans="1:20" s="167" customFormat="1" ht="32.1" customHeight="1">
      <c r="A395" s="419" t="s">
        <v>220</v>
      </c>
      <c r="B395" s="110" t="s">
        <v>1330</v>
      </c>
      <c r="C395" s="502" t="s">
        <v>1331</v>
      </c>
      <c r="D395" s="114">
        <v>17</v>
      </c>
      <c r="E395" s="80">
        <v>0</v>
      </c>
      <c r="F395" s="80">
        <v>21</v>
      </c>
      <c r="G395" s="80">
        <v>0</v>
      </c>
      <c r="H395" s="80">
        <v>21</v>
      </c>
      <c r="I395" s="80">
        <v>0</v>
      </c>
      <c r="J395" s="80">
        <v>21</v>
      </c>
      <c r="K395" s="80">
        <v>62.9</v>
      </c>
      <c r="L395" s="80">
        <v>0</v>
      </c>
      <c r="M395" s="80">
        <v>0</v>
      </c>
      <c r="N395" s="80">
        <v>62.9</v>
      </c>
      <c r="O395" s="80">
        <v>0</v>
      </c>
      <c r="P395" s="80">
        <v>0</v>
      </c>
      <c r="Q395" s="139">
        <f t="shared" si="36"/>
        <v>15.733333333333334</v>
      </c>
      <c r="R395" s="144" t="str">
        <f t="shared" si="40"/>
        <v>NO</v>
      </c>
      <c r="S395" s="145" t="str">
        <f t="shared" ref="S395:S461" si="41">IF(Q395&lt;5,"Sin Riesgo",IF(Q395 &lt;=14,"Bajo",IF(Q395&lt;=35,"Medio",IF(Q395&lt;=80,"Alto","Inviable Sanitariamente"))))</f>
        <v>Medio</v>
      </c>
      <c r="T395" s="169"/>
    </row>
    <row r="396" spans="1:20" s="167" customFormat="1" ht="32.1" customHeight="1">
      <c r="A396" s="419" t="s">
        <v>220</v>
      </c>
      <c r="B396" s="110" t="s">
        <v>1332</v>
      </c>
      <c r="C396" s="502" t="s">
        <v>1333</v>
      </c>
      <c r="D396" s="119">
        <v>343</v>
      </c>
      <c r="E396" s="80">
        <v>21</v>
      </c>
      <c r="F396" s="80">
        <v>0</v>
      </c>
      <c r="G396" s="80">
        <v>0</v>
      </c>
      <c r="H396" s="80">
        <v>0</v>
      </c>
      <c r="I396" s="80">
        <v>21</v>
      </c>
      <c r="J396" s="80">
        <v>26.5</v>
      </c>
      <c r="K396" s="80">
        <v>62.9</v>
      </c>
      <c r="L396" s="80">
        <v>0</v>
      </c>
      <c r="M396" s="80">
        <v>0</v>
      </c>
      <c r="N396" s="80">
        <v>62.9</v>
      </c>
      <c r="O396" s="80">
        <v>21</v>
      </c>
      <c r="P396" s="80">
        <v>0</v>
      </c>
      <c r="Q396" s="139">
        <f t="shared" si="36"/>
        <v>17.941666666666666</v>
      </c>
      <c r="R396" s="144" t="str">
        <f t="shared" si="40"/>
        <v>NO</v>
      </c>
      <c r="S396" s="145" t="str">
        <f t="shared" si="41"/>
        <v>Medio</v>
      </c>
      <c r="T396" s="169"/>
    </row>
    <row r="397" spans="1:20" s="167" customFormat="1" ht="32.1" customHeight="1">
      <c r="A397" s="419" t="s">
        <v>220</v>
      </c>
      <c r="B397" s="110" t="s">
        <v>1334</v>
      </c>
      <c r="C397" s="502" t="s">
        <v>1335</v>
      </c>
      <c r="D397" s="119">
        <v>108</v>
      </c>
      <c r="E397" s="80">
        <v>21</v>
      </c>
      <c r="F397" s="80">
        <v>0</v>
      </c>
      <c r="G397" s="80">
        <v>0</v>
      </c>
      <c r="H397" s="80">
        <v>0</v>
      </c>
      <c r="I397" s="80">
        <v>21</v>
      </c>
      <c r="J397" s="80">
        <v>26.5</v>
      </c>
      <c r="K397" s="80">
        <v>62.9</v>
      </c>
      <c r="L397" s="80">
        <v>0</v>
      </c>
      <c r="M397" s="80">
        <v>0</v>
      </c>
      <c r="N397" s="80">
        <v>62.9</v>
      </c>
      <c r="O397" s="80">
        <v>0</v>
      </c>
      <c r="P397" s="80">
        <v>0</v>
      </c>
      <c r="Q397" s="139">
        <f t="shared" si="36"/>
        <v>16.191666666666666</v>
      </c>
      <c r="R397" s="144" t="str">
        <f t="shared" si="40"/>
        <v>NO</v>
      </c>
      <c r="S397" s="145" t="str">
        <f t="shared" si="41"/>
        <v>Medio</v>
      </c>
      <c r="T397" s="169"/>
    </row>
    <row r="398" spans="1:20" s="167" customFormat="1" ht="32.1" customHeight="1">
      <c r="A398" s="419" t="s">
        <v>220</v>
      </c>
      <c r="B398" s="110" t="s">
        <v>587</v>
      </c>
      <c r="C398" s="502" t="s">
        <v>1336</v>
      </c>
      <c r="D398" s="114">
        <v>253</v>
      </c>
      <c r="E398" s="80">
        <v>0</v>
      </c>
      <c r="F398" s="80">
        <v>21</v>
      </c>
      <c r="G398" s="80">
        <v>0</v>
      </c>
      <c r="H398" s="80">
        <v>21</v>
      </c>
      <c r="I398" s="80">
        <v>0</v>
      </c>
      <c r="J398" s="80">
        <v>21</v>
      </c>
      <c r="K398" s="80">
        <v>62.9</v>
      </c>
      <c r="L398" s="80">
        <v>0</v>
      </c>
      <c r="M398" s="80">
        <v>0</v>
      </c>
      <c r="N398" s="80">
        <v>62.9</v>
      </c>
      <c r="O398" s="80">
        <v>21</v>
      </c>
      <c r="P398" s="80">
        <v>0</v>
      </c>
      <c r="Q398" s="139">
        <f t="shared" si="36"/>
        <v>17.483333333333334</v>
      </c>
      <c r="R398" s="144" t="str">
        <f t="shared" si="40"/>
        <v>NO</v>
      </c>
      <c r="S398" s="145" t="str">
        <f t="shared" si="41"/>
        <v>Medio</v>
      </c>
      <c r="T398" s="169"/>
    </row>
    <row r="399" spans="1:20" s="167" customFormat="1" ht="32.1" customHeight="1">
      <c r="A399" s="419" t="s">
        <v>220</v>
      </c>
      <c r="B399" s="110" t="s">
        <v>1337</v>
      </c>
      <c r="C399" s="502" t="s">
        <v>1338</v>
      </c>
      <c r="D399" s="119">
        <v>144</v>
      </c>
      <c r="E399" s="80">
        <v>0</v>
      </c>
      <c r="F399" s="80">
        <v>0</v>
      </c>
      <c r="G399" s="80"/>
      <c r="H399" s="80">
        <v>0</v>
      </c>
      <c r="I399" s="80"/>
      <c r="J399" s="80"/>
      <c r="K399" s="80"/>
      <c r="L399" s="80">
        <v>0</v>
      </c>
      <c r="M399" s="80"/>
      <c r="N399" s="80">
        <v>0</v>
      </c>
      <c r="O399" s="80"/>
      <c r="P399" s="80">
        <v>0</v>
      </c>
      <c r="Q399" s="139">
        <f t="shared" si="36"/>
        <v>0</v>
      </c>
      <c r="R399" s="144" t="str">
        <f t="shared" si="40"/>
        <v>SI</v>
      </c>
      <c r="S399" s="145" t="str">
        <f t="shared" si="41"/>
        <v>Sin Riesgo</v>
      </c>
      <c r="T399" s="169"/>
    </row>
    <row r="400" spans="1:20" s="167" customFormat="1" ht="32.1" customHeight="1">
      <c r="A400" s="419" t="s">
        <v>220</v>
      </c>
      <c r="B400" s="110" t="s">
        <v>594</v>
      </c>
      <c r="C400" s="502" t="s">
        <v>1339</v>
      </c>
      <c r="D400" s="119">
        <v>41</v>
      </c>
      <c r="E400" s="80">
        <v>0</v>
      </c>
      <c r="F400" s="80">
        <v>0</v>
      </c>
      <c r="G400" s="80"/>
      <c r="H400" s="80">
        <v>0</v>
      </c>
      <c r="I400" s="80"/>
      <c r="J400" s="80">
        <v>0</v>
      </c>
      <c r="K400" s="80"/>
      <c r="L400" s="80">
        <v>0</v>
      </c>
      <c r="M400" s="80"/>
      <c r="N400" s="80">
        <v>0</v>
      </c>
      <c r="O400" s="80"/>
      <c r="P400" s="80">
        <v>0</v>
      </c>
      <c r="Q400" s="139">
        <f t="shared" si="36"/>
        <v>0</v>
      </c>
      <c r="R400" s="144" t="str">
        <f t="shared" si="40"/>
        <v>SI</v>
      </c>
      <c r="S400" s="145" t="str">
        <f t="shared" si="41"/>
        <v>Sin Riesgo</v>
      </c>
      <c r="T400" s="169"/>
    </row>
    <row r="401" spans="1:20" s="167" customFormat="1" ht="32.1" customHeight="1">
      <c r="A401" s="419" t="s">
        <v>220</v>
      </c>
      <c r="B401" s="110" t="s">
        <v>244</v>
      </c>
      <c r="C401" s="502" t="s">
        <v>1340</v>
      </c>
      <c r="D401" s="119">
        <v>50</v>
      </c>
      <c r="E401" s="80">
        <v>0</v>
      </c>
      <c r="F401" s="80">
        <v>0</v>
      </c>
      <c r="G401" s="80"/>
      <c r="H401" s="80">
        <v>0</v>
      </c>
      <c r="I401" s="80"/>
      <c r="J401" s="80">
        <v>0</v>
      </c>
      <c r="K401" s="80"/>
      <c r="L401" s="80">
        <v>0</v>
      </c>
      <c r="M401" s="80"/>
      <c r="N401" s="80">
        <v>0</v>
      </c>
      <c r="O401" s="80"/>
      <c r="P401" s="80">
        <v>0</v>
      </c>
      <c r="Q401" s="139">
        <f t="shared" ref="Q401:Q444" si="42">AVERAGE(E401:P401)</f>
        <v>0</v>
      </c>
      <c r="R401" s="144" t="str">
        <f t="shared" si="40"/>
        <v>SI</v>
      </c>
      <c r="S401" s="145" t="str">
        <f t="shared" si="41"/>
        <v>Sin Riesgo</v>
      </c>
      <c r="T401" s="169"/>
    </row>
    <row r="402" spans="1:20" s="167" customFormat="1" ht="32.1" customHeight="1">
      <c r="A402" s="419" t="s">
        <v>220</v>
      </c>
      <c r="B402" s="110" t="s">
        <v>659</v>
      </c>
      <c r="C402" s="502" t="s">
        <v>1341</v>
      </c>
      <c r="D402" s="119">
        <v>151</v>
      </c>
      <c r="E402" s="80">
        <v>0</v>
      </c>
      <c r="F402" s="80">
        <v>0</v>
      </c>
      <c r="G402" s="80"/>
      <c r="H402" s="80">
        <v>0</v>
      </c>
      <c r="I402" s="80"/>
      <c r="J402" s="80">
        <v>0</v>
      </c>
      <c r="K402" s="80"/>
      <c r="L402" s="80">
        <v>0</v>
      </c>
      <c r="M402" s="80"/>
      <c r="N402" s="80">
        <v>0</v>
      </c>
      <c r="O402" s="80"/>
      <c r="P402" s="80">
        <v>0</v>
      </c>
      <c r="Q402" s="139">
        <f t="shared" si="42"/>
        <v>0</v>
      </c>
      <c r="R402" s="144" t="str">
        <f t="shared" si="40"/>
        <v>SI</v>
      </c>
      <c r="S402" s="145" t="str">
        <f t="shared" si="41"/>
        <v>Sin Riesgo</v>
      </c>
      <c r="T402" s="169"/>
    </row>
    <row r="403" spans="1:20" s="167" customFormat="1" ht="32.1" customHeight="1">
      <c r="A403" s="419" t="s">
        <v>220</v>
      </c>
      <c r="B403" s="110" t="s">
        <v>66</v>
      </c>
      <c r="C403" s="502" t="s">
        <v>1342</v>
      </c>
      <c r="D403" s="119">
        <v>35</v>
      </c>
      <c r="E403" s="80">
        <v>0</v>
      </c>
      <c r="F403" s="80">
        <v>26</v>
      </c>
      <c r="G403" s="80"/>
      <c r="H403" s="80">
        <v>0</v>
      </c>
      <c r="I403" s="80"/>
      <c r="J403" s="80">
        <v>0</v>
      </c>
      <c r="K403" s="80"/>
      <c r="L403" s="80">
        <v>0</v>
      </c>
      <c r="M403" s="80"/>
      <c r="N403" s="80">
        <v>0</v>
      </c>
      <c r="O403" s="80"/>
      <c r="P403" s="80">
        <v>0</v>
      </c>
      <c r="Q403" s="139">
        <f t="shared" si="42"/>
        <v>3.7142857142857144</v>
      </c>
      <c r="R403" s="144" t="str">
        <f t="shared" si="40"/>
        <v>SI</v>
      </c>
      <c r="S403" s="145" t="str">
        <f t="shared" si="41"/>
        <v>Sin Riesgo</v>
      </c>
      <c r="T403" s="169"/>
    </row>
    <row r="404" spans="1:20" s="167" customFormat="1" ht="32.1" customHeight="1">
      <c r="A404" s="419" t="s">
        <v>220</v>
      </c>
      <c r="B404" s="110" t="s">
        <v>1343</v>
      </c>
      <c r="C404" s="502" t="s">
        <v>1344</v>
      </c>
      <c r="D404" s="119">
        <v>115</v>
      </c>
      <c r="E404" s="80">
        <v>70</v>
      </c>
      <c r="F404" s="80">
        <v>0</v>
      </c>
      <c r="G404" s="80">
        <v>0</v>
      </c>
      <c r="H404" s="80">
        <v>0</v>
      </c>
      <c r="I404" s="80">
        <v>0</v>
      </c>
      <c r="J404" s="80">
        <v>0</v>
      </c>
      <c r="K404" s="80">
        <v>0</v>
      </c>
      <c r="L404" s="80">
        <v>0</v>
      </c>
      <c r="M404" s="80">
        <v>0</v>
      </c>
      <c r="N404" s="80">
        <v>0</v>
      </c>
      <c r="O404" s="80">
        <v>0</v>
      </c>
      <c r="P404" s="80">
        <v>0</v>
      </c>
      <c r="Q404" s="139">
        <f t="shared" si="42"/>
        <v>5.833333333333333</v>
      </c>
      <c r="R404" s="144" t="str">
        <f t="shared" si="40"/>
        <v>NO</v>
      </c>
      <c r="S404" s="145" t="str">
        <f t="shared" si="41"/>
        <v>Bajo</v>
      </c>
      <c r="T404" s="169"/>
    </row>
    <row r="405" spans="1:20" s="167" customFormat="1" ht="32.1" customHeight="1">
      <c r="A405" s="419" t="s">
        <v>220</v>
      </c>
      <c r="B405" s="110" t="s">
        <v>1345</v>
      </c>
      <c r="C405" s="502" t="s">
        <v>1346</v>
      </c>
      <c r="D405" s="119">
        <v>82</v>
      </c>
      <c r="E405" s="80">
        <v>0</v>
      </c>
      <c r="F405" s="80">
        <v>0</v>
      </c>
      <c r="G405" s="80">
        <v>0</v>
      </c>
      <c r="H405" s="80">
        <v>0</v>
      </c>
      <c r="I405" s="80">
        <v>0</v>
      </c>
      <c r="J405" s="80">
        <v>0</v>
      </c>
      <c r="K405" s="80">
        <v>0</v>
      </c>
      <c r="L405" s="80">
        <v>0</v>
      </c>
      <c r="M405" s="80">
        <v>0</v>
      </c>
      <c r="N405" s="80">
        <v>0</v>
      </c>
      <c r="O405" s="80">
        <v>0</v>
      </c>
      <c r="P405" s="80">
        <v>0</v>
      </c>
      <c r="Q405" s="139">
        <f t="shared" si="42"/>
        <v>0</v>
      </c>
      <c r="R405" s="144" t="str">
        <f t="shared" si="40"/>
        <v>SI</v>
      </c>
      <c r="S405" s="145" t="str">
        <f t="shared" si="41"/>
        <v>Sin Riesgo</v>
      </c>
      <c r="T405" s="169"/>
    </row>
    <row r="406" spans="1:20" s="167" customFormat="1" ht="32.1" customHeight="1">
      <c r="A406" s="419" t="s">
        <v>220</v>
      </c>
      <c r="B406" s="110" t="s">
        <v>1330</v>
      </c>
      <c r="C406" s="502" t="s">
        <v>1347</v>
      </c>
      <c r="D406" s="119">
        <v>230</v>
      </c>
      <c r="E406" s="80">
        <v>0</v>
      </c>
      <c r="F406" s="80">
        <v>26</v>
      </c>
      <c r="G406" s="80">
        <v>0</v>
      </c>
      <c r="H406" s="80">
        <v>0</v>
      </c>
      <c r="I406" s="80">
        <v>0</v>
      </c>
      <c r="J406" s="80">
        <v>0</v>
      </c>
      <c r="K406" s="80">
        <v>0</v>
      </c>
      <c r="L406" s="80">
        <v>0</v>
      </c>
      <c r="M406" s="80">
        <v>0</v>
      </c>
      <c r="N406" s="80">
        <v>0</v>
      </c>
      <c r="O406" s="80">
        <v>0</v>
      </c>
      <c r="P406" s="80">
        <v>0</v>
      </c>
      <c r="Q406" s="139">
        <f t="shared" si="42"/>
        <v>2.1666666666666665</v>
      </c>
      <c r="R406" s="144" t="str">
        <f t="shared" si="40"/>
        <v>SI</v>
      </c>
      <c r="S406" s="145" t="str">
        <f t="shared" si="41"/>
        <v>Sin Riesgo</v>
      </c>
      <c r="T406" s="169"/>
    </row>
    <row r="407" spans="1:20" s="167" customFormat="1" ht="32.1" customHeight="1">
      <c r="A407" s="419" t="s">
        <v>220</v>
      </c>
      <c r="B407" s="110" t="s">
        <v>244</v>
      </c>
      <c r="C407" s="502" t="s">
        <v>1348</v>
      </c>
      <c r="D407" s="119">
        <v>102</v>
      </c>
      <c r="E407" s="80">
        <v>0</v>
      </c>
      <c r="F407" s="80">
        <v>0</v>
      </c>
      <c r="G407" s="80">
        <v>0</v>
      </c>
      <c r="H407" s="80">
        <v>0</v>
      </c>
      <c r="I407" s="80">
        <v>0</v>
      </c>
      <c r="J407" s="80">
        <v>0</v>
      </c>
      <c r="K407" s="80">
        <v>0</v>
      </c>
      <c r="L407" s="80">
        <v>0</v>
      </c>
      <c r="M407" s="80">
        <v>0</v>
      </c>
      <c r="N407" s="80">
        <v>0</v>
      </c>
      <c r="O407" s="80">
        <v>0</v>
      </c>
      <c r="P407" s="80">
        <v>0</v>
      </c>
      <c r="Q407" s="139">
        <f t="shared" si="42"/>
        <v>0</v>
      </c>
      <c r="R407" s="144" t="str">
        <f t="shared" si="40"/>
        <v>SI</v>
      </c>
      <c r="S407" s="145" t="str">
        <f t="shared" si="41"/>
        <v>Sin Riesgo</v>
      </c>
      <c r="T407" s="169"/>
    </row>
    <row r="408" spans="1:20" s="167" customFormat="1" ht="32.1" customHeight="1">
      <c r="A408" s="419" t="s">
        <v>220</v>
      </c>
      <c r="B408" s="110" t="s">
        <v>1349</v>
      </c>
      <c r="C408" s="502" t="s">
        <v>1350</v>
      </c>
      <c r="D408" s="119"/>
      <c r="E408" s="80"/>
      <c r="F408" s="80"/>
      <c r="G408" s="80"/>
      <c r="H408" s="80"/>
      <c r="I408" s="80"/>
      <c r="J408" s="80"/>
      <c r="K408" s="80"/>
      <c r="L408" s="80"/>
      <c r="M408" s="80"/>
      <c r="N408" s="80"/>
      <c r="O408" s="80"/>
      <c r="P408" s="80"/>
      <c r="Q408" s="139" t="e">
        <f t="shared" si="42"/>
        <v>#DIV/0!</v>
      </c>
      <c r="R408" s="144" t="e">
        <f t="shared" si="40"/>
        <v>#DIV/0!</v>
      </c>
      <c r="S408" s="145" t="e">
        <f t="shared" si="41"/>
        <v>#DIV/0!</v>
      </c>
      <c r="T408" s="169"/>
    </row>
    <row r="409" spans="1:20" s="167" customFormat="1" ht="32.1" customHeight="1">
      <c r="A409" s="419" t="s">
        <v>220</v>
      </c>
      <c r="B409" s="110" t="s">
        <v>1351</v>
      </c>
      <c r="C409" s="502" t="s">
        <v>1352</v>
      </c>
      <c r="D409" s="119">
        <v>191</v>
      </c>
      <c r="E409" s="80">
        <v>0</v>
      </c>
      <c r="F409" s="80">
        <v>0</v>
      </c>
      <c r="G409" s="80">
        <v>0</v>
      </c>
      <c r="H409" s="80">
        <v>0</v>
      </c>
      <c r="I409" s="80">
        <v>0</v>
      </c>
      <c r="J409" s="80">
        <v>0</v>
      </c>
      <c r="K409" s="80">
        <v>0</v>
      </c>
      <c r="L409" s="80">
        <v>0</v>
      </c>
      <c r="M409" s="80">
        <v>0</v>
      </c>
      <c r="N409" s="80">
        <v>0</v>
      </c>
      <c r="O409" s="80">
        <v>0</v>
      </c>
      <c r="P409" s="80">
        <v>0</v>
      </c>
      <c r="Q409" s="139">
        <f t="shared" si="42"/>
        <v>0</v>
      </c>
      <c r="R409" s="144" t="str">
        <f t="shared" si="40"/>
        <v>SI</v>
      </c>
      <c r="S409" s="145" t="str">
        <f t="shared" si="41"/>
        <v>Sin Riesgo</v>
      </c>
      <c r="T409" s="169"/>
    </row>
    <row r="410" spans="1:20" s="167" customFormat="1" ht="32.1" customHeight="1">
      <c r="A410" s="419" t="s">
        <v>220</v>
      </c>
      <c r="B410" s="110" t="s">
        <v>1353</v>
      </c>
      <c r="C410" s="502" t="s">
        <v>1354</v>
      </c>
      <c r="D410" s="119">
        <v>59</v>
      </c>
      <c r="E410" s="80">
        <v>70</v>
      </c>
      <c r="F410" s="80">
        <v>0</v>
      </c>
      <c r="G410" s="80">
        <v>0</v>
      </c>
      <c r="H410" s="80">
        <v>0</v>
      </c>
      <c r="I410" s="80">
        <v>0</v>
      </c>
      <c r="J410" s="80">
        <v>0</v>
      </c>
      <c r="K410" s="80">
        <v>0</v>
      </c>
      <c r="L410" s="80">
        <v>0</v>
      </c>
      <c r="M410" s="80">
        <v>0</v>
      </c>
      <c r="N410" s="80">
        <v>0</v>
      </c>
      <c r="O410" s="80">
        <v>0</v>
      </c>
      <c r="P410" s="80">
        <v>0</v>
      </c>
      <c r="Q410" s="139">
        <f t="shared" si="42"/>
        <v>5.833333333333333</v>
      </c>
      <c r="R410" s="144" t="str">
        <f t="shared" si="40"/>
        <v>NO</v>
      </c>
      <c r="S410" s="145" t="str">
        <f t="shared" si="41"/>
        <v>Bajo</v>
      </c>
      <c r="T410" s="169"/>
    </row>
    <row r="411" spans="1:20" s="167" customFormat="1" ht="32.1" customHeight="1">
      <c r="A411" s="419" t="s">
        <v>220</v>
      </c>
      <c r="B411" s="110" t="s">
        <v>1355</v>
      </c>
      <c r="C411" s="502" t="s">
        <v>1356</v>
      </c>
      <c r="D411" s="119">
        <v>81</v>
      </c>
      <c r="E411" s="80">
        <v>0</v>
      </c>
      <c r="F411" s="80">
        <v>53</v>
      </c>
      <c r="G411" s="80">
        <v>0</v>
      </c>
      <c r="H411" s="80">
        <v>0</v>
      </c>
      <c r="I411" s="80">
        <v>0</v>
      </c>
      <c r="J411" s="80">
        <v>0</v>
      </c>
      <c r="K411" s="80">
        <v>0</v>
      </c>
      <c r="L411" s="80">
        <v>0</v>
      </c>
      <c r="M411" s="80">
        <v>0</v>
      </c>
      <c r="N411" s="80">
        <v>0</v>
      </c>
      <c r="O411" s="80">
        <v>0</v>
      </c>
      <c r="P411" s="80">
        <v>0</v>
      </c>
      <c r="Q411" s="139">
        <f t="shared" si="42"/>
        <v>4.416666666666667</v>
      </c>
      <c r="R411" s="144" t="str">
        <f t="shared" si="40"/>
        <v>SI</v>
      </c>
      <c r="S411" s="145" t="str">
        <f t="shared" si="41"/>
        <v>Sin Riesgo</v>
      </c>
      <c r="T411" s="169"/>
    </row>
    <row r="412" spans="1:20" s="167" customFormat="1" ht="32.1" customHeight="1">
      <c r="A412" s="419" t="s">
        <v>220</v>
      </c>
      <c r="B412" s="110" t="s">
        <v>1357</v>
      </c>
      <c r="C412" s="502" t="s">
        <v>1358</v>
      </c>
      <c r="D412" s="119">
        <v>97</v>
      </c>
      <c r="E412" s="80">
        <v>0</v>
      </c>
      <c r="F412" s="80">
        <v>0</v>
      </c>
      <c r="G412" s="80">
        <v>0</v>
      </c>
      <c r="H412" s="80">
        <v>0</v>
      </c>
      <c r="I412" s="80">
        <v>0</v>
      </c>
      <c r="J412" s="80">
        <v>0</v>
      </c>
      <c r="K412" s="80">
        <v>0</v>
      </c>
      <c r="L412" s="80">
        <v>0</v>
      </c>
      <c r="M412" s="80">
        <v>0</v>
      </c>
      <c r="N412" s="80">
        <v>0</v>
      </c>
      <c r="O412" s="80">
        <v>0</v>
      </c>
      <c r="P412" s="80">
        <v>0</v>
      </c>
      <c r="Q412" s="139">
        <f t="shared" si="42"/>
        <v>0</v>
      </c>
      <c r="R412" s="144" t="str">
        <f t="shared" si="40"/>
        <v>SI</v>
      </c>
      <c r="S412" s="145" t="str">
        <f t="shared" si="41"/>
        <v>Sin Riesgo</v>
      </c>
      <c r="T412" s="169"/>
    </row>
    <row r="413" spans="1:20" s="167" customFormat="1" ht="32.1" customHeight="1">
      <c r="A413" s="419" t="s">
        <v>220</v>
      </c>
      <c r="B413" s="110" t="s">
        <v>66</v>
      </c>
      <c r="C413" s="502" t="s">
        <v>1359</v>
      </c>
      <c r="D413" s="119">
        <v>54</v>
      </c>
      <c r="E413" s="80">
        <v>0</v>
      </c>
      <c r="F413" s="80">
        <v>0</v>
      </c>
      <c r="G413" s="80">
        <v>0</v>
      </c>
      <c r="H413" s="80">
        <v>0</v>
      </c>
      <c r="I413" s="80">
        <v>0</v>
      </c>
      <c r="J413" s="80">
        <v>0</v>
      </c>
      <c r="K413" s="80">
        <v>0</v>
      </c>
      <c r="L413" s="80">
        <v>0</v>
      </c>
      <c r="M413" s="80">
        <v>0</v>
      </c>
      <c r="N413" s="80">
        <v>0</v>
      </c>
      <c r="O413" s="80">
        <v>0</v>
      </c>
      <c r="P413" s="80">
        <v>0</v>
      </c>
      <c r="Q413" s="139">
        <f t="shared" si="42"/>
        <v>0</v>
      </c>
      <c r="R413" s="144" t="str">
        <f t="shared" si="40"/>
        <v>SI</v>
      </c>
      <c r="S413" s="145" t="str">
        <f t="shared" si="41"/>
        <v>Sin Riesgo</v>
      </c>
      <c r="T413" s="169"/>
    </row>
    <row r="414" spans="1:20" s="167" customFormat="1" ht="32.1" customHeight="1">
      <c r="A414" s="419" t="s">
        <v>220</v>
      </c>
      <c r="B414" s="110" t="s">
        <v>1360</v>
      </c>
      <c r="C414" s="502" t="s">
        <v>1361</v>
      </c>
      <c r="D414" s="119">
        <v>296</v>
      </c>
      <c r="E414" s="80">
        <v>2.1</v>
      </c>
      <c r="F414" s="80"/>
      <c r="G414" s="80">
        <v>2.7</v>
      </c>
      <c r="H414" s="80"/>
      <c r="I414" s="80">
        <v>2.1</v>
      </c>
      <c r="J414" s="80"/>
      <c r="K414" s="80">
        <v>2.1</v>
      </c>
      <c r="L414" s="80"/>
      <c r="M414" s="80">
        <v>2.1</v>
      </c>
      <c r="N414" s="80"/>
      <c r="O414" s="80"/>
      <c r="P414" s="80">
        <v>0</v>
      </c>
      <c r="Q414" s="139">
        <f t="shared" si="42"/>
        <v>1.8499999999999999</v>
      </c>
      <c r="R414" s="144" t="str">
        <f t="shared" si="40"/>
        <v>SI</v>
      </c>
      <c r="S414" s="145" t="str">
        <f t="shared" si="41"/>
        <v>Sin Riesgo</v>
      </c>
      <c r="T414" s="169"/>
    </row>
    <row r="415" spans="1:20" s="167" customFormat="1" ht="32.1" customHeight="1">
      <c r="A415" s="419" t="s">
        <v>220</v>
      </c>
      <c r="B415" s="110" t="s">
        <v>1362</v>
      </c>
      <c r="C415" s="502" t="s">
        <v>1363</v>
      </c>
      <c r="D415" s="119">
        <v>84</v>
      </c>
      <c r="E415" s="80">
        <v>0</v>
      </c>
      <c r="F415" s="80"/>
      <c r="G415" s="80">
        <v>0</v>
      </c>
      <c r="H415" s="80"/>
      <c r="I415" s="80">
        <v>0</v>
      </c>
      <c r="J415" s="80"/>
      <c r="K415" s="80">
        <v>21</v>
      </c>
      <c r="L415" s="80"/>
      <c r="M415" s="80">
        <v>0</v>
      </c>
      <c r="N415" s="80"/>
      <c r="O415" s="80"/>
      <c r="P415" s="80">
        <v>0</v>
      </c>
      <c r="Q415" s="139">
        <f t="shared" si="42"/>
        <v>3.5</v>
      </c>
      <c r="R415" s="144" t="str">
        <f t="shared" si="40"/>
        <v>SI</v>
      </c>
      <c r="S415" s="145" t="str">
        <f t="shared" si="41"/>
        <v>Sin Riesgo</v>
      </c>
      <c r="T415" s="169"/>
    </row>
    <row r="416" spans="1:20" s="167" customFormat="1" ht="32.1" customHeight="1">
      <c r="A416" s="419" t="s">
        <v>220</v>
      </c>
      <c r="B416" s="110" t="s">
        <v>670</v>
      </c>
      <c r="C416" s="502" t="s">
        <v>1364</v>
      </c>
      <c r="D416" s="119">
        <v>53</v>
      </c>
      <c r="E416" s="80">
        <v>0</v>
      </c>
      <c r="F416" s="80"/>
      <c r="G416" s="80">
        <v>0</v>
      </c>
      <c r="H416" s="80"/>
      <c r="I416" s="80">
        <v>0</v>
      </c>
      <c r="J416" s="80"/>
      <c r="K416" s="80">
        <v>21</v>
      </c>
      <c r="L416" s="80"/>
      <c r="M416" s="80">
        <v>0</v>
      </c>
      <c r="N416" s="80"/>
      <c r="O416" s="80"/>
      <c r="P416" s="80">
        <v>0</v>
      </c>
      <c r="Q416" s="139">
        <f t="shared" si="42"/>
        <v>3.5</v>
      </c>
      <c r="R416" s="144" t="str">
        <f t="shared" si="40"/>
        <v>SI</v>
      </c>
      <c r="S416" s="145" t="str">
        <f t="shared" si="41"/>
        <v>Sin Riesgo</v>
      </c>
      <c r="T416" s="169"/>
    </row>
    <row r="417" spans="1:20" s="167" customFormat="1" ht="32.1" customHeight="1">
      <c r="A417" s="419" t="s">
        <v>220</v>
      </c>
      <c r="B417" s="110" t="s">
        <v>1365</v>
      </c>
      <c r="C417" s="502" t="s">
        <v>1366</v>
      </c>
      <c r="D417" s="119">
        <v>146</v>
      </c>
      <c r="E417" s="80">
        <v>2.7</v>
      </c>
      <c r="F417" s="80"/>
      <c r="G417" s="80">
        <v>2.1</v>
      </c>
      <c r="H417" s="80"/>
      <c r="I417" s="80">
        <v>2.7</v>
      </c>
      <c r="J417" s="80"/>
      <c r="K417" s="80">
        <v>2.1</v>
      </c>
      <c r="L417" s="80"/>
      <c r="M417" s="80">
        <v>2.1</v>
      </c>
      <c r="N417" s="80"/>
      <c r="O417" s="80"/>
      <c r="P417" s="80">
        <v>2.1</v>
      </c>
      <c r="Q417" s="139">
        <f t="shared" si="42"/>
        <v>2.3000000000000003</v>
      </c>
      <c r="R417" s="144" t="str">
        <f t="shared" si="40"/>
        <v>SI</v>
      </c>
      <c r="S417" s="145" t="str">
        <f t="shared" si="41"/>
        <v>Sin Riesgo</v>
      </c>
      <c r="T417" s="169"/>
    </row>
    <row r="418" spans="1:20" s="167" customFormat="1" ht="32.1" customHeight="1">
      <c r="A418" s="419" t="s">
        <v>220</v>
      </c>
      <c r="B418" s="110" t="s">
        <v>1367</v>
      </c>
      <c r="C418" s="502" t="s">
        <v>1368</v>
      </c>
      <c r="D418" s="119">
        <v>42</v>
      </c>
      <c r="E418" s="80">
        <v>0</v>
      </c>
      <c r="F418" s="80"/>
      <c r="G418" s="80">
        <v>0</v>
      </c>
      <c r="H418" s="80"/>
      <c r="I418" s="80">
        <v>0</v>
      </c>
      <c r="J418" s="80"/>
      <c r="K418" s="80">
        <v>21</v>
      </c>
      <c r="L418" s="80"/>
      <c r="M418" s="80">
        <v>0</v>
      </c>
      <c r="N418" s="80"/>
      <c r="O418" s="80"/>
      <c r="P418" s="80">
        <v>0</v>
      </c>
      <c r="Q418" s="139">
        <f t="shared" si="42"/>
        <v>3.5</v>
      </c>
      <c r="R418" s="144" t="str">
        <f t="shared" si="40"/>
        <v>SI</v>
      </c>
      <c r="S418" s="145" t="str">
        <f t="shared" si="41"/>
        <v>Sin Riesgo</v>
      </c>
      <c r="T418" s="169"/>
    </row>
    <row r="419" spans="1:20" s="167" customFormat="1" ht="32.1" customHeight="1">
      <c r="A419" s="419" t="s">
        <v>220</v>
      </c>
      <c r="B419" s="110" t="s">
        <v>1046</v>
      </c>
      <c r="C419" s="502" t="s">
        <v>1369</v>
      </c>
      <c r="D419" s="119">
        <v>186</v>
      </c>
      <c r="E419" s="80"/>
      <c r="F419" s="80">
        <v>0</v>
      </c>
      <c r="G419" s="80"/>
      <c r="H419" s="80">
        <v>0</v>
      </c>
      <c r="I419" s="80"/>
      <c r="J419" s="80">
        <v>0</v>
      </c>
      <c r="K419" s="80"/>
      <c r="L419" s="80">
        <v>0</v>
      </c>
      <c r="M419" s="80"/>
      <c r="N419" s="80">
        <v>0</v>
      </c>
      <c r="O419" s="80"/>
      <c r="P419" s="80">
        <v>0</v>
      </c>
      <c r="Q419" s="139">
        <f t="shared" si="42"/>
        <v>0</v>
      </c>
      <c r="R419" s="144" t="str">
        <f t="shared" si="40"/>
        <v>SI</v>
      </c>
      <c r="S419" s="145" t="str">
        <f t="shared" si="41"/>
        <v>Sin Riesgo</v>
      </c>
      <c r="T419" s="169"/>
    </row>
    <row r="420" spans="1:20" s="167" customFormat="1" ht="32.1" customHeight="1">
      <c r="A420" s="419" t="s">
        <v>220</v>
      </c>
      <c r="B420" s="110" t="s">
        <v>1370</v>
      </c>
      <c r="C420" s="502" t="s">
        <v>1371</v>
      </c>
      <c r="D420" s="119">
        <v>83</v>
      </c>
      <c r="E420" s="80"/>
      <c r="F420" s="80">
        <v>0</v>
      </c>
      <c r="G420" s="80"/>
      <c r="H420" s="80">
        <v>0</v>
      </c>
      <c r="I420" s="80"/>
      <c r="J420" s="80">
        <v>0</v>
      </c>
      <c r="K420" s="80"/>
      <c r="L420" s="80">
        <v>0</v>
      </c>
      <c r="M420" s="80"/>
      <c r="N420" s="80">
        <v>0</v>
      </c>
      <c r="O420" s="80"/>
      <c r="P420" s="80">
        <v>0</v>
      </c>
      <c r="Q420" s="139">
        <f t="shared" si="42"/>
        <v>0</v>
      </c>
      <c r="R420" s="144" t="str">
        <f t="shared" si="40"/>
        <v>SI</v>
      </c>
      <c r="S420" s="145" t="str">
        <f t="shared" si="41"/>
        <v>Sin Riesgo</v>
      </c>
      <c r="T420" s="169"/>
    </row>
    <row r="421" spans="1:20" s="167" customFormat="1" ht="32.1" customHeight="1">
      <c r="A421" s="419" t="s">
        <v>220</v>
      </c>
      <c r="B421" s="110" t="s">
        <v>1372</v>
      </c>
      <c r="C421" s="502" t="s">
        <v>1373</v>
      </c>
      <c r="D421" s="119">
        <v>32</v>
      </c>
      <c r="E421" s="80"/>
      <c r="F421" s="80">
        <v>0</v>
      </c>
      <c r="G421" s="80"/>
      <c r="H421" s="80">
        <v>0</v>
      </c>
      <c r="I421" s="80"/>
      <c r="J421" s="80">
        <v>0</v>
      </c>
      <c r="K421" s="80"/>
      <c r="L421" s="80">
        <v>0</v>
      </c>
      <c r="M421" s="80"/>
      <c r="N421" s="80">
        <v>0</v>
      </c>
      <c r="O421" s="80"/>
      <c r="P421" s="80">
        <v>0</v>
      </c>
      <c r="Q421" s="139">
        <f t="shared" si="42"/>
        <v>0</v>
      </c>
      <c r="R421" s="144" t="str">
        <f t="shared" si="40"/>
        <v>SI</v>
      </c>
      <c r="S421" s="145" t="str">
        <f t="shared" si="41"/>
        <v>Sin Riesgo</v>
      </c>
      <c r="T421" s="169"/>
    </row>
    <row r="422" spans="1:20" s="167" customFormat="1" ht="32.1" customHeight="1">
      <c r="A422" s="419" t="s">
        <v>220</v>
      </c>
      <c r="B422" s="110" t="s">
        <v>78</v>
      </c>
      <c r="C422" s="502" t="s">
        <v>1374</v>
      </c>
      <c r="D422" s="119">
        <v>254</v>
      </c>
      <c r="E422" s="80"/>
      <c r="F422" s="80">
        <v>0</v>
      </c>
      <c r="G422" s="80"/>
      <c r="H422" s="80">
        <v>0</v>
      </c>
      <c r="I422" s="80"/>
      <c r="J422" s="80">
        <v>0</v>
      </c>
      <c r="K422" s="80"/>
      <c r="L422" s="80">
        <v>0</v>
      </c>
      <c r="M422" s="80"/>
      <c r="N422" s="80">
        <v>0</v>
      </c>
      <c r="O422" s="80"/>
      <c r="P422" s="80">
        <v>0</v>
      </c>
      <c r="Q422" s="139">
        <f t="shared" si="42"/>
        <v>0</v>
      </c>
      <c r="R422" s="144" t="str">
        <f t="shared" si="40"/>
        <v>SI</v>
      </c>
      <c r="S422" s="145" t="str">
        <f t="shared" si="41"/>
        <v>Sin Riesgo</v>
      </c>
      <c r="T422" s="169"/>
    </row>
    <row r="423" spans="1:20" s="167" customFormat="1" ht="32.1" customHeight="1">
      <c r="A423" s="419" t="s">
        <v>221</v>
      </c>
      <c r="B423" s="509" t="s">
        <v>4324</v>
      </c>
      <c r="C423" s="510" t="s">
        <v>4325</v>
      </c>
      <c r="D423" s="120">
        <v>160</v>
      </c>
      <c r="E423" s="407"/>
      <c r="F423" s="407"/>
      <c r="G423" s="407"/>
      <c r="H423" s="407"/>
      <c r="I423" s="407">
        <v>0</v>
      </c>
      <c r="J423" s="407">
        <v>0</v>
      </c>
      <c r="K423" s="407"/>
      <c r="L423" s="407"/>
      <c r="M423" s="407"/>
      <c r="N423" s="407">
        <v>0</v>
      </c>
      <c r="O423" s="407"/>
      <c r="P423" s="407">
        <v>0</v>
      </c>
      <c r="Q423" s="139">
        <f t="shared" si="42"/>
        <v>0</v>
      </c>
      <c r="R423" s="144" t="str">
        <f t="shared" si="40"/>
        <v>SI</v>
      </c>
      <c r="S423" s="145" t="str">
        <f t="shared" si="41"/>
        <v>Sin Riesgo</v>
      </c>
      <c r="T423" s="182"/>
    </row>
    <row r="424" spans="1:20" s="167" customFormat="1" ht="32.1" customHeight="1">
      <c r="A424" s="419" t="s">
        <v>221</v>
      </c>
      <c r="B424" s="510" t="s">
        <v>4326</v>
      </c>
      <c r="C424" s="510" t="s">
        <v>4327</v>
      </c>
      <c r="D424" s="120">
        <v>19</v>
      </c>
      <c r="E424" s="79"/>
      <c r="F424" s="79">
        <v>53</v>
      </c>
      <c r="G424" s="79"/>
      <c r="H424" s="79"/>
      <c r="I424" s="79"/>
      <c r="J424" s="79"/>
      <c r="K424" s="79"/>
      <c r="L424" s="79"/>
      <c r="M424" s="79"/>
      <c r="N424" s="79"/>
      <c r="O424" s="79"/>
      <c r="P424" s="79">
        <v>53</v>
      </c>
      <c r="Q424" s="139">
        <f t="shared" si="42"/>
        <v>53</v>
      </c>
      <c r="R424" s="144" t="str">
        <f t="shared" si="40"/>
        <v>NO</v>
      </c>
      <c r="S424" s="145" t="str">
        <f t="shared" si="41"/>
        <v>Alto</v>
      </c>
      <c r="T424" s="182"/>
    </row>
    <row r="425" spans="1:20" s="167" customFormat="1" ht="32.1" customHeight="1">
      <c r="A425" s="419" t="s">
        <v>221</v>
      </c>
      <c r="B425" s="510" t="s">
        <v>4328</v>
      </c>
      <c r="C425" s="510" t="s">
        <v>4329</v>
      </c>
      <c r="D425" s="120">
        <v>18</v>
      </c>
      <c r="E425" s="79"/>
      <c r="F425" s="79"/>
      <c r="G425" s="79"/>
      <c r="H425" s="79"/>
      <c r="I425" s="79"/>
      <c r="J425" s="79">
        <v>53</v>
      </c>
      <c r="K425" s="79"/>
      <c r="L425" s="79"/>
      <c r="M425" s="79"/>
      <c r="N425" s="79"/>
      <c r="O425" s="79"/>
      <c r="P425" s="79"/>
      <c r="Q425" s="139">
        <f t="shared" si="42"/>
        <v>53</v>
      </c>
      <c r="R425" s="144" t="str">
        <f t="shared" si="40"/>
        <v>NO</v>
      </c>
      <c r="S425" s="145" t="str">
        <f t="shared" si="41"/>
        <v>Alto</v>
      </c>
      <c r="T425" s="182"/>
    </row>
    <row r="426" spans="1:20" s="167" customFormat="1" ht="32.1" customHeight="1">
      <c r="A426" s="419" t="s">
        <v>221</v>
      </c>
      <c r="B426" s="510" t="s">
        <v>4330</v>
      </c>
      <c r="C426" s="510" t="s">
        <v>4331</v>
      </c>
      <c r="D426" s="120">
        <v>20</v>
      </c>
      <c r="E426" s="79"/>
      <c r="F426" s="79"/>
      <c r="G426" s="79"/>
      <c r="H426" s="79"/>
      <c r="I426" s="79"/>
      <c r="J426" s="79">
        <v>53</v>
      </c>
      <c r="K426" s="79"/>
      <c r="L426" s="79"/>
      <c r="M426" s="79"/>
      <c r="N426" s="79"/>
      <c r="O426" s="79"/>
      <c r="P426" s="79"/>
      <c r="Q426" s="139">
        <f t="shared" si="42"/>
        <v>53</v>
      </c>
      <c r="R426" s="144" t="str">
        <f t="shared" si="40"/>
        <v>NO</v>
      </c>
      <c r="S426" s="145" t="str">
        <f t="shared" si="41"/>
        <v>Alto</v>
      </c>
      <c r="T426" s="182"/>
    </row>
    <row r="427" spans="1:20" s="167" customFormat="1" ht="32.1" customHeight="1">
      <c r="A427" s="419" t="s">
        <v>221</v>
      </c>
      <c r="B427" s="510" t="s">
        <v>4332</v>
      </c>
      <c r="C427" s="510" t="s">
        <v>4333</v>
      </c>
      <c r="D427" s="120">
        <v>26</v>
      </c>
      <c r="E427" s="79"/>
      <c r="F427" s="79"/>
      <c r="G427" s="79"/>
      <c r="H427" s="79"/>
      <c r="I427" s="79"/>
      <c r="J427" s="79">
        <v>53</v>
      </c>
      <c r="K427" s="79"/>
      <c r="L427" s="79"/>
      <c r="M427" s="79"/>
      <c r="N427" s="79"/>
      <c r="O427" s="79"/>
      <c r="P427" s="79"/>
      <c r="Q427" s="139">
        <f t="shared" si="42"/>
        <v>53</v>
      </c>
      <c r="R427" s="144" t="str">
        <f t="shared" si="40"/>
        <v>NO</v>
      </c>
      <c r="S427" s="145" t="str">
        <f t="shared" si="41"/>
        <v>Alto</v>
      </c>
      <c r="T427" s="182"/>
    </row>
    <row r="428" spans="1:20" s="167" customFormat="1" ht="32.1" customHeight="1">
      <c r="A428" s="419" t="s">
        <v>221</v>
      </c>
      <c r="B428" s="510" t="s">
        <v>3544</v>
      </c>
      <c r="C428" s="510" t="s">
        <v>4334</v>
      </c>
      <c r="D428" s="120">
        <v>39</v>
      </c>
      <c r="E428" s="79"/>
      <c r="F428" s="79"/>
      <c r="G428" s="79"/>
      <c r="H428" s="79"/>
      <c r="I428" s="79"/>
      <c r="J428" s="79"/>
      <c r="K428" s="79"/>
      <c r="L428" s="79"/>
      <c r="M428" s="79">
        <v>53</v>
      </c>
      <c r="N428" s="79"/>
      <c r="O428" s="79"/>
      <c r="P428" s="79"/>
      <c r="Q428" s="139">
        <f t="shared" si="42"/>
        <v>53</v>
      </c>
      <c r="R428" s="144" t="str">
        <f t="shared" si="40"/>
        <v>NO</v>
      </c>
      <c r="S428" s="145" t="str">
        <f t="shared" si="41"/>
        <v>Alto</v>
      </c>
      <c r="T428" s="182"/>
    </row>
    <row r="429" spans="1:20" s="167" customFormat="1" ht="32.1" customHeight="1">
      <c r="A429" s="419" t="s">
        <v>221</v>
      </c>
      <c r="B429" s="510" t="s">
        <v>1907</v>
      </c>
      <c r="C429" s="510" t="s">
        <v>4335</v>
      </c>
      <c r="D429" s="120">
        <v>22</v>
      </c>
      <c r="E429" s="79"/>
      <c r="F429" s="79"/>
      <c r="G429" s="79"/>
      <c r="H429" s="79"/>
      <c r="I429" s="79">
        <v>53</v>
      </c>
      <c r="J429" s="79"/>
      <c r="K429" s="79"/>
      <c r="L429" s="79"/>
      <c r="M429" s="79"/>
      <c r="N429" s="79"/>
      <c r="O429" s="79"/>
      <c r="P429" s="79"/>
      <c r="Q429" s="139">
        <f t="shared" si="42"/>
        <v>53</v>
      </c>
      <c r="R429" s="144" t="str">
        <f t="shared" si="40"/>
        <v>NO</v>
      </c>
      <c r="S429" s="145" t="str">
        <f t="shared" si="41"/>
        <v>Alto</v>
      </c>
      <c r="T429" s="182"/>
    </row>
    <row r="430" spans="1:20" s="167" customFormat="1" ht="32.1" customHeight="1">
      <c r="A430" s="419" t="s">
        <v>221</v>
      </c>
      <c r="B430" s="510" t="s">
        <v>4336</v>
      </c>
      <c r="C430" s="510" t="s">
        <v>4337</v>
      </c>
      <c r="D430" s="120">
        <v>37</v>
      </c>
      <c r="E430" s="79"/>
      <c r="F430" s="79"/>
      <c r="G430" s="79">
        <v>53</v>
      </c>
      <c r="H430" s="79"/>
      <c r="I430" s="79"/>
      <c r="J430" s="79"/>
      <c r="K430" s="79"/>
      <c r="L430" s="79"/>
      <c r="M430" s="79"/>
      <c r="N430" s="79"/>
      <c r="O430" s="79"/>
      <c r="P430" s="79"/>
      <c r="Q430" s="139">
        <f t="shared" si="42"/>
        <v>53</v>
      </c>
      <c r="R430" s="144" t="str">
        <f t="shared" si="40"/>
        <v>NO</v>
      </c>
      <c r="S430" s="145" t="str">
        <f t="shared" si="41"/>
        <v>Alto</v>
      </c>
      <c r="T430" s="182"/>
    </row>
    <row r="431" spans="1:20" s="120" customFormat="1" ht="32.1" customHeight="1">
      <c r="A431" s="419" t="s">
        <v>221</v>
      </c>
      <c r="B431" s="510" t="s">
        <v>494</v>
      </c>
      <c r="C431" s="510" t="s">
        <v>4338</v>
      </c>
      <c r="D431" s="120">
        <v>25</v>
      </c>
      <c r="E431" s="80"/>
      <c r="F431" s="80"/>
      <c r="G431" s="80"/>
      <c r="H431" s="80"/>
      <c r="I431" s="80"/>
      <c r="J431" s="80"/>
      <c r="K431" s="80"/>
      <c r="L431" s="80"/>
      <c r="M431" s="80"/>
      <c r="N431" s="80">
        <v>53</v>
      </c>
      <c r="O431" s="80"/>
      <c r="P431" s="80"/>
      <c r="Q431" s="139">
        <f t="shared" ref="Q431:Q433" si="43">AVERAGE(E431:P431)</f>
        <v>53</v>
      </c>
      <c r="R431" s="144" t="str">
        <f t="shared" si="40"/>
        <v>NO</v>
      </c>
      <c r="S431" s="145" t="str">
        <f t="shared" si="41"/>
        <v>Alto</v>
      </c>
      <c r="T431" s="183"/>
    </row>
    <row r="432" spans="1:20" ht="32.1" customHeight="1">
      <c r="A432" s="419" t="s">
        <v>221</v>
      </c>
      <c r="B432" s="510" t="s">
        <v>4339</v>
      </c>
      <c r="C432" s="510" t="s">
        <v>4340</v>
      </c>
      <c r="D432" s="120">
        <v>25</v>
      </c>
      <c r="E432" s="80"/>
      <c r="F432" s="80"/>
      <c r="G432" s="80"/>
      <c r="H432" s="80"/>
      <c r="I432" s="80"/>
      <c r="J432" s="80">
        <v>53</v>
      </c>
      <c r="K432" s="80"/>
      <c r="L432" s="80"/>
      <c r="M432" s="80"/>
      <c r="N432" s="80"/>
      <c r="O432" s="80"/>
      <c r="P432" s="80"/>
      <c r="Q432" s="139">
        <f t="shared" si="43"/>
        <v>53</v>
      </c>
      <c r="R432" s="144" t="str">
        <f t="shared" si="40"/>
        <v>NO</v>
      </c>
      <c r="S432" s="145" t="str">
        <f t="shared" si="41"/>
        <v>Alto</v>
      </c>
      <c r="T432" s="174"/>
    </row>
    <row r="433" spans="1:20" ht="32.1" customHeight="1">
      <c r="A433" s="419" t="s">
        <v>221</v>
      </c>
      <c r="B433" s="510" t="s">
        <v>4341</v>
      </c>
      <c r="C433" s="510" t="s">
        <v>4342</v>
      </c>
      <c r="D433" s="120">
        <v>36</v>
      </c>
      <c r="E433" s="80"/>
      <c r="F433" s="80"/>
      <c r="G433" s="80"/>
      <c r="H433" s="80">
        <v>53</v>
      </c>
      <c r="I433" s="80"/>
      <c r="J433" s="80"/>
      <c r="K433" s="80"/>
      <c r="L433" s="80"/>
      <c r="M433" s="80"/>
      <c r="N433" s="80"/>
      <c r="O433" s="80"/>
      <c r="P433" s="80"/>
      <c r="Q433" s="139">
        <f t="shared" si="43"/>
        <v>53</v>
      </c>
      <c r="R433" s="144" t="str">
        <f t="shared" si="40"/>
        <v>NO</v>
      </c>
      <c r="S433" s="145" t="str">
        <f t="shared" si="41"/>
        <v>Alto</v>
      </c>
      <c r="T433" s="174"/>
    </row>
    <row r="434" spans="1:20" ht="42.75" customHeight="1">
      <c r="A434" s="419" t="s">
        <v>82</v>
      </c>
      <c r="B434" s="110" t="s">
        <v>1376</v>
      </c>
      <c r="C434" s="110" t="s">
        <v>1377</v>
      </c>
      <c r="D434" s="119">
        <v>624</v>
      </c>
      <c r="E434" s="80">
        <v>8.7200000000000006</v>
      </c>
      <c r="F434" s="80">
        <v>0</v>
      </c>
      <c r="G434" s="80">
        <v>0</v>
      </c>
      <c r="H434" s="80">
        <v>17.88</v>
      </c>
      <c r="I434" s="80">
        <v>0</v>
      </c>
      <c r="J434" s="80">
        <v>7.85</v>
      </c>
      <c r="K434" s="80">
        <v>0</v>
      </c>
      <c r="L434" s="80">
        <v>0</v>
      </c>
      <c r="M434" s="80">
        <v>0</v>
      </c>
      <c r="N434" s="80">
        <v>3.49</v>
      </c>
      <c r="O434" s="80">
        <v>0</v>
      </c>
      <c r="P434" s="80">
        <v>0</v>
      </c>
      <c r="Q434" s="139">
        <f t="shared" si="42"/>
        <v>3.1616666666666671</v>
      </c>
      <c r="R434" s="144" t="str">
        <f t="shared" ref="R434:R492" si="44">IF(Q434&lt;5,"SI","NO")</f>
        <v>SI</v>
      </c>
      <c r="S434" s="145" t="str">
        <f t="shared" si="41"/>
        <v>Sin Riesgo</v>
      </c>
    </row>
    <row r="435" spans="1:20" ht="32.1" customHeight="1">
      <c r="A435" s="419" t="s">
        <v>82</v>
      </c>
      <c r="B435" s="110" t="s">
        <v>1378</v>
      </c>
      <c r="C435" s="110" t="s">
        <v>1379</v>
      </c>
      <c r="D435" s="119">
        <v>1.0449999999999999</v>
      </c>
      <c r="E435" s="80">
        <v>0</v>
      </c>
      <c r="F435" s="80">
        <v>0</v>
      </c>
      <c r="G435" s="80">
        <v>0</v>
      </c>
      <c r="H435" s="80">
        <v>0</v>
      </c>
      <c r="I435" s="80">
        <v>0</v>
      </c>
      <c r="J435" s="80">
        <v>0</v>
      </c>
      <c r="K435" s="80">
        <v>1.74</v>
      </c>
      <c r="L435" s="80">
        <v>0</v>
      </c>
      <c r="M435" s="80">
        <v>0</v>
      </c>
      <c r="N435" s="80">
        <v>0</v>
      </c>
      <c r="O435" s="80">
        <v>0</v>
      </c>
      <c r="P435" s="80">
        <v>0</v>
      </c>
      <c r="Q435" s="139">
        <f t="shared" si="42"/>
        <v>0.14499999999999999</v>
      </c>
      <c r="R435" s="144" t="str">
        <f t="shared" si="44"/>
        <v>SI</v>
      </c>
      <c r="S435" s="145" t="str">
        <f t="shared" si="41"/>
        <v>Sin Riesgo</v>
      </c>
    </row>
    <row r="436" spans="1:20" ht="32.1" customHeight="1">
      <c r="A436" s="419" t="s">
        <v>82</v>
      </c>
      <c r="B436" s="110" t="s">
        <v>1380</v>
      </c>
      <c r="C436" s="110" t="s">
        <v>1381</v>
      </c>
      <c r="D436" s="119">
        <v>409</v>
      </c>
      <c r="E436" s="80">
        <v>0</v>
      </c>
      <c r="F436" s="80">
        <v>0</v>
      </c>
      <c r="G436" s="80">
        <v>0</v>
      </c>
      <c r="H436" s="80">
        <v>0</v>
      </c>
      <c r="I436" s="80">
        <v>0</v>
      </c>
      <c r="J436" s="80">
        <v>0</v>
      </c>
      <c r="K436" s="80">
        <v>0</v>
      </c>
      <c r="L436" s="80">
        <v>0</v>
      </c>
      <c r="M436" s="80">
        <v>0</v>
      </c>
      <c r="N436" s="80">
        <v>0</v>
      </c>
      <c r="O436" s="80">
        <v>0</v>
      </c>
      <c r="P436" s="80">
        <v>0</v>
      </c>
      <c r="Q436" s="139">
        <f t="shared" si="42"/>
        <v>0</v>
      </c>
      <c r="R436" s="144" t="str">
        <f t="shared" si="44"/>
        <v>SI</v>
      </c>
      <c r="S436" s="145" t="str">
        <f t="shared" si="41"/>
        <v>Sin Riesgo</v>
      </c>
    </row>
    <row r="437" spans="1:20" ht="32.1" customHeight="1">
      <c r="A437" s="419" t="s">
        <v>82</v>
      </c>
      <c r="B437" s="110" t="s">
        <v>1159</v>
      </c>
      <c r="C437" s="110" t="s">
        <v>1382</v>
      </c>
      <c r="D437" s="119">
        <v>483</v>
      </c>
      <c r="E437" s="80">
        <v>0</v>
      </c>
      <c r="F437" s="80">
        <v>0</v>
      </c>
      <c r="G437" s="80">
        <v>0</v>
      </c>
      <c r="H437" s="80">
        <v>0</v>
      </c>
      <c r="I437" s="80">
        <v>0</v>
      </c>
      <c r="J437" s="80">
        <v>0</v>
      </c>
      <c r="K437" s="80">
        <v>0</v>
      </c>
      <c r="L437" s="80">
        <v>17.440000000000001</v>
      </c>
      <c r="M437" s="80">
        <v>0</v>
      </c>
      <c r="N437" s="80">
        <v>17.399999999999999</v>
      </c>
      <c r="O437" s="80">
        <v>0</v>
      </c>
      <c r="P437" s="80">
        <v>0</v>
      </c>
      <c r="Q437" s="139">
        <f t="shared" si="42"/>
        <v>2.9033333333333338</v>
      </c>
      <c r="R437" s="144" t="str">
        <f t="shared" si="44"/>
        <v>SI</v>
      </c>
      <c r="S437" s="145" t="str">
        <f t="shared" si="41"/>
        <v>Sin Riesgo</v>
      </c>
    </row>
    <row r="438" spans="1:20" ht="32.1" customHeight="1">
      <c r="A438" s="419" t="s">
        <v>82</v>
      </c>
      <c r="B438" s="110" t="s">
        <v>1383</v>
      </c>
      <c r="C438" s="110" t="s">
        <v>1384</v>
      </c>
      <c r="D438" s="119">
        <v>1.5860000000000001</v>
      </c>
      <c r="E438" s="80">
        <v>0</v>
      </c>
      <c r="F438" s="80">
        <v>0.28999999999999998</v>
      </c>
      <c r="G438" s="80">
        <v>0</v>
      </c>
      <c r="H438" s="80">
        <v>0</v>
      </c>
      <c r="I438" s="80">
        <v>0</v>
      </c>
      <c r="J438" s="80">
        <v>0</v>
      </c>
      <c r="K438" s="80">
        <v>0</v>
      </c>
      <c r="L438" s="80">
        <v>0</v>
      </c>
      <c r="M438" s="80">
        <v>0</v>
      </c>
      <c r="N438" s="80">
        <v>0.87</v>
      </c>
      <c r="O438" s="80">
        <v>0</v>
      </c>
      <c r="P438" s="80">
        <v>0</v>
      </c>
      <c r="Q438" s="139">
        <f t="shared" si="42"/>
        <v>9.6666666666666665E-2</v>
      </c>
      <c r="R438" s="144" t="str">
        <f t="shared" si="44"/>
        <v>SI</v>
      </c>
      <c r="S438" s="145" t="str">
        <f t="shared" si="41"/>
        <v>Sin Riesgo</v>
      </c>
    </row>
    <row r="439" spans="1:20" ht="32.1" customHeight="1">
      <c r="A439" s="419" t="s">
        <v>82</v>
      </c>
      <c r="B439" s="110" t="s">
        <v>1385</v>
      </c>
      <c r="C439" s="110" t="s">
        <v>1386</v>
      </c>
      <c r="D439" s="119">
        <v>149</v>
      </c>
      <c r="E439" s="80">
        <v>0</v>
      </c>
      <c r="F439" s="80">
        <v>0</v>
      </c>
      <c r="G439" s="80">
        <v>0</v>
      </c>
      <c r="H439" s="80">
        <v>0</v>
      </c>
      <c r="I439" s="80">
        <v>17.440000000000001</v>
      </c>
      <c r="J439" s="80">
        <v>6.97</v>
      </c>
      <c r="K439" s="80">
        <v>0</v>
      </c>
      <c r="L439" s="80">
        <v>0</v>
      </c>
      <c r="M439" s="80">
        <v>0</v>
      </c>
      <c r="N439" s="80">
        <v>0</v>
      </c>
      <c r="O439" s="80">
        <v>8.7200000000000006</v>
      </c>
      <c r="P439" s="80">
        <v>0</v>
      </c>
      <c r="Q439" s="139">
        <f t="shared" si="42"/>
        <v>2.7608333333333337</v>
      </c>
      <c r="R439" s="144" t="str">
        <f t="shared" si="44"/>
        <v>SI</v>
      </c>
      <c r="S439" s="145" t="str">
        <f t="shared" si="41"/>
        <v>Sin Riesgo</v>
      </c>
    </row>
    <row r="440" spans="1:20" ht="32.1" customHeight="1">
      <c r="A440" s="419" t="s">
        <v>82</v>
      </c>
      <c r="B440" s="110" t="s">
        <v>1387</v>
      </c>
      <c r="C440" s="110" t="s">
        <v>1388</v>
      </c>
      <c r="D440" s="119">
        <v>385</v>
      </c>
      <c r="E440" s="80">
        <v>0</v>
      </c>
      <c r="F440" s="80">
        <v>0</v>
      </c>
      <c r="G440" s="80">
        <v>0</v>
      </c>
      <c r="H440" s="80">
        <v>0.87</v>
      </c>
      <c r="I440" s="80">
        <v>0.97</v>
      </c>
      <c r="J440" s="80">
        <v>0</v>
      </c>
      <c r="K440" s="80">
        <v>1.74</v>
      </c>
      <c r="L440" s="80">
        <v>0</v>
      </c>
      <c r="M440" s="80">
        <v>0</v>
      </c>
      <c r="N440" s="80">
        <v>3.49</v>
      </c>
      <c r="O440" s="80">
        <v>0</v>
      </c>
      <c r="P440" s="80">
        <v>0</v>
      </c>
      <c r="Q440" s="139">
        <f t="shared" si="42"/>
        <v>0.58916666666666673</v>
      </c>
      <c r="R440" s="144" t="str">
        <f t="shared" si="44"/>
        <v>SI</v>
      </c>
      <c r="S440" s="145" t="str">
        <f t="shared" si="41"/>
        <v>Sin Riesgo</v>
      </c>
    </row>
    <row r="441" spans="1:20" ht="32.1" customHeight="1">
      <c r="A441" s="419" t="s">
        <v>82</v>
      </c>
      <c r="B441" s="110" t="s">
        <v>1389</v>
      </c>
      <c r="C441" s="110" t="s">
        <v>1390</v>
      </c>
      <c r="D441" s="114">
        <v>1.0880000000000001</v>
      </c>
      <c r="E441" s="80">
        <v>0.44</v>
      </c>
      <c r="F441" s="80">
        <v>0</v>
      </c>
      <c r="G441" s="80">
        <v>0</v>
      </c>
      <c r="H441" s="80">
        <v>0</v>
      </c>
      <c r="I441" s="80">
        <v>4.3600000000000003</v>
      </c>
      <c r="J441" s="80">
        <v>0</v>
      </c>
      <c r="K441" s="80">
        <v>0</v>
      </c>
      <c r="L441" s="80">
        <v>0</v>
      </c>
      <c r="M441" s="80">
        <v>0</v>
      </c>
      <c r="N441" s="80">
        <v>27.47</v>
      </c>
      <c r="O441" s="80">
        <v>0.87</v>
      </c>
      <c r="P441" s="80">
        <v>4.8</v>
      </c>
      <c r="Q441" s="139">
        <f t="shared" ref="Q441:Q442" si="45">AVERAGE(E441:P441)</f>
        <v>3.1616666666666657</v>
      </c>
      <c r="R441" s="144" t="str">
        <f t="shared" ref="R441:R442" si="46">IF(Q441&lt;5,"SI","NO")</f>
        <v>SI</v>
      </c>
      <c r="S441" s="145" t="str">
        <f t="shared" ref="S441:S442" si="47">IF(Q441&lt;5,"Sin Riesgo",IF(Q441 &lt;=14,"Bajo",IF(Q441&lt;=35,"Medio",IF(Q441&lt;=80,"Alto","Inviable Sanitariamente"))))</f>
        <v>Sin Riesgo</v>
      </c>
    </row>
    <row r="442" spans="1:20" ht="32.1" customHeight="1">
      <c r="A442" s="419" t="s">
        <v>82</v>
      </c>
      <c r="B442" s="110" t="s">
        <v>4548</v>
      </c>
      <c r="C442" s="110" t="s">
        <v>4549</v>
      </c>
      <c r="D442" s="114">
        <v>1.0880000000000001</v>
      </c>
      <c r="E442" s="80">
        <v>0.44</v>
      </c>
      <c r="F442" s="80">
        <v>0</v>
      </c>
      <c r="G442" s="80">
        <v>0</v>
      </c>
      <c r="H442" s="80">
        <v>0</v>
      </c>
      <c r="I442" s="80">
        <v>4.3600000000000003</v>
      </c>
      <c r="J442" s="80">
        <v>0</v>
      </c>
      <c r="K442" s="80"/>
      <c r="L442" s="80"/>
      <c r="M442" s="80"/>
      <c r="N442" s="80"/>
      <c r="O442" s="80"/>
      <c r="P442" s="80"/>
      <c r="Q442" s="139">
        <f t="shared" si="45"/>
        <v>0.80000000000000016</v>
      </c>
      <c r="R442" s="144" t="str">
        <f t="shared" si="46"/>
        <v>SI</v>
      </c>
      <c r="S442" s="145" t="str">
        <f t="shared" si="47"/>
        <v>Sin Riesgo</v>
      </c>
    </row>
    <row r="443" spans="1:20" ht="32.1" customHeight="1">
      <c r="A443" s="419" t="s">
        <v>82</v>
      </c>
      <c r="B443" s="110" t="s">
        <v>4550</v>
      </c>
      <c r="C443" s="110" t="s">
        <v>4551</v>
      </c>
      <c r="D443" s="114">
        <v>1.0880000000000001</v>
      </c>
      <c r="E443" s="80">
        <v>0.44</v>
      </c>
      <c r="F443" s="80">
        <v>0</v>
      </c>
      <c r="G443" s="80">
        <v>0</v>
      </c>
      <c r="H443" s="80">
        <v>0</v>
      </c>
      <c r="I443" s="80">
        <v>4.3600000000000003</v>
      </c>
      <c r="J443" s="80">
        <v>0</v>
      </c>
      <c r="K443" s="80"/>
      <c r="L443" s="80"/>
      <c r="M443" s="80"/>
      <c r="N443" s="80"/>
      <c r="O443" s="80"/>
      <c r="P443" s="80"/>
      <c r="Q443" s="139">
        <f t="shared" si="42"/>
        <v>0.80000000000000016</v>
      </c>
      <c r="R443" s="144" t="str">
        <f t="shared" si="44"/>
        <v>SI</v>
      </c>
      <c r="S443" s="145" t="str">
        <f t="shared" si="41"/>
        <v>Sin Riesgo</v>
      </c>
    </row>
    <row r="444" spans="1:20" ht="32.1" customHeight="1">
      <c r="A444" s="419" t="s">
        <v>82</v>
      </c>
      <c r="B444" s="110" t="s">
        <v>4344</v>
      </c>
      <c r="C444" s="110" t="s">
        <v>1391</v>
      </c>
      <c r="D444" s="119">
        <v>86</v>
      </c>
      <c r="E444" s="80">
        <v>14</v>
      </c>
      <c r="F444" s="80">
        <v>3.49</v>
      </c>
      <c r="G444" s="80">
        <v>19.18</v>
      </c>
      <c r="H444" s="80">
        <v>1.74</v>
      </c>
      <c r="I444" s="80">
        <v>1.74</v>
      </c>
      <c r="J444" s="80">
        <v>9.59</v>
      </c>
      <c r="K444" s="80">
        <v>26.16</v>
      </c>
      <c r="L444" s="80">
        <v>19.18</v>
      </c>
      <c r="M444" s="80">
        <v>1.74</v>
      </c>
      <c r="N444" s="80">
        <v>7.85</v>
      </c>
      <c r="O444" s="80">
        <v>3.49</v>
      </c>
      <c r="P444" s="80">
        <v>0.87</v>
      </c>
      <c r="Q444" s="139">
        <f t="shared" si="42"/>
        <v>9.0858333333333334</v>
      </c>
      <c r="R444" s="144" t="str">
        <f t="shared" si="44"/>
        <v>NO</v>
      </c>
      <c r="S444" s="145" t="str">
        <f t="shared" si="41"/>
        <v>Bajo</v>
      </c>
    </row>
    <row r="445" spans="1:20" ht="32.1" customHeight="1">
      <c r="A445" s="419" t="s">
        <v>82</v>
      </c>
      <c r="B445" s="110" t="s">
        <v>4343</v>
      </c>
      <c r="C445" s="110" t="s">
        <v>1741</v>
      </c>
      <c r="D445" s="119">
        <v>304</v>
      </c>
      <c r="E445" s="80">
        <v>0</v>
      </c>
      <c r="F445" s="80">
        <v>0</v>
      </c>
      <c r="G445" s="80">
        <v>0</v>
      </c>
      <c r="H445" s="80">
        <v>0</v>
      </c>
      <c r="I445" s="80">
        <v>12.21</v>
      </c>
      <c r="J445" s="80">
        <v>0</v>
      </c>
      <c r="K445" s="80">
        <v>0</v>
      </c>
      <c r="L445" s="80">
        <v>0</v>
      </c>
      <c r="M445" s="80">
        <v>0</v>
      </c>
      <c r="N445" s="80">
        <v>6.97</v>
      </c>
      <c r="O445" s="80">
        <v>0</v>
      </c>
      <c r="P445" s="80">
        <v>0</v>
      </c>
      <c r="Q445" s="139">
        <f t="shared" ref="Q445:Q510" si="48">AVERAGE(E445:P445)</f>
        <v>1.5983333333333334</v>
      </c>
      <c r="R445" s="144" t="str">
        <f t="shared" si="44"/>
        <v>SI</v>
      </c>
      <c r="S445" s="145" t="str">
        <f t="shared" si="41"/>
        <v>Sin Riesgo</v>
      </c>
    </row>
    <row r="446" spans="1:20" ht="32.1" customHeight="1">
      <c r="A446" s="419" t="s">
        <v>82</v>
      </c>
      <c r="B446" s="110" t="s">
        <v>1392</v>
      </c>
      <c r="C446" s="110" t="s">
        <v>1393</v>
      </c>
      <c r="D446" s="114">
        <v>2.2229999999999999</v>
      </c>
      <c r="E446" s="80">
        <v>0</v>
      </c>
      <c r="F446" s="80">
        <v>0</v>
      </c>
      <c r="G446" s="80">
        <v>0</v>
      </c>
      <c r="H446" s="80">
        <v>0</v>
      </c>
      <c r="I446" s="80">
        <v>0</v>
      </c>
      <c r="J446" s="80">
        <v>0</v>
      </c>
      <c r="K446" s="80">
        <v>0</v>
      </c>
      <c r="L446" s="80">
        <v>0</v>
      </c>
      <c r="M446" s="80">
        <v>0</v>
      </c>
      <c r="N446" s="80">
        <v>1.74</v>
      </c>
      <c r="O446" s="80">
        <v>0</v>
      </c>
      <c r="P446" s="80">
        <v>0</v>
      </c>
      <c r="Q446" s="139">
        <f t="shared" si="48"/>
        <v>0.14499999999999999</v>
      </c>
      <c r="R446" s="144" t="str">
        <f t="shared" si="44"/>
        <v>SI</v>
      </c>
      <c r="S446" s="145" t="str">
        <f t="shared" si="41"/>
        <v>Sin Riesgo</v>
      </c>
    </row>
    <row r="447" spans="1:20" ht="32.1" customHeight="1">
      <c r="A447" s="419" t="s">
        <v>82</v>
      </c>
      <c r="B447" s="110" t="s">
        <v>1394</v>
      </c>
      <c r="C447" s="110" t="s">
        <v>1395</v>
      </c>
      <c r="D447" s="119">
        <v>708</v>
      </c>
      <c r="E447" s="80">
        <v>10.45</v>
      </c>
      <c r="F447" s="80">
        <v>0</v>
      </c>
      <c r="G447" s="80">
        <v>0</v>
      </c>
      <c r="H447" s="80">
        <v>0</v>
      </c>
      <c r="I447" s="80">
        <v>3.49</v>
      </c>
      <c r="J447" s="80">
        <v>0</v>
      </c>
      <c r="K447" s="80">
        <v>0</v>
      </c>
      <c r="L447" s="80">
        <v>0</v>
      </c>
      <c r="M447" s="80">
        <v>0</v>
      </c>
      <c r="N447" s="80">
        <v>18.309999999999999</v>
      </c>
      <c r="O447" s="80">
        <v>0</v>
      </c>
      <c r="P447" s="80">
        <v>4.3</v>
      </c>
      <c r="Q447" s="139">
        <f t="shared" si="48"/>
        <v>3.0458333333333329</v>
      </c>
      <c r="R447" s="144" t="str">
        <f t="shared" si="44"/>
        <v>SI</v>
      </c>
      <c r="S447" s="145" t="str">
        <f t="shared" si="41"/>
        <v>Sin Riesgo</v>
      </c>
    </row>
    <row r="448" spans="1:20" ht="32.1" customHeight="1">
      <c r="A448" s="419" t="s">
        <v>82</v>
      </c>
      <c r="B448" s="110" t="s">
        <v>1396</v>
      </c>
      <c r="C448" s="110" t="s">
        <v>1397</v>
      </c>
      <c r="D448" s="119">
        <v>455</v>
      </c>
      <c r="E448" s="80">
        <v>0</v>
      </c>
      <c r="F448" s="80">
        <v>0</v>
      </c>
      <c r="G448" s="80">
        <v>0</v>
      </c>
      <c r="H448" s="80">
        <v>0</v>
      </c>
      <c r="I448" s="80">
        <v>6.97</v>
      </c>
      <c r="J448" s="80">
        <v>1.1599999999999999</v>
      </c>
      <c r="K448" s="80">
        <v>9.16</v>
      </c>
      <c r="L448" s="80">
        <v>0</v>
      </c>
      <c r="M448" s="80">
        <v>0</v>
      </c>
      <c r="N448" s="80">
        <v>24.41</v>
      </c>
      <c r="O448" s="80">
        <v>0</v>
      </c>
      <c r="P448" s="80">
        <v>0</v>
      </c>
      <c r="Q448" s="139">
        <f t="shared" si="48"/>
        <v>3.4750000000000001</v>
      </c>
      <c r="R448" s="144" t="str">
        <f t="shared" si="44"/>
        <v>SI</v>
      </c>
      <c r="S448" s="145" t="str">
        <f t="shared" si="41"/>
        <v>Sin Riesgo</v>
      </c>
    </row>
    <row r="449" spans="1:19" ht="32.1" customHeight="1">
      <c r="A449" s="419" t="s">
        <v>82</v>
      </c>
      <c r="B449" s="110" t="s">
        <v>1398</v>
      </c>
      <c r="C449" s="110" t="s">
        <v>1399</v>
      </c>
      <c r="D449" s="114">
        <v>414</v>
      </c>
      <c r="E449" s="80">
        <v>0</v>
      </c>
      <c r="F449" s="80">
        <v>0</v>
      </c>
      <c r="G449" s="80">
        <v>0</v>
      </c>
      <c r="H449" s="80">
        <v>0</v>
      </c>
      <c r="I449" s="80">
        <v>0</v>
      </c>
      <c r="J449" s="80">
        <v>0</v>
      </c>
      <c r="K449" s="80">
        <v>0</v>
      </c>
      <c r="L449" s="80">
        <v>0</v>
      </c>
      <c r="M449" s="80">
        <v>0</v>
      </c>
      <c r="N449" s="80">
        <v>0</v>
      </c>
      <c r="O449" s="80">
        <v>0</v>
      </c>
      <c r="P449" s="80">
        <v>0</v>
      </c>
      <c r="Q449" s="139">
        <f t="shared" si="48"/>
        <v>0</v>
      </c>
      <c r="R449" s="144" t="str">
        <f t="shared" si="44"/>
        <v>SI</v>
      </c>
      <c r="S449" s="145" t="str">
        <f t="shared" si="41"/>
        <v>Sin Riesgo</v>
      </c>
    </row>
    <row r="450" spans="1:19" ht="32.1" customHeight="1">
      <c r="A450" s="419" t="s">
        <v>82</v>
      </c>
      <c r="B450" s="110" t="s">
        <v>1400</v>
      </c>
      <c r="C450" s="110" t="s">
        <v>1401</v>
      </c>
      <c r="D450" s="119">
        <v>463</v>
      </c>
      <c r="E450" s="80">
        <v>3.49</v>
      </c>
      <c r="F450" s="80">
        <v>0</v>
      </c>
      <c r="G450" s="80">
        <v>1.74</v>
      </c>
      <c r="H450" s="80">
        <v>0</v>
      </c>
      <c r="I450" s="80">
        <v>4.3600000000000003</v>
      </c>
      <c r="J450" s="80">
        <v>12.21</v>
      </c>
      <c r="K450" s="80">
        <v>0</v>
      </c>
      <c r="L450" s="80">
        <v>0</v>
      </c>
      <c r="M450" s="80">
        <v>0</v>
      </c>
      <c r="N450" s="80">
        <v>0</v>
      </c>
      <c r="O450" s="80">
        <v>0</v>
      </c>
      <c r="P450" s="80">
        <v>0</v>
      </c>
      <c r="Q450" s="139">
        <f t="shared" si="48"/>
        <v>1.8166666666666667</v>
      </c>
      <c r="R450" s="144" t="str">
        <f t="shared" si="44"/>
        <v>SI</v>
      </c>
      <c r="S450" s="145" t="str">
        <f t="shared" si="41"/>
        <v>Sin Riesgo</v>
      </c>
    </row>
    <row r="451" spans="1:19" ht="32.1" customHeight="1">
      <c r="A451" s="419" t="s">
        <v>82</v>
      </c>
      <c r="B451" s="110" t="s">
        <v>1402</v>
      </c>
      <c r="C451" s="110" t="s">
        <v>1403</v>
      </c>
      <c r="D451" s="119">
        <v>833</v>
      </c>
      <c r="E451" s="80">
        <v>0</v>
      </c>
      <c r="F451" s="80">
        <v>0</v>
      </c>
      <c r="G451" s="80">
        <v>0</v>
      </c>
      <c r="H451" s="80">
        <v>0</v>
      </c>
      <c r="I451" s="80">
        <v>0</v>
      </c>
      <c r="J451" s="80">
        <v>0</v>
      </c>
      <c r="K451" s="80">
        <v>0</v>
      </c>
      <c r="L451" s="80">
        <v>0</v>
      </c>
      <c r="M451" s="80">
        <v>0</v>
      </c>
      <c r="N451" s="80">
        <v>3.57</v>
      </c>
      <c r="O451" s="80">
        <v>0</v>
      </c>
      <c r="P451" s="80">
        <v>0</v>
      </c>
      <c r="Q451" s="139">
        <f t="shared" si="48"/>
        <v>0.29749999999999999</v>
      </c>
      <c r="R451" s="144" t="str">
        <f t="shared" si="44"/>
        <v>SI</v>
      </c>
      <c r="S451" s="145" t="str">
        <f t="shared" si="41"/>
        <v>Sin Riesgo</v>
      </c>
    </row>
    <row r="452" spans="1:19" ht="32.1" customHeight="1">
      <c r="A452" s="419" t="s">
        <v>82</v>
      </c>
      <c r="B452" s="110" t="s">
        <v>1404</v>
      </c>
      <c r="C452" s="110" t="s">
        <v>1405</v>
      </c>
      <c r="D452" s="119">
        <v>137</v>
      </c>
      <c r="E452" s="80">
        <v>0</v>
      </c>
      <c r="F452" s="80">
        <v>0</v>
      </c>
      <c r="G452" s="80">
        <v>0</v>
      </c>
      <c r="H452" s="80">
        <v>0</v>
      </c>
      <c r="I452" s="80">
        <v>0</v>
      </c>
      <c r="J452" s="80">
        <v>0</v>
      </c>
      <c r="K452" s="80">
        <v>0</v>
      </c>
      <c r="L452" s="80">
        <v>0.87</v>
      </c>
      <c r="M452" s="80">
        <v>0</v>
      </c>
      <c r="N452" s="80">
        <v>17.440000000000001</v>
      </c>
      <c r="O452" s="80">
        <v>0</v>
      </c>
      <c r="P452" s="80">
        <v>0</v>
      </c>
      <c r="Q452" s="139">
        <f t="shared" ref="Q452" si="49">AVERAGE(E452:P452)</f>
        <v>1.5258333333333336</v>
      </c>
      <c r="R452" s="144" t="str">
        <f t="shared" ref="R452" si="50">IF(Q452&lt;5,"SI","NO")</f>
        <v>SI</v>
      </c>
      <c r="S452" s="145" t="str">
        <f t="shared" ref="S452" si="51">IF(Q452&lt;5,"Sin Riesgo",IF(Q452 &lt;=14,"Bajo",IF(Q452&lt;=35,"Medio",IF(Q452&lt;=80,"Alto","Inviable Sanitariamente"))))</f>
        <v>Sin Riesgo</v>
      </c>
    </row>
    <row r="453" spans="1:19" ht="32.1" customHeight="1">
      <c r="A453" s="419" t="s">
        <v>82</v>
      </c>
      <c r="B453" s="110" t="s">
        <v>4552</v>
      </c>
      <c r="C453" s="110" t="s">
        <v>4553</v>
      </c>
      <c r="D453" s="119">
        <v>137</v>
      </c>
      <c r="E453" s="80">
        <v>0</v>
      </c>
      <c r="F453" s="80">
        <v>0</v>
      </c>
      <c r="G453" s="80">
        <v>0</v>
      </c>
      <c r="H453" s="80">
        <v>0</v>
      </c>
      <c r="I453" s="80">
        <v>0</v>
      </c>
      <c r="J453" s="80">
        <v>0</v>
      </c>
      <c r="K453" s="80">
        <v>0</v>
      </c>
      <c r="L453" s="80">
        <v>0.87</v>
      </c>
      <c r="M453" s="80">
        <v>0</v>
      </c>
      <c r="N453" s="80">
        <v>17.440000000000001</v>
      </c>
      <c r="O453" s="80">
        <v>0</v>
      </c>
      <c r="P453" s="80">
        <v>0</v>
      </c>
      <c r="Q453" s="139">
        <f t="shared" si="48"/>
        <v>1.5258333333333336</v>
      </c>
      <c r="R453" s="144" t="str">
        <f t="shared" si="44"/>
        <v>SI</v>
      </c>
      <c r="S453" s="145" t="str">
        <f t="shared" si="41"/>
        <v>Sin Riesgo</v>
      </c>
    </row>
    <row r="454" spans="1:19" ht="32.1" customHeight="1">
      <c r="A454" s="419" t="s">
        <v>82</v>
      </c>
      <c r="B454" s="110" t="s">
        <v>1406</v>
      </c>
      <c r="C454" s="110" t="s">
        <v>1407</v>
      </c>
      <c r="D454" s="119">
        <v>693</v>
      </c>
      <c r="E454" s="80">
        <v>0</v>
      </c>
      <c r="F454" s="80">
        <v>0</v>
      </c>
      <c r="G454" s="80">
        <v>0</v>
      </c>
      <c r="H454" s="80">
        <v>0</v>
      </c>
      <c r="I454" s="80">
        <v>0</v>
      </c>
      <c r="J454" s="80">
        <v>0</v>
      </c>
      <c r="K454" s="80">
        <v>0</v>
      </c>
      <c r="L454" s="80">
        <v>0</v>
      </c>
      <c r="M454" s="80">
        <v>0</v>
      </c>
      <c r="N454" s="80">
        <v>8.7200000000000006</v>
      </c>
      <c r="O454" s="80">
        <v>0</v>
      </c>
      <c r="P454" s="80">
        <v>0</v>
      </c>
      <c r="Q454" s="139">
        <f t="shared" si="48"/>
        <v>0.72666666666666668</v>
      </c>
      <c r="R454" s="144" t="str">
        <f t="shared" si="44"/>
        <v>SI</v>
      </c>
      <c r="S454" s="145" t="str">
        <f t="shared" si="41"/>
        <v>Sin Riesgo</v>
      </c>
    </row>
    <row r="455" spans="1:19" ht="32.1" customHeight="1">
      <c r="A455" s="419" t="s">
        <v>82</v>
      </c>
      <c r="B455" s="110" t="s">
        <v>1408</v>
      </c>
      <c r="C455" s="110" t="s">
        <v>1409</v>
      </c>
      <c r="D455" s="119">
        <v>139</v>
      </c>
      <c r="E455" s="80">
        <v>0</v>
      </c>
      <c r="F455" s="80">
        <v>0</v>
      </c>
      <c r="G455" s="80">
        <v>0</v>
      </c>
      <c r="H455" s="80">
        <v>0</v>
      </c>
      <c r="I455" s="80">
        <v>0</v>
      </c>
      <c r="J455" s="80">
        <v>0</v>
      </c>
      <c r="K455" s="80">
        <v>6.97</v>
      </c>
      <c r="L455" s="80">
        <v>0</v>
      </c>
      <c r="M455" s="80">
        <v>0</v>
      </c>
      <c r="N455" s="80">
        <v>6.97</v>
      </c>
      <c r="O455" s="80">
        <v>0</v>
      </c>
      <c r="P455" s="80">
        <v>0</v>
      </c>
      <c r="Q455" s="139">
        <f t="shared" si="48"/>
        <v>1.1616666666666666</v>
      </c>
      <c r="R455" s="144" t="str">
        <f t="shared" si="44"/>
        <v>SI</v>
      </c>
      <c r="S455" s="145" t="str">
        <f t="shared" si="41"/>
        <v>Sin Riesgo</v>
      </c>
    </row>
    <row r="456" spans="1:19" ht="32.1" customHeight="1">
      <c r="A456" s="419" t="s">
        <v>82</v>
      </c>
      <c r="B456" s="110" t="s">
        <v>1410</v>
      </c>
      <c r="C456" s="110" t="s">
        <v>1411</v>
      </c>
      <c r="D456" s="119">
        <v>272</v>
      </c>
      <c r="E456" s="80">
        <v>0</v>
      </c>
      <c r="F456" s="80">
        <v>0</v>
      </c>
      <c r="G456" s="80">
        <v>0</v>
      </c>
      <c r="H456" s="80">
        <v>0</v>
      </c>
      <c r="I456" s="80">
        <v>0</v>
      </c>
      <c r="J456" s="80">
        <v>0</v>
      </c>
      <c r="K456" s="80">
        <v>0</v>
      </c>
      <c r="L456" s="80">
        <v>0</v>
      </c>
      <c r="M456" s="80">
        <v>0</v>
      </c>
      <c r="N456" s="80">
        <v>17.440000000000001</v>
      </c>
      <c r="O456" s="80">
        <v>0</v>
      </c>
      <c r="P456" s="80">
        <v>0</v>
      </c>
      <c r="Q456" s="139">
        <f t="shared" si="48"/>
        <v>1.4533333333333334</v>
      </c>
      <c r="R456" s="144" t="str">
        <f t="shared" si="44"/>
        <v>SI</v>
      </c>
      <c r="S456" s="145" t="str">
        <f t="shared" si="41"/>
        <v>Sin Riesgo</v>
      </c>
    </row>
    <row r="457" spans="1:19" ht="32.1" customHeight="1">
      <c r="A457" s="419" t="s">
        <v>82</v>
      </c>
      <c r="B457" s="110" t="s">
        <v>1412</v>
      </c>
      <c r="C457" s="110" t="s">
        <v>1413</v>
      </c>
      <c r="D457" s="119">
        <v>954</v>
      </c>
      <c r="E457" s="80">
        <v>0</v>
      </c>
      <c r="F457" s="80">
        <v>0</v>
      </c>
      <c r="G457" s="80">
        <v>0</v>
      </c>
      <c r="H457" s="80">
        <v>0</v>
      </c>
      <c r="I457" s="80">
        <v>13.95</v>
      </c>
      <c r="J457" s="80">
        <v>0</v>
      </c>
      <c r="K457" s="80">
        <v>1.74</v>
      </c>
      <c r="L457" s="80">
        <v>0</v>
      </c>
      <c r="M457" s="80">
        <v>0</v>
      </c>
      <c r="N457" s="80">
        <v>11.33</v>
      </c>
      <c r="O457" s="80">
        <v>0.44</v>
      </c>
      <c r="P457" s="80">
        <v>0.44</v>
      </c>
      <c r="Q457" s="139">
        <f t="shared" si="48"/>
        <v>2.3250000000000002</v>
      </c>
      <c r="R457" s="144" t="str">
        <f t="shared" si="44"/>
        <v>SI</v>
      </c>
      <c r="S457" s="145" t="str">
        <f t="shared" si="41"/>
        <v>Sin Riesgo</v>
      </c>
    </row>
    <row r="458" spans="1:19" ht="32.1" customHeight="1">
      <c r="A458" s="419" t="s">
        <v>54</v>
      </c>
      <c r="B458" s="490" t="s">
        <v>1115</v>
      </c>
      <c r="C458" s="502" t="s">
        <v>1414</v>
      </c>
      <c r="D458" s="513">
        <v>92</v>
      </c>
      <c r="E458" s="80"/>
      <c r="F458" s="80"/>
      <c r="G458" s="80">
        <v>36.1</v>
      </c>
      <c r="H458" s="80"/>
      <c r="I458" s="80"/>
      <c r="J458" s="80"/>
      <c r="K458" s="80"/>
      <c r="L458" s="80"/>
      <c r="M458" s="80"/>
      <c r="N458" s="80"/>
      <c r="O458" s="80"/>
      <c r="P458" s="80"/>
      <c r="Q458" s="139">
        <f t="shared" si="48"/>
        <v>36.1</v>
      </c>
      <c r="R458" s="144" t="str">
        <f t="shared" si="44"/>
        <v>NO</v>
      </c>
      <c r="S458" s="145" t="str">
        <f t="shared" si="41"/>
        <v>Alto</v>
      </c>
    </row>
    <row r="459" spans="1:19" ht="32.1" customHeight="1">
      <c r="A459" s="419" t="s">
        <v>54</v>
      </c>
      <c r="B459" s="490" t="s">
        <v>1415</v>
      </c>
      <c r="C459" s="502" t="s">
        <v>1416</v>
      </c>
      <c r="D459" s="513">
        <v>80</v>
      </c>
      <c r="E459" s="80"/>
      <c r="F459" s="80">
        <v>97.5</v>
      </c>
      <c r="G459" s="80"/>
      <c r="H459" s="80"/>
      <c r="I459" s="80"/>
      <c r="J459" s="80"/>
      <c r="K459" s="80">
        <v>76.900000000000006</v>
      </c>
      <c r="L459" s="80"/>
      <c r="M459" s="80"/>
      <c r="N459" s="80"/>
      <c r="O459" s="80"/>
      <c r="P459" s="80"/>
      <c r="Q459" s="139">
        <f t="shared" si="48"/>
        <v>87.2</v>
      </c>
      <c r="R459" s="144" t="str">
        <f t="shared" si="44"/>
        <v>NO</v>
      </c>
      <c r="S459" s="145" t="str">
        <f t="shared" si="41"/>
        <v>Inviable Sanitariamente</v>
      </c>
    </row>
    <row r="460" spans="1:19" ht="32.1" customHeight="1">
      <c r="A460" s="419" t="s">
        <v>54</v>
      </c>
      <c r="B460" s="490" t="s">
        <v>1417</v>
      </c>
      <c r="C460" s="502" t="s">
        <v>1418</v>
      </c>
      <c r="D460" s="513">
        <v>90</v>
      </c>
      <c r="E460" s="80"/>
      <c r="F460" s="80"/>
      <c r="G460" s="80"/>
      <c r="H460" s="80">
        <v>76.900000000000006</v>
      </c>
      <c r="I460" s="80"/>
      <c r="J460" s="80"/>
      <c r="K460" s="80"/>
      <c r="L460" s="80">
        <v>96.39</v>
      </c>
      <c r="M460" s="80"/>
      <c r="N460" s="80"/>
      <c r="O460" s="80"/>
      <c r="P460" s="80"/>
      <c r="Q460" s="139">
        <f t="shared" si="48"/>
        <v>86.64500000000001</v>
      </c>
      <c r="R460" s="144" t="str">
        <f t="shared" si="44"/>
        <v>NO</v>
      </c>
      <c r="S460" s="145" t="str">
        <f t="shared" si="41"/>
        <v>Inviable Sanitariamente</v>
      </c>
    </row>
    <row r="461" spans="1:19" ht="32.1" customHeight="1">
      <c r="A461" s="419" t="s">
        <v>54</v>
      </c>
      <c r="B461" s="490" t="s">
        <v>1419</v>
      </c>
      <c r="C461" s="502" t="s">
        <v>1420</v>
      </c>
      <c r="D461" s="513">
        <v>600</v>
      </c>
      <c r="E461" s="80"/>
      <c r="F461" s="80">
        <v>0</v>
      </c>
      <c r="G461" s="80"/>
      <c r="H461" s="80"/>
      <c r="I461" s="80"/>
      <c r="J461" s="80"/>
      <c r="K461" s="80">
        <v>20.98</v>
      </c>
      <c r="L461" s="80"/>
      <c r="M461" s="80"/>
      <c r="N461" s="80"/>
      <c r="O461" s="80">
        <v>0</v>
      </c>
      <c r="P461" s="80"/>
      <c r="Q461" s="139">
        <f t="shared" si="48"/>
        <v>6.9933333333333332</v>
      </c>
      <c r="R461" s="144" t="str">
        <f t="shared" si="44"/>
        <v>NO</v>
      </c>
      <c r="S461" s="145" t="str">
        <f t="shared" si="41"/>
        <v>Bajo</v>
      </c>
    </row>
    <row r="462" spans="1:19" ht="32.1" customHeight="1">
      <c r="A462" s="419" t="s">
        <v>54</v>
      </c>
      <c r="B462" s="490" t="s">
        <v>1421</v>
      </c>
      <c r="C462" s="502" t="s">
        <v>1422</v>
      </c>
      <c r="D462" s="513">
        <v>70</v>
      </c>
      <c r="E462" s="80"/>
      <c r="F462" s="80"/>
      <c r="G462" s="80"/>
      <c r="H462" s="80"/>
      <c r="I462" s="80"/>
      <c r="J462" s="80"/>
      <c r="K462" s="80">
        <v>97.91</v>
      </c>
      <c r="L462" s="80"/>
      <c r="M462" s="80"/>
      <c r="N462" s="80">
        <v>100</v>
      </c>
      <c r="O462" s="80"/>
      <c r="P462" s="80"/>
      <c r="Q462" s="139">
        <f t="shared" si="48"/>
        <v>98.954999999999998</v>
      </c>
      <c r="R462" s="144" t="str">
        <f t="shared" si="44"/>
        <v>NO</v>
      </c>
      <c r="S462" s="145" t="str">
        <f t="shared" ref="S462:S526" si="52">IF(Q462&lt;5,"Sin Riesgo",IF(Q462 &lt;=14,"Bajo",IF(Q462&lt;=35,"Medio",IF(Q462&lt;=80,"Alto","Inviable Sanitariamente"))))</f>
        <v>Inviable Sanitariamente</v>
      </c>
    </row>
    <row r="463" spans="1:19" ht="32.1" customHeight="1">
      <c r="A463" s="419" t="s">
        <v>54</v>
      </c>
      <c r="B463" s="490" t="s">
        <v>1423</v>
      </c>
      <c r="C463" s="502" t="s">
        <v>1424</v>
      </c>
      <c r="D463" s="513">
        <v>75</v>
      </c>
      <c r="E463" s="80"/>
      <c r="F463" s="80">
        <v>76.900000000000006</v>
      </c>
      <c r="G463" s="80"/>
      <c r="H463" s="80"/>
      <c r="I463" s="80"/>
      <c r="J463" s="80"/>
      <c r="K463" s="80"/>
      <c r="L463" s="80"/>
      <c r="M463" s="80">
        <v>97.35</v>
      </c>
      <c r="N463" s="80"/>
      <c r="O463" s="80"/>
      <c r="P463" s="80"/>
      <c r="Q463" s="139">
        <f t="shared" si="48"/>
        <v>87.125</v>
      </c>
      <c r="R463" s="144" t="str">
        <f t="shared" si="44"/>
        <v>NO</v>
      </c>
      <c r="S463" s="145" t="str">
        <f t="shared" si="52"/>
        <v>Inviable Sanitariamente</v>
      </c>
    </row>
    <row r="464" spans="1:19" ht="32.1" customHeight="1">
      <c r="A464" s="419" t="s">
        <v>54</v>
      </c>
      <c r="B464" s="490" t="s">
        <v>1425</v>
      </c>
      <c r="C464" s="502" t="s">
        <v>1426</v>
      </c>
      <c r="D464" s="513">
        <v>80</v>
      </c>
      <c r="E464" s="80"/>
      <c r="F464" s="80">
        <v>76.900000000000006</v>
      </c>
      <c r="G464" s="80"/>
      <c r="H464" s="80"/>
      <c r="I464" s="80">
        <v>20.9</v>
      </c>
      <c r="J464" s="80"/>
      <c r="K464" s="80">
        <v>62.97</v>
      </c>
      <c r="L464" s="80"/>
      <c r="M464" s="80"/>
      <c r="N464" s="80">
        <v>41.96</v>
      </c>
      <c r="O464" s="80"/>
      <c r="P464" s="80"/>
      <c r="Q464" s="139">
        <f t="shared" si="48"/>
        <v>50.682500000000005</v>
      </c>
      <c r="R464" s="144" t="str">
        <f t="shared" si="44"/>
        <v>NO</v>
      </c>
      <c r="S464" s="145" t="str">
        <f t="shared" si="52"/>
        <v>Alto</v>
      </c>
    </row>
    <row r="465" spans="1:19" ht="32.1" customHeight="1">
      <c r="A465" s="419" t="s">
        <v>54</v>
      </c>
      <c r="B465" s="490" t="s">
        <v>1427</v>
      </c>
      <c r="C465" s="502" t="s">
        <v>1428</v>
      </c>
      <c r="D465" s="156">
        <v>192</v>
      </c>
      <c r="E465" s="80"/>
      <c r="F465" s="80">
        <v>0</v>
      </c>
      <c r="G465" s="80"/>
      <c r="H465" s="80"/>
      <c r="I465" s="80">
        <v>21</v>
      </c>
      <c r="J465" s="80"/>
      <c r="K465" s="80"/>
      <c r="L465" s="80"/>
      <c r="M465" s="80"/>
      <c r="N465" s="80"/>
      <c r="O465" s="80"/>
      <c r="P465" s="80"/>
      <c r="Q465" s="139">
        <f t="shared" si="48"/>
        <v>10.5</v>
      </c>
      <c r="R465" s="144" t="str">
        <f t="shared" si="44"/>
        <v>NO</v>
      </c>
      <c r="S465" s="145" t="str">
        <f t="shared" si="52"/>
        <v>Bajo</v>
      </c>
    </row>
    <row r="466" spans="1:19" ht="32.1" customHeight="1">
      <c r="A466" s="419" t="s">
        <v>54</v>
      </c>
      <c r="B466" s="490" t="s">
        <v>1429</v>
      </c>
      <c r="C466" s="502" t="s">
        <v>1430</v>
      </c>
      <c r="D466" s="513">
        <v>26</v>
      </c>
      <c r="E466" s="80"/>
      <c r="F466" s="80"/>
      <c r="G466" s="80"/>
      <c r="H466" s="80"/>
      <c r="I466" s="80">
        <v>23.8</v>
      </c>
      <c r="J466" s="80"/>
      <c r="K466" s="80"/>
      <c r="L466" s="80"/>
      <c r="M466" s="80"/>
      <c r="N466" s="80"/>
      <c r="O466" s="80"/>
      <c r="P466" s="80"/>
      <c r="Q466" s="139">
        <f t="shared" si="48"/>
        <v>23.8</v>
      </c>
      <c r="R466" s="144" t="str">
        <f t="shared" si="44"/>
        <v>NO</v>
      </c>
      <c r="S466" s="145" t="str">
        <f t="shared" si="52"/>
        <v>Medio</v>
      </c>
    </row>
    <row r="467" spans="1:19" ht="32.1" customHeight="1">
      <c r="A467" s="419" t="s">
        <v>54</v>
      </c>
      <c r="B467" s="490" t="s">
        <v>1431</v>
      </c>
      <c r="C467" s="502" t="s">
        <v>1432</v>
      </c>
      <c r="D467" s="513">
        <v>40</v>
      </c>
      <c r="E467" s="80"/>
      <c r="F467" s="80"/>
      <c r="G467" s="80"/>
      <c r="H467" s="80">
        <v>76.900000000000006</v>
      </c>
      <c r="I467" s="80"/>
      <c r="J467" s="80"/>
      <c r="K467" s="80"/>
      <c r="L467" s="80"/>
      <c r="M467" s="80">
        <v>41.96</v>
      </c>
      <c r="N467" s="80"/>
      <c r="O467" s="80"/>
      <c r="P467" s="80"/>
      <c r="Q467" s="139">
        <f t="shared" si="48"/>
        <v>59.430000000000007</v>
      </c>
      <c r="R467" s="144" t="str">
        <f t="shared" si="44"/>
        <v>NO</v>
      </c>
      <c r="S467" s="145" t="str">
        <f t="shared" si="52"/>
        <v>Alto</v>
      </c>
    </row>
    <row r="468" spans="1:19" ht="32.1" customHeight="1">
      <c r="A468" s="419" t="s">
        <v>54</v>
      </c>
      <c r="B468" s="490" t="s">
        <v>720</v>
      </c>
      <c r="C468" s="502" t="s">
        <v>1433</v>
      </c>
      <c r="D468" s="513">
        <v>38</v>
      </c>
      <c r="E468" s="80"/>
      <c r="F468" s="80"/>
      <c r="G468" s="80">
        <v>96.4</v>
      </c>
      <c r="H468" s="80"/>
      <c r="I468" s="80"/>
      <c r="J468" s="80"/>
      <c r="K468" s="80">
        <v>97.35</v>
      </c>
      <c r="L468" s="80"/>
      <c r="M468" s="80"/>
      <c r="N468" s="80"/>
      <c r="O468" s="80"/>
      <c r="P468" s="80"/>
      <c r="Q468" s="139">
        <f t="shared" si="48"/>
        <v>96.875</v>
      </c>
      <c r="R468" s="144" t="str">
        <f t="shared" si="44"/>
        <v>NO</v>
      </c>
      <c r="S468" s="145" t="str">
        <f t="shared" si="52"/>
        <v>Inviable Sanitariamente</v>
      </c>
    </row>
    <row r="469" spans="1:19" ht="32.1" customHeight="1">
      <c r="A469" s="419" t="s">
        <v>54</v>
      </c>
      <c r="B469" s="490" t="s">
        <v>1434</v>
      </c>
      <c r="C469" s="502" t="s">
        <v>1435</v>
      </c>
      <c r="D469" s="513">
        <v>30</v>
      </c>
      <c r="E469" s="80"/>
      <c r="F469" s="80"/>
      <c r="G469" s="80"/>
      <c r="H469" s="80"/>
      <c r="I469" s="80"/>
      <c r="J469" s="80"/>
      <c r="K469" s="80"/>
      <c r="L469" s="80"/>
      <c r="M469" s="80">
        <v>53.1</v>
      </c>
      <c r="N469" s="80"/>
      <c r="O469" s="80"/>
      <c r="P469" s="80"/>
      <c r="Q469" s="139">
        <f t="shared" si="48"/>
        <v>53.1</v>
      </c>
      <c r="R469" s="144" t="str">
        <f t="shared" si="44"/>
        <v>NO</v>
      </c>
      <c r="S469" s="145" t="str">
        <f t="shared" si="52"/>
        <v>Alto</v>
      </c>
    </row>
    <row r="470" spans="1:19" ht="32.1" customHeight="1">
      <c r="A470" s="419" t="s">
        <v>54</v>
      </c>
      <c r="B470" s="490" t="s">
        <v>1436</v>
      </c>
      <c r="C470" s="502" t="s">
        <v>1437</v>
      </c>
      <c r="D470" s="513">
        <v>88</v>
      </c>
      <c r="E470" s="80"/>
      <c r="F470" s="80"/>
      <c r="G470" s="80">
        <v>97.3</v>
      </c>
      <c r="H470" s="80"/>
      <c r="I470" s="80"/>
      <c r="J470" s="80"/>
      <c r="K470" s="80"/>
      <c r="L470" s="80"/>
      <c r="M470" s="80">
        <v>76.92</v>
      </c>
      <c r="N470" s="80"/>
      <c r="O470" s="80"/>
      <c r="P470" s="80"/>
      <c r="Q470" s="139">
        <f t="shared" si="48"/>
        <v>87.11</v>
      </c>
      <c r="R470" s="144" t="str">
        <f t="shared" si="44"/>
        <v>NO</v>
      </c>
      <c r="S470" s="145" t="str">
        <f t="shared" si="52"/>
        <v>Inviable Sanitariamente</v>
      </c>
    </row>
    <row r="471" spans="1:19" ht="32.1" customHeight="1">
      <c r="A471" s="419" t="s">
        <v>54</v>
      </c>
      <c r="B471" s="490" t="s">
        <v>1438</v>
      </c>
      <c r="C471" s="502" t="s">
        <v>1439</v>
      </c>
      <c r="D471" s="513">
        <v>100</v>
      </c>
      <c r="E471" s="80"/>
      <c r="F471" s="80"/>
      <c r="G471" s="80"/>
      <c r="H471" s="80"/>
      <c r="I471" s="80"/>
      <c r="J471" s="80"/>
      <c r="K471" s="80"/>
      <c r="L471" s="80">
        <v>96.39</v>
      </c>
      <c r="M471" s="80"/>
      <c r="N471" s="80"/>
      <c r="O471" s="80"/>
      <c r="P471" s="80"/>
      <c r="Q471" s="139">
        <f t="shared" si="48"/>
        <v>96.39</v>
      </c>
      <c r="R471" s="144" t="str">
        <f t="shared" si="44"/>
        <v>NO</v>
      </c>
      <c r="S471" s="145" t="str">
        <f t="shared" si="52"/>
        <v>Inviable Sanitariamente</v>
      </c>
    </row>
    <row r="472" spans="1:19" ht="32.1" customHeight="1">
      <c r="A472" s="419" t="s">
        <v>54</v>
      </c>
      <c r="B472" s="490" t="s">
        <v>1440</v>
      </c>
      <c r="C472" s="502" t="s">
        <v>1441</v>
      </c>
      <c r="D472" s="156">
        <v>42</v>
      </c>
      <c r="E472" s="80"/>
      <c r="F472" s="80"/>
      <c r="G472" s="80"/>
      <c r="H472" s="80"/>
      <c r="I472" s="80">
        <v>56.5</v>
      </c>
      <c r="J472" s="80"/>
      <c r="K472" s="80"/>
      <c r="L472" s="80"/>
      <c r="M472" s="80"/>
      <c r="N472" s="80"/>
      <c r="O472" s="80"/>
      <c r="P472" s="80"/>
      <c r="Q472" s="139">
        <f t="shared" si="48"/>
        <v>56.5</v>
      </c>
      <c r="R472" s="144" t="str">
        <f t="shared" si="44"/>
        <v>NO</v>
      </c>
      <c r="S472" s="145" t="str">
        <f t="shared" si="52"/>
        <v>Alto</v>
      </c>
    </row>
    <row r="473" spans="1:19" ht="32.1" customHeight="1">
      <c r="A473" s="419" t="s">
        <v>222</v>
      </c>
      <c r="B473" s="511" t="s">
        <v>1442</v>
      </c>
      <c r="C473" s="502" t="s">
        <v>1443</v>
      </c>
      <c r="D473" s="156">
        <v>170</v>
      </c>
      <c r="E473" s="80"/>
      <c r="F473" s="80"/>
      <c r="G473" s="80"/>
      <c r="H473" s="80"/>
      <c r="I473" s="80"/>
      <c r="J473" s="80"/>
      <c r="K473" s="80"/>
      <c r="L473" s="80"/>
      <c r="M473" s="80"/>
      <c r="N473" s="80">
        <v>97.3</v>
      </c>
      <c r="O473" s="80"/>
      <c r="P473" s="80"/>
      <c r="Q473" s="139">
        <f t="shared" si="48"/>
        <v>97.3</v>
      </c>
      <c r="R473" s="144" t="str">
        <f t="shared" si="44"/>
        <v>NO</v>
      </c>
      <c r="S473" s="145" t="str">
        <f t="shared" si="52"/>
        <v>Inviable Sanitariamente</v>
      </c>
    </row>
    <row r="474" spans="1:19" ht="32.1" customHeight="1">
      <c r="A474" s="419" t="s">
        <v>222</v>
      </c>
      <c r="B474" s="511" t="s">
        <v>1444</v>
      </c>
      <c r="C474" s="502" t="s">
        <v>1445</v>
      </c>
      <c r="D474" s="156">
        <v>65</v>
      </c>
      <c r="E474" s="80"/>
      <c r="F474" s="80"/>
      <c r="G474" s="80"/>
      <c r="H474" s="80"/>
      <c r="I474" s="80"/>
      <c r="J474" s="80"/>
      <c r="K474" s="80"/>
      <c r="L474" s="80"/>
      <c r="M474" s="80"/>
      <c r="N474" s="80">
        <v>97.3</v>
      </c>
      <c r="O474" s="80"/>
      <c r="P474" s="80"/>
      <c r="Q474" s="139">
        <f t="shared" si="48"/>
        <v>97.3</v>
      </c>
      <c r="R474" s="144" t="str">
        <f t="shared" si="44"/>
        <v>NO</v>
      </c>
      <c r="S474" s="145" t="str">
        <f t="shared" si="52"/>
        <v>Inviable Sanitariamente</v>
      </c>
    </row>
    <row r="475" spans="1:19" ht="32.1" customHeight="1">
      <c r="A475" s="419" t="s">
        <v>222</v>
      </c>
      <c r="B475" s="511" t="s">
        <v>1446</v>
      </c>
      <c r="C475" s="502" t="s">
        <v>1447</v>
      </c>
      <c r="D475" s="513">
        <v>28</v>
      </c>
      <c r="E475" s="80"/>
      <c r="F475" s="80"/>
      <c r="G475" s="80">
        <v>97.4</v>
      </c>
      <c r="H475" s="80"/>
      <c r="I475" s="80"/>
      <c r="J475" s="80"/>
      <c r="K475" s="80"/>
      <c r="L475" s="80">
        <v>97.3</v>
      </c>
      <c r="M475" s="80"/>
      <c r="N475" s="80"/>
      <c r="O475" s="80"/>
      <c r="P475" s="80"/>
      <c r="Q475" s="139">
        <f t="shared" si="48"/>
        <v>97.35</v>
      </c>
      <c r="R475" s="144" t="str">
        <f t="shared" si="44"/>
        <v>NO</v>
      </c>
      <c r="S475" s="145" t="str">
        <f t="shared" si="52"/>
        <v>Inviable Sanitariamente</v>
      </c>
    </row>
    <row r="476" spans="1:19" ht="32.1" customHeight="1">
      <c r="A476" s="419" t="s">
        <v>222</v>
      </c>
      <c r="B476" s="511" t="s">
        <v>99</v>
      </c>
      <c r="C476" s="502" t="s">
        <v>1448</v>
      </c>
      <c r="D476" s="513">
        <v>40</v>
      </c>
      <c r="E476" s="80"/>
      <c r="F476" s="80">
        <v>97.4</v>
      </c>
      <c r="G476" s="80"/>
      <c r="H476" s="80"/>
      <c r="I476" s="80"/>
      <c r="J476" s="80"/>
      <c r="K476" s="80"/>
      <c r="L476" s="80">
        <v>97.3</v>
      </c>
      <c r="M476" s="80"/>
      <c r="N476" s="80"/>
      <c r="O476" s="80"/>
      <c r="P476" s="80"/>
      <c r="Q476" s="139">
        <f t="shared" si="48"/>
        <v>97.35</v>
      </c>
      <c r="R476" s="144" t="str">
        <f t="shared" si="44"/>
        <v>NO</v>
      </c>
      <c r="S476" s="145" t="str">
        <f t="shared" si="52"/>
        <v>Inviable Sanitariamente</v>
      </c>
    </row>
    <row r="477" spans="1:19" ht="32.1" customHeight="1">
      <c r="A477" s="419" t="s">
        <v>222</v>
      </c>
      <c r="B477" s="511" t="s">
        <v>243</v>
      </c>
      <c r="C477" s="502" t="s">
        <v>1449</v>
      </c>
      <c r="D477" s="513">
        <v>32</v>
      </c>
      <c r="E477" s="80"/>
      <c r="F477" s="80"/>
      <c r="G477" s="80">
        <v>97.4</v>
      </c>
      <c r="H477" s="80"/>
      <c r="I477" s="80"/>
      <c r="J477" s="80"/>
      <c r="K477" s="80"/>
      <c r="L477" s="80"/>
      <c r="M477" s="80">
        <v>97.3</v>
      </c>
      <c r="N477" s="80"/>
      <c r="O477" s="80"/>
      <c r="P477" s="80"/>
      <c r="Q477" s="139">
        <f t="shared" si="48"/>
        <v>97.35</v>
      </c>
      <c r="R477" s="144" t="str">
        <f t="shared" si="44"/>
        <v>NO</v>
      </c>
      <c r="S477" s="145" t="str">
        <f t="shared" si="52"/>
        <v>Inviable Sanitariamente</v>
      </c>
    </row>
    <row r="478" spans="1:19" ht="32.1" customHeight="1">
      <c r="A478" s="419" t="s">
        <v>222</v>
      </c>
      <c r="B478" s="511" t="s">
        <v>1450</v>
      </c>
      <c r="C478" s="502" t="s">
        <v>1451</v>
      </c>
      <c r="D478" s="156">
        <v>42</v>
      </c>
      <c r="E478" s="80"/>
      <c r="F478" s="80"/>
      <c r="G478" s="80"/>
      <c r="H478" s="80"/>
      <c r="I478" s="80"/>
      <c r="J478" s="80"/>
      <c r="K478" s="80"/>
      <c r="L478" s="80"/>
      <c r="M478" s="80"/>
      <c r="N478" s="80">
        <v>97.3</v>
      </c>
      <c r="O478" s="80"/>
      <c r="P478" s="80"/>
      <c r="Q478" s="139">
        <f t="shared" si="48"/>
        <v>97.3</v>
      </c>
      <c r="R478" s="144" t="str">
        <f t="shared" si="44"/>
        <v>NO</v>
      </c>
      <c r="S478" s="145" t="str">
        <f t="shared" si="52"/>
        <v>Inviable Sanitariamente</v>
      </c>
    </row>
    <row r="479" spans="1:19" ht="32.1" customHeight="1">
      <c r="A479" s="419" t="s">
        <v>222</v>
      </c>
      <c r="B479" s="511" t="s">
        <v>1452</v>
      </c>
      <c r="C479" s="502" t="s">
        <v>1453</v>
      </c>
      <c r="D479" s="156">
        <v>22</v>
      </c>
      <c r="E479" s="80"/>
      <c r="F479" s="80"/>
      <c r="G479" s="80"/>
      <c r="H479" s="80"/>
      <c r="I479" s="80"/>
      <c r="J479" s="80"/>
      <c r="K479" s="80"/>
      <c r="L479" s="80"/>
      <c r="M479" s="80">
        <v>97.3</v>
      </c>
      <c r="N479" s="80"/>
      <c r="O479" s="80"/>
      <c r="P479" s="80"/>
      <c r="Q479" s="139">
        <f t="shared" si="48"/>
        <v>97.3</v>
      </c>
      <c r="R479" s="144" t="str">
        <f t="shared" si="44"/>
        <v>NO</v>
      </c>
      <c r="S479" s="145" t="str">
        <f t="shared" si="52"/>
        <v>Inviable Sanitariamente</v>
      </c>
    </row>
    <row r="480" spans="1:19" ht="32.1" customHeight="1">
      <c r="A480" s="419" t="s">
        <v>75</v>
      </c>
      <c r="B480" s="511" t="s">
        <v>1454</v>
      </c>
      <c r="C480" s="502" t="s">
        <v>1455</v>
      </c>
      <c r="D480" s="156">
        <v>100</v>
      </c>
      <c r="E480" s="80"/>
      <c r="F480" s="80"/>
      <c r="G480" s="80"/>
      <c r="H480" s="80">
        <v>53.1</v>
      </c>
      <c r="I480" s="80"/>
      <c r="J480" s="80"/>
      <c r="K480" s="80"/>
      <c r="L480" s="80"/>
      <c r="M480" s="80"/>
      <c r="N480" s="80"/>
      <c r="O480" s="80"/>
      <c r="P480" s="80"/>
      <c r="Q480" s="139">
        <f t="shared" si="48"/>
        <v>53.1</v>
      </c>
      <c r="R480" s="144" t="str">
        <f t="shared" si="44"/>
        <v>NO</v>
      </c>
      <c r="S480" s="145" t="str">
        <f t="shared" si="52"/>
        <v>Alto</v>
      </c>
    </row>
    <row r="481" spans="1:19" ht="32.1" customHeight="1">
      <c r="A481" s="419" t="s">
        <v>75</v>
      </c>
      <c r="B481" s="511" t="s">
        <v>1456</v>
      </c>
      <c r="C481" s="502" t="s">
        <v>1457</v>
      </c>
      <c r="D481" s="156">
        <v>65</v>
      </c>
      <c r="E481" s="80"/>
      <c r="F481" s="80"/>
      <c r="G481" s="80"/>
      <c r="H481" s="80"/>
      <c r="I481" s="80"/>
      <c r="J481" s="80"/>
      <c r="K481" s="80"/>
      <c r="L481" s="80"/>
      <c r="M481" s="80"/>
      <c r="N481" s="80">
        <v>97</v>
      </c>
      <c r="O481" s="80"/>
      <c r="P481" s="80"/>
      <c r="Q481" s="139">
        <f t="shared" si="48"/>
        <v>97</v>
      </c>
      <c r="R481" s="144" t="str">
        <f t="shared" si="44"/>
        <v>NO</v>
      </c>
      <c r="S481" s="145" t="str">
        <f t="shared" si="52"/>
        <v>Inviable Sanitariamente</v>
      </c>
    </row>
    <row r="482" spans="1:19" ht="32.1" customHeight="1">
      <c r="A482" s="419" t="s">
        <v>75</v>
      </c>
      <c r="B482" s="511" t="s">
        <v>58</v>
      </c>
      <c r="C482" s="502" t="s">
        <v>1458</v>
      </c>
      <c r="D482" s="156">
        <v>70</v>
      </c>
      <c r="E482" s="80"/>
      <c r="F482" s="80"/>
      <c r="G482" s="80"/>
      <c r="H482" s="80"/>
      <c r="I482" s="80"/>
      <c r="J482" s="80"/>
      <c r="K482" s="80"/>
      <c r="L482" s="80"/>
      <c r="M482" s="80"/>
      <c r="N482" s="80"/>
      <c r="O482" s="80">
        <v>97</v>
      </c>
      <c r="P482" s="80"/>
      <c r="Q482" s="139">
        <f t="shared" si="48"/>
        <v>97</v>
      </c>
      <c r="R482" s="144" t="str">
        <f t="shared" si="44"/>
        <v>NO</v>
      </c>
      <c r="S482" s="145" t="str">
        <f t="shared" si="52"/>
        <v>Inviable Sanitariamente</v>
      </c>
    </row>
    <row r="483" spans="1:19" ht="32.1" customHeight="1">
      <c r="A483" s="419" t="s">
        <v>75</v>
      </c>
      <c r="B483" s="511" t="s">
        <v>1459</v>
      </c>
      <c r="C483" s="502" t="s">
        <v>1460</v>
      </c>
      <c r="D483" s="119">
        <v>90</v>
      </c>
      <c r="E483" s="80"/>
      <c r="F483" s="80"/>
      <c r="G483" s="80"/>
      <c r="H483" s="80"/>
      <c r="I483" s="80"/>
      <c r="J483" s="80"/>
      <c r="K483" s="80"/>
      <c r="L483" s="80"/>
      <c r="M483" s="80"/>
      <c r="N483" s="80"/>
      <c r="O483" s="80">
        <v>97</v>
      </c>
      <c r="P483" s="80"/>
      <c r="Q483" s="139">
        <f t="shared" si="48"/>
        <v>97</v>
      </c>
      <c r="R483" s="144" t="str">
        <f t="shared" si="44"/>
        <v>NO</v>
      </c>
      <c r="S483" s="145" t="str">
        <f t="shared" si="52"/>
        <v>Inviable Sanitariamente</v>
      </c>
    </row>
    <row r="484" spans="1:19" ht="32.1" customHeight="1">
      <c r="A484" s="419" t="s">
        <v>75</v>
      </c>
      <c r="B484" s="511" t="s">
        <v>55</v>
      </c>
      <c r="C484" s="502" t="s">
        <v>1461</v>
      </c>
      <c r="D484" s="119">
        <v>65</v>
      </c>
      <c r="E484" s="80"/>
      <c r="F484" s="80"/>
      <c r="G484" s="80"/>
      <c r="H484" s="80"/>
      <c r="I484" s="80"/>
      <c r="J484" s="80"/>
      <c r="K484" s="80"/>
      <c r="L484" s="80"/>
      <c r="M484" s="80"/>
      <c r="N484" s="80"/>
      <c r="O484" s="80">
        <v>97</v>
      </c>
      <c r="P484" s="80"/>
      <c r="Q484" s="139">
        <f t="shared" si="48"/>
        <v>97</v>
      </c>
      <c r="R484" s="154" t="str">
        <f t="shared" si="44"/>
        <v>NO</v>
      </c>
      <c r="S484" s="145" t="str">
        <f t="shared" si="52"/>
        <v>Inviable Sanitariamente</v>
      </c>
    </row>
    <row r="485" spans="1:19" ht="32.1" customHeight="1">
      <c r="A485" s="419" t="s">
        <v>75</v>
      </c>
      <c r="B485" s="511" t="s">
        <v>1462</v>
      </c>
      <c r="C485" s="502" t="s">
        <v>1463</v>
      </c>
      <c r="D485" s="119">
        <v>21</v>
      </c>
      <c r="E485" s="80"/>
      <c r="F485" s="80"/>
      <c r="G485" s="80"/>
      <c r="H485" s="80"/>
      <c r="I485" s="80">
        <v>53.1</v>
      </c>
      <c r="J485" s="80"/>
      <c r="K485" s="80"/>
      <c r="L485" s="80"/>
      <c r="M485" s="80"/>
      <c r="N485" s="80"/>
      <c r="O485" s="80"/>
      <c r="P485" s="80"/>
      <c r="Q485" s="139">
        <f t="shared" si="48"/>
        <v>53.1</v>
      </c>
      <c r="R485" s="154" t="str">
        <f t="shared" si="44"/>
        <v>NO</v>
      </c>
      <c r="S485" s="145" t="str">
        <f t="shared" si="52"/>
        <v>Alto</v>
      </c>
    </row>
    <row r="486" spans="1:19" ht="32.1" customHeight="1">
      <c r="A486" s="419" t="s">
        <v>75</v>
      </c>
      <c r="B486" s="511" t="s">
        <v>17</v>
      </c>
      <c r="C486" s="502" t="s">
        <v>1464</v>
      </c>
      <c r="D486" s="119">
        <v>18</v>
      </c>
      <c r="E486" s="80"/>
      <c r="F486" s="80"/>
      <c r="G486" s="80"/>
      <c r="H486" s="80"/>
      <c r="I486" s="80">
        <v>53.1</v>
      </c>
      <c r="J486" s="80"/>
      <c r="K486" s="80"/>
      <c r="L486" s="80"/>
      <c r="M486" s="80"/>
      <c r="N486" s="80"/>
      <c r="O486" s="80"/>
      <c r="P486" s="80"/>
      <c r="Q486" s="139">
        <f t="shared" si="48"/>
        <v>53.1</v>
      </c>
      <c r="R486" s="154" t="str">
        <f t="shared" si="44"/>
        <v>NO</v>
      </c>
      <c r="S486" s="145" t="str">
        <f t="shared" si="52"/>
        <v>Alto</v>
      </c>
    </row>
    <row r="487" spans="1:19" ht="32.1" customHeight="1">
      <c r="A487" s="419" t="s">
        <v>75</v>
      </c>
      <c r="B487" s="511" t="s">
        <v>9</v>
      </c>
      <c r="C487" s="502" t="s">
        <v>1465</v>
      </c>
      <c r="D487" s="114">
        <v>15</v>
      </c>
      <c r="E487" s="80"/>
      <c r="F487" s="80"/>
      <c r="G487" s="80"/>
      <c r="H487" s="80">
        <v>53.12</v>
      </c>
      <c r="I487" s="80"/>
      <c r="J487" s="80"/>
      <c r="K487" s="80"/>
      <c r="L487" s="80"/>
      <c r="M487" s="80"/>
      <c r="N487" s="80"/>
      <c r="O487" s="80"/>
      <c r="P487" s="80"/>
      <c r="Q487" s="139">
        <f t="shared" si="48"/>
        <v>53.12</v>
      </c>
      <c r="R487" s="154" t="str">
        <f t="shared" si="44"/>
        <v>NO</v>
      </c>
      <c r="S487" s="145" t="str">
        <f t="shared" si="52"/>
        <v>Alto</v>
      </c>
    </row>
    <row r="488" spans="1:19" ht="32.1" customHeight="1">
      <c r="A488" s="419" t="s">
        <v>75</v>
      </c>
      <c r="B488" s="511" t="s">
        <v>1466</v>
      </c>
      <c r="C488" s="502" t="s">
        <v>1467</v>
      </c>
      <c r="D488" s="119">
        <v>25</v>
      </c>
      <c r="E488" s="80"/>
      <c r="F488" s="80"/>
      <c r="G488" s="80"/>
      <c r="H488" s="80"/>
      <c r="I488" s="80"/>
      <c r="J488" s="80"/>
      <c r="K488" s="80"/>
      <c r="L488" s="80"/>
      <c r="M488" s="80"/>
      <c r="N488" s="80">
        <v>97</v>
      </c>
      <c r="O488" s="80"/>
      <c r="P488" s="80"/>
      <c r="Q488" s="139">
        <f t="shared" si="48"/>
        <v>97</v>
      </c>
      <c r="R488" s="154" t="str">
        <f t="shared" si="44"/>
        <v>NO</v>
      </c>
      <c r="S488" s="145" t="str">
        <f t="shared" si="52"/>
        <v>Inviable Sanitariamente</v>
      </c>
    </row>
    <row r="489" spans="1:19" ht="32.1" customHeight="1">
      <c r="A489" s="474" t="s">
        <v>97</v>
      </c>
      <c r="B489" s="511" t="s">
        <v>1468</v>
      </c>
      <c r="C489" s="502" t="s">
        <v>1469</v>
      </c>
      <c r="D489" s="156">
        <v>62</v>
      </c>
      <c r="E489" s="80"/>
      <c r="F489" s="80">
        <v>97.3</v>
      </c>
      <c r="G489" s="80"/>
      <c r="H489" s="80"/>
      <c r="I489" s="80"/>
      <c r="J489" s="80"/>
      <c r="K489" s="80">
        <v>97.3</v>
      </c>
      <c r="L489" s="80"/>
      <c r="M489" s="80"/>
      <c r="N489" s="80"/>
      <c r="O489" s="80"/>
      <c r="P489" s="80"/>
      <c r="Q489" s="139">
        <f t="shared" si="48"/>
        <v>97.3</v>
      </c>
      <c r="R489" s="154" t="str">
        <f t="shared" si="44"/>
        <v>NO</v>
      </c>
      <c r="S489" s="145" t="str">
        <f t="shared" si="52"/>
        <v>Inviable Sanitariamente</v>
      </c>
    </row>
    <row r="490" spans="1:19" ht="32.1" customHeight="1">
      <c r="A490" s="474" t="s">
        <v>97</v>
      </c>
      <c r="B490" s="511" t="s">
        <v>1470</v>
      </c>
      <c r="C490" s="502" t="s">
        <v>1471</v>
      </c>
      <c r="D490" s="156">
        <v>22</v>
      </c>
      <c r="E490" s="80"/>
      <c r="F490" s="80">
        <v>97.3</v>
      </c>
      <c r="G490" s="80"/>
      <c r="H490" s="80"/>
      <c r="I490" s="80"/>
      <c r="J490" s="80"/>
      <c r="K490" s="80">
        <v>97.3</v>
      </c>
      <c r="L490" s="80"/>
      <c r="M490" s="80"/>
      <c r="N490" s="80"/>
      <c r="O490" s="80"/>
      <c r="P490" s="80"/>
      <c r="Q490" s="139">
        <f t="shared" si="48"/>
        <v>97.3</v>
      </c>
      <c r="R490" s="154" t="str">
        <f t="shared" si="44"/>
        <v>NO</v>
      </c>
      <c r="S490" s="145" t="str">
        <f t="shared" si="52"/>
        <v>Inviable Sanitariamente</v>
      </c>
    </row>
    <row r="491" spans="1:19" ht="32.1" customHeight="1">
      <c r="A491" s="474" t="s">
        <v>97</v>
      </c>
      <c r="B491" s="511" t="s">
        <v>1472</v>
      </c>
      <c r="C491" s="502" t="s">
        <v>1473</v>
      </c>
      <c r="D491" s="156">
        <v>120</v>
      </c>
      <c r="E491" s="80">
        <v>97.3</v>
      </c>
      <c r="F491" s="80"/>
      <c r="G491" s="80"/>
      <c r="H491" s="80"/>
      <c r="I491" s="80"/>
      <c r="J491" s="80"/>
      <c r="K491" s="80">
        <v>97.3</v>
      </c>
      <c r="L491" s="80"/>
      <c r="M491" s="80"/>
      <c r="N491" s="80"/>
      <c r="O491" s="80"/>
      <c r="P491" s="80"/>
      <c r="Q491" s="139">
        <f t="shared" si="48"/>
        <v>97.3</v>
      </c>
      <c r="R491" s="154" t="str">
        <f t="shared" si="44"/>
        <v>NO</v>
      </c>
      <c r="S491" s="145" t="str">
        <f t="shared" si="52"/>
        <v>Inviable Sanitariamente</v>
      </c>
    </row>
    <row r="492" spans="1:19" ht="32.1" customHeight="1">
      <c r="A492" s="474" t="s">
        <v>97</v>
      </c>
      <c r="B492" s="511" t="s">
        <v>1474</v>
      </c>
      <c r="C492" s="502" t="s">
        <v>1475</v>
      </c>
      <c r="D492" s="156">
        <v>80</v>
      </c>
      <c r="E492" s="80">
        <v>97.3</v>
      </c>
      <c r="F492" s="80"/>
      <c r="G492" s="80"/>
      <c r="H492" s="80"/>
      <c r="I492" s="80"/>
      <c r="J492" s="80"/>
      <c r="K492" s="80">
        <v>97.3</v>
      </c>
      <c r="L492" s="80"/>
      <c r="M492" s="80"/>
      <c r="N492" s="80"/>
      <c r="O492" s="80"/>
      <c r="P492" s="80"/>
      <c r="Q492" s="139">
        <f t="shared" si="48"/>
        <v>97.3</v>
      </c>
      <c r="R492" s="154" t="str">
        <f t="shared" si="44"/>
        <v>NO</v>
      </c>
      <c r="S492" s="145" t="str">
        <f t="shared" si="52"/>
        <v>Inviable Sanitariamente</v>
      </c>
    </row>
    <row r="493" spans="1:19" ht="32.1" customHeight="1">
      <c r="A493" s="474" t="s">
        <v>97</v>
      </c>
      <c r="B493" s="511" t="s">
        <v>1476</v>
      </c>
      <c r="C493" s="502" t="s">
        <v>1477</v>
      </c>
      <c r="D493" s="156">
        <v>73</v>
      </c>
      <c r="E493" s="80">
        <v>0</v>
      </c>
      <c r="F493" s="80"/>
      <c r="G493" s="80">
        <v>0</v>
      </c>
      <c r="H493" s="80"/>
      <c r="I493" s="80">
        <v>0</v>
      </c>
      <c r="J493" s="80"/>
      <c r="K493" s="80">
        <v>97.3</v>
      </c>
      <c r="L493" s="80"/>
      <c r="M493" s="80">
        <v>97.3</v>
      </c>
      <c r="N493" s="80"/>
      <c r="O493" s="80"/>
      <c r="P493" s="80"/>
      <c r="Q493" s="139">
        <f t="shared" si="48"/>
        <v>38.92</v>
      </c>
      <c r="R493" s="144" t="str">
        <f t="shared" ref="R493:R560" si="53">IF(Q493&lt;5,"SI","NO")</f>
        <v>NO</v>
      </c>
      <c r="S493" s="145" t="str">
        <f t="shared" si="52"/>
        <v>Alto</v>
      </c>
    </row>
    <row r="494" spans="1:19" ht="32.1" customHeight="1">
      <c r="A494" s="474" t="s">
        <v>97</v>
      </c>
      <c r="B494" s="511" t="s">
        <v>853</v>
      </c>
      <c r="C494" s="502" t="s">
        <v>1478</v>
      </c>
      <c r="D494" s="156">
        <v>35</v>
      </c>
      <c r="E494" s="80">
        <v>97.3</v>
      </c>
      <c r="F494" s="80"/>
      <c r="G494" s="80"/>
      <c r="H494" s="80"/>
      <c r="I494" s="80"/>
      <c r="J494" s="80"/>
      <c r="K494" s="80">
        <v>97.3</v>
      </c>
      <c r="L494" s="80"/>
      <c r="M494" s="80"/>
      <c r="N494" s="80"/>
      <c r="O494" s="80"/>
      <c r="P494" s="80"/>
      <c r="Q494" s="139">
        <f t="shared" si="48"/>
        <v>97.3</v>
      </c>
      <c r="R494" s="154" t="str">
        <f t="shared" si="53"/>
        <v>NO</v>
      </c>
      <c r="S494" s="145" t="str">
        <f t="shared" si="52"/>
        <v>Inviable Sanitariamente</v>
      </c>
    </row>
    <row r="495" spans="1:19" ht="32.1" customHeight="1">
      <c r="A495" s="474" t="s">
        <v>97</v>
      </c>
      <c r="B495" s="511" t="s">
        <v>1479</v>
      </c>
      <c r="C495" s="502" t="s">
        <v>1480</v>
      </c>
      <c r="D495" s="156">
        <v>60</v>
      </c>
      <c r="E495" s="80">
        <v>97.3</v>
      </c>
      <c r="F495" s="80"/>
      <c r="G495" s="80"/>
      <c r="H495" s="80"/>
      <c r="I495" s="80"/>
      <c r="J495" s="80"/>
      <c r="K495" s="80">
        <v>97.3</v>
      </c>
      <c r="L495" s="80"/>
      <c r="M495" s="80"/>
      <c r="N495" s="80"/>
      <c r="O495" s="80"/>
      <c r="P495" s="80"/>
      <c r="Q495" s="139">
        <f t="shared" si="48"/>
        <v>97.3</v>
      </c>
      <c r="R495" s="154" t="str">
        <f t="shared" si="53"/>
        <v>NO</v>
      </c>
      <c r="S495" s="145" t="str">
        <f t="shared" si="52"/>
        <v>Inviable Sanitariamente</v>
      </c>
    </row>
    <row r="496" spans="1:19" ht="32.1" customHeight="1">
      <c r="A496" s="474" t="s">
        <v>97</v>
      </c>
      <c r="B496" s="511" t="s">
        <v>1481</v>
      </c>
      <c r="C496" s="502" t="s">
        <v>1482</v>
      </c>
      <c r="D496" s="156">
        <v>38</v>
      </c>
      <c r="E496" s="80"/>
      <c r="F496" s="80"/>
      <c r="G496" s="80"/>
      <c r="H496" s="80">
        <v>97.3</v>
      </c>
      <c r="I496" s="80"/>
      <c r="J496" s="80"/>
      <c r="K496" s="80"/>
      <c r="L496" s="80"/>
      <c r="M496" s="80"/>
      <c r="N496" s="80">
        <v>97.3</v>
      </c>
      <c r="O496" s="80"/>
      <c r="P496" s="80"/>
      <c r="Q496" s="139">
        <f t="shared" si="48"/>
        <v>97.3</v>
      </c>
      <c r="R496" s="154" t="str">
        <f t="shared" si="53"/>
        <v>NO</v>
      </c>
      <c r="S496" s="145" t="str">
        <f t="shared" si="52"/>
        <v>Inviable Sanitariamente</v>
      </c>
    </row>
    <row r="497" spans="1:19" ht="32.1" customHeight="1">
      <c r="A497" s="474" t="s">
        <v>97</v>
      </c>
      <c r="B497" s="511" t="s">
        <v>1483</v>
      </c>
      <c r="C497" s="502" t="s">
        <v>1484</v>
      </c>
      <c r="D497" s="156">
        <v>40</v>
      </c>
      <c r="E497" s="80">
        <v>97.3</v>
      </c>
      <c r="F497" s="80"/>
      <c r="G497" s="80"/>
      <c r="H497" s="80"/>
      <c r="I497" s="80"/>
      <c r="J497" s="80"/>
      <c r="K497" s="80"/>
      <c r="L497" s="80"/>
      <c r="M497" s="80">
        <v>97.3</v>
      </c>
      <c r="N497" s="80"/>
      <c r="O497" s="80"/>
      <c r="P497" s="80"/>
      <c r="Q497" s="139">
        <f t="shared" si="48"/>
        <v>97.3</v>
      </c>
      <c r="R497" s="154" t="str">
        <f t="shared" si="53"/>
        <v>NO</v>
      </c>
      <c r="S497" s="145" t="str">
        <f t="shared" si="52"/>
        <v>Inviable Sanitariamente</v>
      </c>
    </row>
    <row r="498" spans="1:19" ht="32.1" customHeight="1">
      <c r="A498" s="474" t="s">
        <v>97</v>
      </c>
      <c r="B498" s="511" t="s">
        <v>1485</v>
      </c>
      <c r="C498" s="502" t="s">
        <v>1486</v>
      </c>
      <c r="D498" s="156">
        <v>105</v>
      </c>
      <c r="E498" s="80"/>
      <c r="F498" s="80">
        <v>97.3</v>
      </c>
      <c r="G498" s="80"/>
      <c r="H498" s="80"/>
      <c r="I498" s="80"/>
      <c r="J498" s="80"/>
      <c r="K498" s="80">
        <v>97.3</v>
      </c>
      <c r="L498" s="80"/>
      <c r="M498" s="80"/>
      <c r="N498" s="80"/>
      <c r="O498" s="80"/>
      <c r="P498" s="80"/>
      <c r="Q498" s="139">
        <f t="shared" si="48"/>
        <v>97.3</v>
      </c>
      <c r="R498" s="154" t="str">
        <f t="shared" si="53"/>
        <v>NO</v>
      </c>
      <c r="S498" s="145" t="str">
        <f t="shared" si="52"/>
        <v>Inviable Sanitariamente</v>
      </c>
    </row>
    <row r="499" spans="1:19" ht="32.1" customHeight="1">
      <c r="A499" s="474" t="s">
        <v>97</v>
      </c>
      <c r="B499" s="511" t="s">
        <v>1487</v>
      </c>
      <c r="C499" s="502" t="s">
        <v>1488</v>
      </c>
      <c r="D499" s="156">
        <v>30</v>
      </c>
      <c r="E499" s="80">
        <v>97.3</v>
      </c>
      <c r="F499" s="80"/>
      <c r="G499" s="80"/>
      <c r="H499" s="80"/>
      <c r="I499" s="80"/>
      <c r="J499" s="80"/>
      <c r="K499" s="80"/>
      <c r="L499" s="80"/>
      <c r="M499" s="80"/>
      <c r="N499" s="80">
        <v>97.3</v>
      </c>
      <c r="O499" s="80"/>
      <c r="P499" s="80"/>
      <c r="Q499" s="139">
        <f t="shared" si="48"/>
        <v>97.3</v>
      </c>
      <c r="R499" s="154" t="str">
        <f t="shared" si="53"/>
        <v>NO</v>
      </c>
      <c r="S499" s="145" t="str">
        <f t="shared" si="52"/>
        <v>Inviable Sanitariamente</v>
      </c>
    </row>
    <row r="500" spans="1:19" ht="32.1" customHeight="1">
      <c r="A500" s="474" t="s">
        <v>97</v>
      </c>
      <c r="B500" s="511" t="s">
        <v>1489</v>
      </c>
      <c r="C500" s="502" t="s">
        <v>1490</v>
      </c>
      <c r="D500" s="156">
        <v>40</v>
      </c>
      <c r="E500" s="80">
        <v>97.3</v>
      </c>
      <c r="F500" s="80"/>
      <c r="G500" s="80"/>
      <c r="H500" s="80"/>
      <c r="I500" s="80"/>
      <c r="J500" s="80"/>
      <c r="K500" s="80"/>
      <c r="L500" s="80"/>
      <c r="M500" s="80"/>
      <c r="N500" s="80"/>
      <c r="O500" s="80">
        <v>97.3</v>
      </c>
      <c r="P500" s="80"/>
      <c r="Q500" s="139">
        <f t="shared" si="48"/>
        <v>97.3</v>
      </c>
      <c r="R500" s="154" t="str">
        <f t="shared" si="53"/>
        <v>NO</v>
      </c>
      <c r="S500" s="145" t="str">
        <f t="shared" si="52"/>
        <v>Inviable Sanitariamente</v>
      </c>
    </row>
    <row r="501" spans="1:19" ht="32.1" customHeight="1">
      <c r="A501" s="474" t="s">
        <v>97</v>
      </c>
      <c r="B501" s="511" t="s">
        <v>1491</v>
      </c>
      <c r="C501" s="502" t="s">
        <v>1492</v>
      </c>
      <c r="D501" s="156">
        <v>26</v>
      </c>
      <c r="E501" s="80">
        <v>97.3</v>
      </c>
      <c r="F501" s="80"/>
      <c r="G501" s="80"/>
      <c r="H501" s="80"/>
      <c r="I501" s="80"/>
      <c r="J501" s="80"/>
      <c r="K501" s="80">
        <v>97.3</v>
      </c>
      <c r="L501" s="80"/>
      <c r="M501" s="80"/>
      <c r="N501" s="80"/>
      <c r="O501" s="80"/>
      <c r="P501" s="80"/>
      <c r="Q501" s="139">
        <f t="shared" si="48"/>
        <v>97.3</v>
      </c>
      <c r="R501" s="154" t="str">
        <f t="shared" si="53"/>
        <v>NO</v>
      </c>
      <c r="S501" s="145" t="str">
        <f t="shared" si="52"/>
        <v>Inviable Sanitariamente</v>
      </c>
    </row>
    <row r="502" spans="1:19" ht="32.1" customHeight="1">
      <c r="A502" s="474" t="s">
        <v>97</v>
      </c>
      <c r="B502" s="511" t="s">
        <v>1493</v>
      </c>
      <c r="C502" s="502" t="s">
        <v>1494</v>
      </c>
      <c r="D502" s="156">
        <v>79</v>
      </c>
      <c r="E502" s="80">
        <v>97.3</v>
      </c>
      <c r="F502" s="80"/>
      <c r="G502" s="80"/>
      <c r="H502" s="80"/>
      <c r="I502" s="80"/>
      <c r="J502" s="80"/>
      <c r="K502" s="80">
        <v>97.3</v>
      </c>
      <c r="L502" s="80"/>
      <c r="M502" s="80"/>
      <c r="N502" s="80"/>
      <c r="O502" s="80"/>
      <c r="P502" s="80"/>
      <c r="Q502" s="139">
        <f t="shared" si="48"/>
        <v>97.3</v>
      </c>
      <c r="R502" s="154" t="str">
        <f t="shared" si="53"/>
        <v>NO</v>
      </c>
      <c r="S502" s="145" t="str">
        <f t="shared" si="52"/>
        <v>Inviable Sanitariamente</v>
      </c>
    </row>
    <row r="503" spans="1:19" ht="32.1" customHeight="1">
      <c r="A503" s="474" t="s">
        <v>97</v>
      </c>
      <c r="B503" s="511" t="s">
        <v>1495</v>
      </c>
      <c r="C503" s="502" t="s">
        <v>1496</v>
      </c>
      <c r="D503" s="156">
        <v>40</v>
      </c>
      <c r="E503" s="80">
        <v>97.3</v>
      </c>
      <c r="F503" s="80"/>
      <c r="G503" s="80"/>
      <c r="H503" s="80"/>
      <c r="I503" s="80"/>
      <c r="J503" s="80"/>
      <c r="K503" s="80"/>
      <c r="L503" s="80">
        <v>97.3</v>
      </c>
      <c r="M503" s="80"/>
      <c r="N503" s="80"/>
      <c r="O503" s="80"/>
      <c r="P503" s="80"/>
      <c r="Q503" s="139">
        <f t="shared" si="48"/>
        <v>97.3</v>
      </c>
      <c r="R503" s="154" t="str">
        <f t="shared" si="53"/>
        <v>NO</v>
      </c>
      <c r="S503" s="145" t="str">
        <f t="shared" si="52"/>
        <v>Inviable Sanitariamente</v>
      </c>
    </row>
    <row r="504" spans="1:19" ht="32.1" customHeight="1">
      <c r="A504" s="474" t="s">
        <v>97</v>
      </c>
      <c r="B504" s="511" t="s">
        <v>1497</v>
      </c>
      <c r="C504" s="502" t="s">
        <v>1498</v>
      </c>
      <c r="D504" s="156">
        <v>56</v>
      </c>
      <c r="E504" s="80"/>
      <c r="F504" s="80">
        <v>97.3</v>
      </c>
      <c r="G504" s="80"/>
      <c r="H504" s="80"/>
      <c r="I504" s="80"/>
      <c r="J504" s="80"/>
      <c r="K504" s="80">
        <v>97.3</v>
      </c>
      <c r="L504" s="80"/>
      <c r="M504" s="80"/>
      <c r="N504" s="80"/>
      <c r="O504" s="80"/>
      <c r="P504" s="80">
        <v>97.3</v>
      </c>
      <c r="Q504" s="139">
        <f t="shared" ref="Q504" si="54">AVERAGE(E504:P504)</f>
        <v>97.3</v>
      </c>
      <c r="R504" s="154" t="str">
        <f t="shared" ref="R504" si="55">IF(Q504&lt;5,"SI","NO")</f>
        <v>NO</v>
      </c>
      <c r="S504" s="145" t="str">
        <f t="shared" ref="S504" si="56">IF(Q504&lt;5,"Sin Riesgo",IF(Q504 &lt;=14,"Bajo",IF(Q504&lt;=35,"Medio",IF(Q504&lt;=80,"Alto","Inviable Sanitariamente"))))</f>
        <v>Inviable Sanitariamente</v>
      </c>
    </row>
    <row r="505" spans="1:19" ht="32.1" customHeight="1">
      <c r="A505" s="474" t="s">
        <v>97</v>
      </c>
      <c r="B505" s="511" t="s">
        <v>4509</v>
      </c>
      <c r="C505" s="502" t="s">
        <v>4510</v>
      </c>
      <c r="D505" s="156">
        <v>40</v>
      </c>
      <c r="E505" s="80"/>
      <c r="F505" s="80">
        <v>97.3</v>
      </c>
      <c r="G505" s="80"/>
      <c r="H505" s="80"/>
      <c r="I505" s="80"/>
      <c r="J505" s="80"/>
      <c r="K505" s="80">
        <v>97.3</v>
      </c>
      <c r="L505" s="80"/>
      <c r="M505" s="80"/>
      <c r="N505" s="80"/>
      <c r="O505" s="80"/>
      <c r="P505" s="80">
        <v>97.3</v>
      </c>
      <c r="Q505" s="139">
        <f t="shared" si="48"/>
        <v>97.3</v>
      </c>
      <c r="R505" s="154" t="str">
        <f t="shared" si="53"/>
        <v>NO</v>
      </c>
      <c r="S505" s="145" t="str">
        <f t="shared" si="52"/>
        <v>Inviable Sanitariamente</v>
      </c>
    </row>
    <row r="506" spans="1:19" ht="32.1" customHeight="1">
      <c r="A506" s="474" t="s">
        <v>223</v>
      </c>
      <c r="B506" s="477" t="s">
        <v>1549</v>
      </c>
      <c r="C506" s="498" t="s">
        <v>1499</v>
      </c>
      <c r="D506" s="514">
        <v>110</v>
      </c>
      <c r="E506" s="80">
        <v>0</v>
      </c>
      <c r="F506" s="80">
        <v>0</v>
      </c>
      <c r="G506" s="80"/>
      <c r="H506" s="80"/>
      <c r="I506" s="80"/>
      <c r="J506" s="80"/>
      <c r="K506" s="80">
        <v>0</v>
      </c>
      <c r="L506" s="80">
        <v>0</v>
      </c>
      <c r="M506" s="80"/>
      <c r="N506" s="80"/>
      <c r="O506" s="80"/>
      <c r="P506" s="80">
        <v>0</v>
      </c>
      <c r="Q506" s="139">
        <f t="shared" si="48"/>
        <v>0</v>
      </c>
      <c r="R506" s="146" t="str">
        <f t="shared" si="53"/>
        <v>SI</v>
      </c>
      <c r="S506" s="145" t="str">
        <f t="shared" si="52"/>
        <v>Sin Riesgo</v>
      </c>
    </row>
    <row r="507" spans="1:19" ht="32.1" customHeight="1">
      <c r="A507" s="474" t="s">
        <v>223</v>
      </c>
      <c r="B507" s="477" t="s">
        <v>1550</v>
      </c>
      <c r="C507" s="498" t="s">
        <v>1500</v>
      </c>
      <c r="D507" s="514">
        <v>165</v>
      </c>
      <c r="E507" s="80">
        <v>0</v>
      </c>
      <c r="F507" s="80"/>
      <c r="G507" s="80"/>
      <c r="H507" s="80"/>
      <c r="I507" s="80">
        <v>0</v>
      </c>
      <c r="J507" s="80"/>
      <c r="K507" s="80">
        <v>0</v>
      </c>
      <c r="L507" s="80">
        <v>0</v>
      </c>
      <c r="M507" s="80"/>
      <c r="N507" s="80"/>
      <c r="O507" s="80"/>
      <c r="P507" s="80"/>
      <c r="Q507" s="139">
        <f t="shared" si="48"/>
        <v>0</v>
      </c>
      <c r="R507" s="146" t="str">
        <f t="shared" si="53"/>
        <v>SI</v>
      </c>
      <c r="S507" s="145" t="str">
        <f t="shared" si="52"/>
        <v>Sin Riesgo</v>
      </c>
    </row>
    <row r="508" spans="1:19" ht="32.1" customHeight="1">
      <c r="A508" s="474" t="s">
        <v>223</v>
      </c>
      <c r="B508" s="477" t="s">
        <v>1551</v>
      </c>
      <c r="C508" s="498" t="s">
        <v>1501</v>
      </c>
      <c r="D508" s="514">
        <v>165</v>
      </c>
      <c r="E508" s="80"/>
      <c r="F508" s="80">
        <v>0</v>
      </c>
      <c r="G508" s="80">
        <v>0</v>
      </c>
      <c r="H508" s="80">
        <v>0</v>
      </c>
      <c r="I508" s="80"/>
      <c r="J508" s="80"/>
      <c r="K508" s="80"/>
      <c r="L508" s="80"/>
      <c r="M508" s="80">
        <v>0</v>
      </c>
      <c r="N508" s="80">
        <v>0</v>
      </c>
      <c r="O508" s="80">
        <v>0</v>
      </c>
      <c r="P508" s="80">
        <v>0</v>
      </c>
      <c r="Q508" s="139">
        <f t="shared" si="48"/>
        <v>0</v>
      </c>
      <c r="R508" s="146" t="str">
        <f t="shared" si="53"/>
        <v>SI</v>
      </c>
      <c r="S508" s="145" t="str">
        <f t="shared" si="52"/>
        <v>Sin Riesgo</v>
      </c>
    </row>
    <row r="509" spans="1:19" ht="32.1" customHeight="1">
      <c r="A509" s="474" t="s">
        <v>223</v>
      </c>
      <c r="B509" s="477" t="s">
        <v>1552</v>
      </c>
      <c r="C509" s="498" t="s">
        <v>1502</v>
      </c>
      <c r="D509" s="514">
        <v>100</v>
      </c>
      <c r="E509" s="80"/>
      <c r="F509" s="80"/>
      <c r="G509" s="80"/>
      <c r="H509" s="80">
        <v>0</v>
      </c>
      <c r="I509" s="80"/>
      <c r="J509" s="80"/>
      <c r="K509" s="80"/>
      <c r="L509" s="80"/>
      <c r="M509" s="80"/>
      <c r="N509" s="80">
        <v>0</v>
      </c>
      <c r="O509" s="80"/>
      <c r="P509" s="80"/>
      <c r="Q509" s="139">
        <f t="shared" si="48"/>
        <v>0</v>
      </c>
      <c r="R509" s="146" t="str">
        <f t="shared" si="53"/>
        <v>SI</v>
      </c>
      <c r="S509" s="145" t="str">
        <f t="shared" si="52"/>
        <v>Sin Riesgo</v>
      </c>
    </row>
    <row r="510" spans="1:19" ht="32.1" customHeight="1">
      <c r="A510" s="474" t="s">
        <v>223</v>
      </c>
      <c r="B510" s="477" t="s">
        <v>1181</v>
      </c>
      <c r="C510" s="498" t="s">
        <v>1503</v>
      </c>
      <c r="D510" s="514">
        <v>681</v>
      </c>
      <c r="E510" s="80">
        <v>0</v>
      </c>
      <c r="F510" s="80">
        <v>0</v>
      </c>
      <c r="G510" s="80">
        <v>0</v>
      </c>
      <c r="H510" s="80">
        <v>0</v>
      </c>
      <c r="I510" s="80">
        <v>0</v>
      </c>
      <c r="J510" s="80"/>
      <c r="K510" s="80">
        <v>0</v>
      </c>
      <c r="L510" s="80">
        <v>0</v>
      </c>
      <c r="M510" s="80">
        <v>0</v>
      </c>
      <c r="N510" s="80">
        <v>0</v>
      </c>
      <c r="O510" s="80">
        <v>0</v>
      </c>
      <c r="P510" s="80">
        <v>0</v>
      </c>
      <c r="Q510" s="139">
        <f t="shared" si="48"/>
        <v>0</v>
      </c>
      <c r="R510" s="146" t="str">
        <f t="shared" si="53"/>
        <v>SI</v>
      </c>
      <c r="S510" s="145" t="str">
        <f t="shared" si="52"/>
        <v>Sin Riesgo</v>
      </c>
    </row>
    <row r="511" spans="1:19" ht="32.1" customHeight="1">
      <c r="A511" s="474" t="s">
        <v>223</v>
      </c>
      <c r="B511" s="477" t="s">
        <v>1545</v>
      </c>
      <c r="C511" s="498" t="s">
        <v>1504</v>
      </c>
      <c r="D511" s="515">
        <v>45</v>
      </c>
      <c r="E511" s="80">
        <v>0</v>
      </c>
      <c r="F511" s="80">
        <v>0</v>
      </c>
      <c r="G511" s="80">
        <v>0</v>
      </c>
      <c r="H511" s="80">
        <v>0</v>
      </c>
      <c r="I511" s="80">
        <v>0</v>
      </c>
      <c r="J511" s="80"/>
      <c r="K511" s="80">
        <v>0</v>
      </c>
      <c r="L511" s="80">
        <v>0</v>
      </c>
      <c r="M511" s="80">
        <v>0</v>
      </c>
      <c r="N511" s="80">
        <v>0</v>
      </c>
      <c r="O511" s="80">
        <v>0</v>
      </c>
      <c r="P511" s="80">
        <v>0</v>
      </c>
      <c r="Q511" s="139">
        <f t="shared" ref="Q511:Q568" si="57">AVERAGE(E511:P511)</f>
        <v>0</v>
      </c>
      <c r="R511" s="146" t="str">
        <f t="shared" si="53"/>
        <v>SI</v>
      </c>
      <c r="S511" s="145" t="str">
        <f t="shared" si="52"/>
        <v>Sin Riesgo</v>
      </c>
    </row>
    <row r="512" spans="1:19" ht="32.1" customHeight="1">
      <c r="A512" s="474" t="s">
        <v>223</v>
      </c>
      <c r="B512" s="477" t="s">
        <v>1545</v>
      </c>
      <c r="C512" s="498" t="s">
        <v>1505</v>
      </c>
      <c r="D512" s="514"/>
      <c r="E512" s="80"/>
      <c r="F512" s="80"/>
      <c r="G512" s="80"/>
      <c r="H512" s="80"/>
      <c r="I512" s="80"/>
      <c r="J512" s="80"/>
      <c r="K512" s="80"/>
      <c r="L512" s="80"/>
      <c r="M512" s="80"/>
      <c r="N512" s="80"/>
      <c r="O512" s="80"/>
      <c r="P512" s="80"/>
      <c r="Q512" s="139" t="e">
        <f t="shared" si="57"/>
        <v>#DIV/0!</v>
      </c>
      <c r="R512" s="146" t="e">
        <f t="shared" si="53"/>
        <v>#DIV/0!</v>
      </c>
      <c r="S512" s="145" t="e">
        <f t="shared" si="52"/>
        <v>#DIV/0!</v>
      </c>
    </row>
    <row r="513" spans="1:19" ht="32.1" customHeight="1">
      <c r="A513" s="474" t="s">
        <v>223</v>
      </c>
      <c r="B513" s="477" t="s">
        <v>1542</v>
      </c>
      <c r="C513" s="498" t="s">
        <v>1506</v>
      </c>
      <c r="D513" s="514"/>
      <c r="E513" s="80"/>
      <c r="F513" s="80"/>
      <c r="G513" s="80"/>
      <c r="H513" s="80"/>
      <c r="I513" s="80"/>
      <c r="J513" s="80"/>
      <c r="K513" s="80"/>
      <c r="L513" s="80"/>
      <c r="M513" s="80"/>
      <c r="N513" s="80"/>
      <c r="O513" s="80"/>
      <c r="P513" s="80"/>
      <c r="Q513" s="139" t="e">
        <f t="shared" si="57"/>
        <v>#DIV/0!</v>
      </c>
      <c r="R513" s="146" t="e">
        <f t="shared" si="53"/>
        <v>#DIV/0!</v>
      </c>
      <c r="S513" s="145" t="e">
        <f t="shared" si="52"/>
        <v>#DIV/0!</v>
      </c>
    </row>
    <row r="514" spans="1:19" ht="32.1" customHeight="1">
      <c r="A514" s="474" t="s">
        <v>223</v>
      </c>
      <c r="B514" s="477" t="s">
        <v>1546</v>
      </c>
      <c r="C514" s="498" t="s">
        <v>1507</v>
      </c>
      <c r="D514" s="514"/>
      <c r="E514" s="80"/>
      <c r="F514" s="80"/>
      <c r="G514" s="80"/>
      <c r="H514" s="80"/>
      <c r="I514" s="80"/>
      <c r="J514" s="80"/>
      <c r="K514" s="80"/>
      <c r="L514" s="80"/>
      <c r="M514" s="80"/>
      <c r="N514" s="80"/>
      <c r="O514" s="80"/>
      <c r="P514" s="80"/>
      <c r="Q514" s="139" t="e">
        <f t="shared" si="57"/>
        <v>#DIV/0!</v>
      </c>
      <c r="R514" s="146" t="e">
        <f t="shared" si="53"/>
        <v>#DIV/0!</v>
      </c>
      <c r="S514" s="145" t="e">
        <f t="shared" si="52"/>
        <v>#DIV/0!</v>
      </c>
    </row>
    <row r="515" spans="1:19" ht="32.1" customHeight="1">
      <c r="A515" s="474" t="s">
        <v>223</v>
      </c>
      <c r="B515" s="477" t="s">
        <v>1543</v>
      </c>
      <c r="C515" s="498" t="s">
        <v>1508</v>
      </c>
      <c r="D515" s="514">
        <v>45</v>
      </c>
      <c r="E515" s="80"/>
      <c r="F515" s="80"/>
      <c r="G515" s="80"/>
      <c r="H515" s="80"/>
      <c r="I515" s="80">
        <v>0</v>
      </c>
      <c r="J515" s="80"/>
      <c r="K515" s="80"/>
      <c r="L515" s="80"/>
      <c r="M515" s="80"/>
      <c r="N515" s="80"/>
      <c r="O515" s="80">
        <v>0</v>
      </c>
      <c r="P515" s="80"/>
      <c r="Q515" s="139">
        <f t="shared" si="57"/>
        <v>0</v>
      </c>
      <c r="R515" s="146" t="str">
        <f t="shared" si="53"/>
        <v>SI</v>
      </c>
      <c r="S515" s="145" t="str">
        <f t="shared" si="52"/>
        <v>Sin Riesgo</v>
      </c>
    </row>
    <row r="516" spans="1:19" ht="32.1" customHeight="1">
      <c r="A516" s="474" t="s">
        <v>223</v>
      </c>
      <c r="B516" s="477" t="s">
        <v>0</v>
      </c>
      <c r="C516" s="498" t="s">
        <v>1509</v>
      </c>
      <c r="D516" s="514">
        <v>52</v>
      </c>
      <c r="E516" s="80"/>
      <c r="F516" s="80"/>
      <c r="G516" s="80"/>
      <c r="H516" s="80"/>
      <c r="I516" s="80"/>
      <c r="J516" s="80"/>
      <c r="K516" s="80">
        <v>0</v>
      </c>
      <c r="L516" s="80"/>
      <c r="M516" s="80"/>
      <c r="N516" s="80"/>
      <c r="O516" s="80"/>
      <c r="P516" s="80"/>
      <c r="Q516" s="139">
        <f t="shared" si="57"/>
        <v>0</v>
      </c>
      <c r="R516" s="146" t="str">
        <f t="shared" si="53"/>
        <v>SI</v>
      </c>
      <c r="S516" s="145" t="str">
        <f t="shared" si="52"/>
        <v>Sin Riesgo</v>
      </c>
    </row>
    <row r="517" spans="1:19" ht="32.1" customHeight="1">
      <c r="A517" s="474" t="s">
        <v>223</v>
      </c>
      <c r="B517" s="477" t="s">
        <v>66</v>
      </c>
      <c r="C517" s="498" t="s">
        <v>1510</v>
      </c>
      <c r="D517" s="514">
        <v>47</v>
      </c>
      <c r="E517" s="80">
        <v>0</v>
      </c>
      <c r="F517" s="80">
        <v>0</v>
      </c>
      <c r="G517" s="80">
        <v>0</v>
      </c>
      <c r="H517" s="80">
        <v>0</v>
      </c>
      <c r="I517" s="80"/>
      <c r="J517" s="80"/>
      <c r="K517" s="80"/>
      <c r="L517" s="80">
        <v>0</v>
      </c>
      <c r="M517" s="80">
        <v>0</v>
      </c>
      <c r="N517" s="80">
        <v>0</v>
      </c>
      <c r="O517" s="80"/>
      <c r="P517" s="80">
        <v>0</v>
      </c>
      <c r="Q517" s="139">
        <f t="shared" si="57"/>
        <v>0</v>
      </c>
      <c r="R517" s="146" t="str">
        <f t="shared" si="53"/>
        <v>SI</v>
      </c>
      <c r="S517" s="145" t="str">
        <f t="shared" si="52"/>
        <v>Sin Riesgo</v>
      </c>
    </row>
    <row r="518" spans="1:19" ht="32.1" customHeight="1">
      <c r="A518" s="474" t="s">
        <v>223</v>
      </c>
      <c r="B518" s="477" t="s">
        <v>587</v>
      </c>
      <c r="C518" s="498" t="s">
        <v>1511</v>
      </c>
      <c r="D518" s="514">
        <v>113</v>
      </c>
      <c r="E518" s="80">
        <v>0</v>
      </c>
      <c r="F518" s="80">
        <v>0</v>
      </c>
      <c r="G518" s="80">
        <v>0</v>
      </c>
      <c r="H518" s="80"/>
      <c r="I518" s="80"/>
      <c r="J518" s="80"/>
      <c r="K518" s="80">
        <v>0</v>
      </c>
      <c r="L518" s="80">
        <v>0</v>
      </c>
      <c r="M518" s="80">
        <v>0</v>
      </c>
      <c r="N518" s="80"/>
      <c r="O518" s="80"/>
      <c r="P518" s="80">
        <v>0</v>
      </c>
      <c r="Q518" s="139">
        <f t="shared" si="57"/>
        <v>0</v>
      </c>
      <c r="R518" s="146" t="str">
        <f t="shared" si="53"/>
        <v>SI</v>
      </c>
      <c r="S518" s="145" t="str">
        <f t="shared" si="52"/>
        <v>Sin Riesgo</v>
      </c>
    </row>
    <row r="519" spans="1:19" ht="32.1" customHeight="1">
      <c r="A519" s="474" t="s">
        <v>223</v>
      </c>
      <c r="B519" s="477" t="s">
        <v>1553</v>
      </c>
      <c r="C519" s="498" t="s">
        <v>1512</v>
      </c>
      <c r="D519" s="514">
        <v>347</v>
      </c>
      <c r="E519" s="80"/>
      <c r="F519" s="80"/>
      <c r="G519" s="80"/>
      <c r="H519" s="80">
        <v>0</v>
      </c>
      <c r="I519" s="80">
        <v>0</v>
      </c>
      <c r="J519" s="80"/>
      <c r="K519" s="80"/>
      <c r="L519" s="80"/>
      <c r="M519" s="80"/>
      <c r="N519" s="80">
        <v>0</v>
      </c>
      <c r="O519" s="80">
        <v>0</v>
      </c>
      <c r="P519" s="80"/>
      <c r="Q519" s="139">
        <f t="shared" si="57"/>
        <v>0</v>
      </c>
      <c r="R519" s="146" t="str">
        <f t="shared" si="53"/>
        <v>SI</v>
      </c>
      <c r="S519" s="145" t="str">
        <f t="shared" si="52"/>
        <v>Sin Riesgo</v>
      </c>
    </row>
    <row r="520" spans="1:19" ht="32.1" customHeight="1">
      <c r="A520" s="474" t="s">
        <v>223</v>
      </c>
      <c r="B520" s="477" t="s">
        <v>1206</v>
      </c>
      <c r="C520" s="498" t="s">
        <v>1513</v>
      </c>
      <c r="D520" s="514"/>
      <c r="E520" s="80"/>
      <c r="F520" s="80"/>
      <c r="G520" s="80"/>
      <c r="H520" s="80"/>
      <c r="I520" s="80"/>
      <c r="J520" s="80"/>
      <c r="K520" s="80"/>
      <c r="L520" s="80"/>
      <c r="M520" s="80"/>
      <c r="N520" s="80"/>
      <c r="O520" s="80"/>
      <c r="P520" s="80"/>
      <c r="Q520" s="139" t="e">
        <f t="shared" si="57"/>
        <v>#DIV/0!</v>
      </c>
      <c r="R520" s="146" t="e">
        <f t="shared" si="53"/>
        <v>#DIV/0!</v>
      </c>
      <c r="S520" s="145" t="e">
        <f t="shared" si="52"/>
        <v>#DIV/0!</v>
      </c>
    </row>
    <row r="521" spans="1:19" ht="32.1" customHeight="1">
      <c r="A521" s="474" t="s">
        <v>223</v>
      </c>
      <c r="B521" s="477" t="s">
        <v>1038</v>
      </c>
      <c r="C521" s="498" t="s">
        <v>1514</v>
      </c>
      <c r="D521" s="514">
        <v>51</v>
      </c>
      <c r="E521" s="80"/>
      <c r="F521" s="80">
        <v>0</v>
      </c>
      <c r="G521" s="80">
        <v>0</v>
      </c>
      <c r="H521" s="80">
        <v>0</v>
      </c>
      <c r="I521" s="80"/>
      <c r="J521" s="80"/>
      <c r="K521" s="80"/>
      <c r="L521" s="80"/>
      <c r="M521" s="80">
        <v>0</v>
      </c>
      <c r="N521" s="80">
        <v>0</v>
      </c>
      <c r="O521" s="80">
        <v>0</v>
      </c>
      <c r="P521" s="80">
        <v>0</v>
      </c>
      <c r="Q521" s="139">
        <f t="shared" si="57"/>
        <v>0</v>
      </c>
      <c r="R521" s="146" t="str">
        <f t="shared" si="53"/>
        <v>SI</v>
      </c>
      <c r="S521" s="145" t="str">
        <f t="shared" si="52"/>
        <v>Sin Riesgo</v>
      </c>
    </row>
    <row r="522" spans="1:19" ht="32.1" customHeight="1">
      <c r="A522" s="474" t="s">
        <v>223</v>
      </c>
      <c r="B522" s="477" t="s">
        <v>1554</v>
      </c>
      <c r="C522" s="498" t="s">
        <v>1515</v>
      </c>
      <c r="D522" s="514"/>
      <c r="E522" s="80"/>
      <c r="F522" s="80"/>
      <c r="G522" s="80"/>
      <c r="H522" s="80"/>
      <c r="I522" s="80"/>
      <c r="J522" s="80"/>
      <c r="K522" s="80"/>
      <c r="L522" s="80"/>
      <c r="M522" s="80"/>
      <c r="N522" s="80"/>
      <c r="O522" s="80"/>
      <c r="P522" s="80"/>
      <c r="Q522" s="139" t="e">
        <f t="shared" si="57"/>
        <v>#DIV/0!</v>
      </c>
      <c r="R522" s="146" t="e">
        <f t="shared" si="53"/>
        <v>#DIV/0!</v>
      </c>
      <c r="S522" s="145" t="e">
        <f t="shared" si="52"/>
        <v>#DIV/0!</v>
      </c>
    </row>
    <row r="523" spans="1:19" ht="32.1" customHeight="1">
      <c r="A523" s="474" t="s">
        <v>223</v>
      </c>
      <c r="B523" s="477" t="s">
        <v>66</v>
      </c>
      <c r="C523" s="498" t="s">
        <v>1516</v>
      </c>
      <c r="D523" s="514">
        <v>47</v>
      </c>
      <c r="E523" s="80">
        <v>0</v>
      </c>
      <c r="F523" s="80"/>
      <c r="G523" s="80"/>
      <c r="H523" s="80"/>
      <c r="I523" s="80"/>
      <c r="J523" s="80"/>
      <c r="K523" s="80">
        <v>0</v>
      </c>
      <c r="L523" s="80"/>
      <c r="M523" s="80"/>
      <c r="N523" s="80"/>
      <c r="O523" s="80"/>
      <c r="P523" s="80"/>
      <c r="Q523" s="139">
        <f t="shared" si="57"/>
        <v>0</v>
      </c>
      <c r="R523" s="146" t="str">
        <f t="shared" si="53"/>
        <v>SI</v>
      </c>
      <c r="S523" s="145" t="str">
        <f t="shared" si="52"/>
        <v>Sin Riesgo</v>
      </c>
    </row>
    <row r="524" spans="1:19" ht="32.1" customHeight="1">
      <c r="A524" s="474" t="s">
        <v>223</v>
      </c>
      <c r="B524" s="477" t="s">
        <v>1555</v>
      </c>
      <c r="C524" s="498" t="s">
        <v>1517</v>
      </c>
      <c r="D524" s="514"/>
      <c r="E524" s="80"/>
      <c r="F524" s="80"/>
      <c r="G524" s="80"/>
      <c r="H524" s="80"/>
      <c r="I524" s="80"/>
      <c r="J524" s="80"/>
      <c r="K524" s="80"/>
      <c r="L524" s="80"/>
      <c r="M524" s="80"/>
      <c r="N524" s="80"/>
      <c r="O524" s="80"/>
      <c r="P524" s="80"/>
      <c r="Q524" s="139" t="e">
        <f t="shared" si="57"/>
        <v>#DIV/0!</v>
      </c>
      <c r="R524" s="146" t="e">
        <f t="shared" si="53"/>
        <v>#DIV/0!</v>
      </c>
      <c r="S524" s="145" t="e">
        <f t="shared" si="52"/>
        <v>#DIV/0!</v>
      </c>
    </row>
    <row r="525" spans="1:19" ht="32.1" customHeight="1">
      <c r="A525" s="474" t="s">
        <v>223</v>
      </c>
      <c r="B525" s="477" t="s">
        <v>502</v>
      </c>
      <c r="C525" s="498" t="s">
        <v>1518</v>
      </c>
      <c r="D525" s="514">
        <v>47</v>
      </c>
      <c r="E525" s="80"/>
      <c r="F525" s="80"/>
      <c r="G525" s="80"/>
      <c r="H525" s="80"/>
      <c r="I525" s="80">
        <v>0</v>
      </c>
      <c r="J525" s="80"/>
      <c r="K525" s="80">
        <v>0</v>
      </c>
      <c r="L525" s="80"/>
      <c r="M525" s="80"/>
      <c r="N525" s="80"/>
      <c r="O525" s="80"/>
      <c r="P525" s="80"/>
      <c r="Q525" s="139">
        <f t="shared" si="57"/>
        <v>0</v>
      </c>
      <c r="R525" s="146" t="str">
        <f t="shared" si="53"/>
        <v>SI</v>
      </c>
      <c r="S525" s="145" t="str">
        <f t="shared" si="52"/>
        <v>Sin Riesgo</v>
      </c>
    </row>
    <row r="526" spans="1:19" ht="32.1" customHeight="1">
      <c r="A526" s="474" t="s">
        <v>223</v>
      </c>
      <c r="B526" s="477" t="s">
        <v>1556</v>
      </c>
      <c r="C526" s="498" t="s">
        <v>1519</v>
      </c>
      <c r="D526" s="514"/>
      <c r="E526" s="80"/>
      <c r="F526" s="80"/>
      <c r="G526" s="80"/>
      <c r="H526" s="80"/>
      <c r="I526" s="80"/>
      <c r="J526" s="80"/>
      <c r="K526" s="80"/>
      <c r="L526" s="80"/>
      <c r="M526" s="80"/>
      <c r="N526" s="80"/>
      <c r="O526" s="80"/>
      <c r="P526" s="80"/>
      <c r="Q526" s="139" t="e">
        <f t="shared" si="57"/>
        <v>#DIV/0!</v>
      </c>
      <c r="R526" s="146" t="e">
        <f t="shared" si="53"/>
        <v>#DIV/0!</v>
      </c>
      <c r="S526" s="145" t="e">
        <f t="shared" si="52"/>
        <v>#DIV/0!</v>
      </c>
    </row>
    <row r="527" spans="1:19" ht="32.1" customHeight="1">
      <c r="A527" s="474" t="s">
        <v>223</v>
      </c>
      <c r="B527" s="477" t="s">
        <v>12</v>
      </c>
      <c r="C527" s="498" t="s">
        <v>1520</v>
      </c>
      <c r="D527" s="514">
        <v>126</v>
      </c>
      <c r="E527" s="80"/>
      <c r="F527" s="80"/>
      <c r="G527" s="80"/>
      <c r="H527" s="80"/>
      <c r="I527" s="80">
        <v>0</v>
      </c>
      <c r="J527" s="80"/>
      <c r="K527" s="80"/>
      <c r="L527" s="80"/>
      <c r="M527" s="80"/>
      <c r="N527" s="80"/>
      <c r="O527" s="80">
        <v>0</v>
      </c>
      <c r="P527" s="80"/>
      <c r="Q527" s="139">
        <f t="shared" si="57"/>
        <v>0</v>
      </c>
      <c r="R527" s="146" t="str">
        <f t="shared" si="53"/>
        <v>SI</v>
      </c>
      <c r="S527" s="145" t="str">
        <f t="shared" ref="S527:S568" si="58">IF(Q527&lt;5,"Sin Riesgo",IF(Q527 &lt;=14,"Bajo",IF(Q527&lt;=35,"Medio",IF(Q527&lt;=80,"Alto","Inviable Sanitariamente"))))</f>
        <v>Sin Riesgo</v>
      </c>
    </row>
    <row r="528" spans="1:19" ht="32.1" customHeight="1">
      <c r="A528" s="474" t="s">
        <v>223</v>
      </c>
      <c r="B528" s="477" t="s">
        <v>1232</v>
      </c>
      <c r="C528" s="498" t="s">
        <v>1521</v>
      </c>
      <c r="D528" s="514">
        <v>126</v>
      </c>
      <c r="E528" s="80"/>
      <c r="F528" s="80"/>
      <c r="G528" s="80">
        <v>0</v>
      </c>
      <c r="H528" s="80"/>
      <c r="I528" s="80"/>
      <c r="J528" s="80"/>
      <c r="K528" s="80"/>
      <c r="L528" s="80"/>
      <c r="M528" s="80">
        <v>0</v>
      </c>
      <c r="N528" s="80"/>
      <c r="O528" s="80"/>
      <c r="P528" s="80"/>
      <c r="Q528" s="139">
        <f t="shared" si="57"/>
        <v>0</v>
      </c>
      <c r="R528" s="146" t="str">
        <f t="shared" si="53"/>
        <v>SI</v>
      </c>
      <c r="S528" s="145" t="str">
        <f t="shared" si="58"/>
        <v>Sin Riesgo</v>
      </c>
    </row>
    <row r="529" spans="1:19" ht="32.1" customHeight="1">
      <c r="A529" s="474" t="s">
        <v>223</v>
      </c>
      <c r="B529" s="477" t="s">
        <v>1557</v>
      </c>
      <c r="C529" s="498" t="s">
        <v>1522</v>
      </c>
      <c r="D529" s="514">
        <v>126</v>
      </c>
      <c r="E529" s="80"/>
      <c r="F529" s="80"/>
      <c r="G529" s="80"/>
      <c r="H529" s="80">
        <v>0</v>
      </c>
      <c r="I529" s="80"/>
      <c r="J529" s="80"/>
      <c r="K529" s="80"/>
      <c r="L529" s="80"/>
      <c r="M529" s="80"/>
      <c r="N529" s="80">
        <v>0</v>
      </c>
      <c r="O529" s="80"/>
      <c r="P529" s="80"/>
      <c r="Q529" s="139">
        <f t="shared" si="57"/>
        <v>0</v>
      </c>
      <c r="R529" s="146" t="str">
        <f t="shared" si="53"/>
        <v>SI</v>
      </c>
      <c r="S529" s="145" t="str">
        <f t="shared" si="58"/>
        <v>Sin Riesgo</v>
      </c>
    </row>
    <row r="530" spans="1:19" ht="32.1" customHeight="1">
      <c r="A530" s="474" t="s">
        <v>223</v>
      </c>
      <c r="B530" s="477" t="s">
        <v>1558</v>
      </c>
      <c r="C530" s="498" t="s">
        <v>1523</v>
      </c>
      <c r="D530" s="514">
        <v>126</v>
      </c>
      <c r="E530" s="80"/>
      <c r="F530" s="80">
        <v>0</v>
      </c>
      <c r="G530" s="80"/>
      <c r="H530" s="80"/>
      <c r="I530" s="80"/>
      <c r="J530" s="80"/>
      <c r="K530" s="80"/>
      <c r="L530" s="80">
        <v>0</v>
      </c>
      <c r="M530" s="80"/>
      <c r="N530" s="80"/>
      <c r="O530" s="80"/>
      <c r="P530" s="80"/>
      <c r="Q530" s="139">
        <f t="shared" si="57"/>
        <v>0</v>
      </c>
      <c r="R530" s="146" t="str">
        <f t="shared" si="53"/>
        <v>SI</v>
      </c>
      <c r="S530" s="145" t="str">
        <f t="shared" si="58"/>
        <v>Sin Riesgo</v>
      </c>
    </row>
    <row r="531" spans="1:19" ht="32.1" customHeight="1">
      <c r="A531" s="474" t="s">
        <v>223</v>
      </c>
      <c r="B531" s="477" t="s">
        <v>1544</v>
      </c>
      <c r="C531" s="498" t="s">
        <v>1524</v>
      </c>
      <c r="D531" s="514"/>
      <c r="E531" s="80"/>
      <c r="F531" s="80"/>
      <c r="G531" s="80"/>
      <c r="H531" s="80"/>
      <c r="I531" s="80"/>
      <c r="J531" s="80"/>
      <c r="K531" s="80"/>
      <c r="L531" s="80"/>
      <c r="M531" s="80"/>
      <c r="N531" s="80"/>
      <c r="O531" s="80"/>
      <c r="P531" s="80"/>
      <c r="Q531" s="139" t="e">
        <f t="shared" si="57"/>
        <v>#DIV/0!</v>
      </c>
      <c r="R531" s="146" t="e">
        <f t="shared" si="53"/>
        <v>#DIV/0!</v>
      </c>
      <c r="S531" s="145" t="e">
        <f t="shared" si="58"/>
        <v>#DIV/0!</v>
      </c>
    </row>
    <row r="532" spans="1:19" ht="32.1" customHeight="1">
      <c r="A532" s="474" t="s">
        <v>223</v>
      </c>
      <c r="B532" s="477" t="s">
        <v>1559</v>
      </c>
      <c r="C532" s="498" t="s">
        <v>1525</v>
      </c>
      <c r="D532" s="514">
        <v>930</v>
      </c>
      <c r="E532" s="80"/>
      <c r="F532" s="80">
        <v>0</v>
      </c>
      <c r="G532" s="80"/>
      <c r="H532" s="80"/>
      <c r="I532" s="80"/>
      <c r="J532" s="80"/>
      <c r="K532" s="80"/>
      <c r="L532" s="80">
        <v>0</v>
      </c>
      <c r="M532" s="80">
        <v>0</v>
      </c>
      <c r="N532" s="80"/>
      <c r="O532" s="80"/>
      <c r="P532" s="80"/>
      <c r="Q532" s="139">
        <f t="shared" si="57"/>
        <v>0</v>
      </c>
      <c r="R532" s="146" t="str">
        <f t="shared" si="53"/>
        <v>SI</v>
      </c>
      <c r="S532" s="145" t="str">
        <f t="shared" si="58"/>
        <v>Sin Riesgo</v>
      </c>
    </row>
    <row r="533" spans="1:19" ht="32.1" customHeight="1">
      <c r="A533" s="474" t="s">
        <v>223</v>
      </c>
      <c r="B533" s="477" t="s">
        <v>1560</v>
      </c>
      <c r="C533" s="498" t="s">
        <v>1526</v>
      </c>
      <c r="D533" s="514">
        <v>930</v>
      </c>
      <c r="E533" s="80"/>
      <c r="F533" s="80"/>
      <c r="G533" s="80"/>
      <c r="H533" s="80"/>
      <c r="I533" s="80">
        <v>0</v>
      </c>
      <c r="J533" s="80"/>
      <c r="K533" s="80"/>
      <c r="L533" s="80"/>
      <c r="M533" s="80"/>
      <c r="N533" s="80"/>
      <c r="O533" s="80"/>
      <c r="P533" s="80"/>
      <c r="Q533" s="139">
        <f t="shared" si="57"/>
        <v>0</v>
      </c>
      <c r="R533" s="146" t="str">
        <f t="shared" si="53"/>
        <v>SI</v>
      </c>
      <c r="S533" s="145" t="str">
        <f t="shared" si="58"/>
        <v>Sin Riesgo</v>
      </c>
    </row>
    <row r="534" spans="1:19" ht="32.1" customHeight="1">
      <c r="A534" s="474" t="s">
        <v>223</v>
      </c>
      <c r="B534" s="477" t="s">
        <v>1561</v>
      </c>
      <c r="C534" s="498" t="s">
        <v>1527</v>
      </c>
      <c r="D534" s="514">
        <v>930</v>
      </c>
      <c r="E534" s="80"/>
      <c r="F534" s="80"/>
      <c r="G534" s="80"/>
      <c r="H534" s="80">
        <v>0</v>
      </c>
      <c r="I534" s="80"/>
      <c r="J534" s="80"/>
      <c r="K534" s="80"/>
      <c r="L534" s="80"/>
      <c r="M534" s="80"/>
      <c r="N534" s="80"/>
      <c r="O534" s="80">
        <v>0</v>
      </c>
      <c r="P534" s="80"/>
      <c r="Q534" s="139">
        <f t="shared" si="57"/>
        <v>0</v>
      </c>
      <c r="R534" s="146" t="str">
        <f t="shared" si="53"/>
        <v>SI</v>
      </c>
      <c r="S534" s="145" t="str">
        <f t="shared" si="58"/>
        <v>Sin Riesgo</v>
      </c>
    </row>
    <row r="535" spans="1:19" ht="32.1" customHeight="1">
      <c r="A535" s="474" t="s">
        <v>223</v>
      </c>
      <c r="B535" s="477" t="s">
        <v>733</v>
      </c>
      <c r="C535" s="498" t="s">
        <v>1528</v>
      </c>
      <c r="D535" s="514">
        <v>138</v>
      </c>
      <c r="E535" s="80"/>
      <c r="F535" s="80"/>
      <c r="G535" s="80">
        <v>0</v>
      </c>
      <c r="H535" s="80"/>
      <c r="I535" s="80"/>
      <c r="J535" s="80"/>
      <c r="K535" s="80"/>
      <c r="L535" s="80"/>
      <c r="M535" s="80"/>
      <c r="N535" s="80">
        <v>0</v>
      </c>
      <c r="O535" s="80"/>
      <c r="P535" s="80"/>
      <c r="Q535" s="139">
        <f t="shared" si="57"/>
        <v>0</v>
      </c>
      <c r="R535" s="146" t="str">
        <f t="shared" si="53"/>
        <v>SI</v>
      </c>
      <c r="S535" s="145" t="str">
        <f t="shared" si="58"/>
        <v>Sin Riesgo</v>
      </c>
    </row>
    <row r="536" spans="1:19" ht="32.1" customHeight="1">
      <c r="A536" s="474" t="s">
        <v>223</v>
      </c>
      <c r="B536" s="477" t="s">
        <v>1562</v>
      </c>
      <c r="C536" s="498" t="s">
        <v>1529</v>
      </c>
      <c r="D536" s="514"/>
      <c r="E536" s="80"/>
      <c r="F536" s="80"/>
      <c r="G536" s="80"/>
      <c r="H536" s="80"/>
      <c r="I536" s="80"/>
      <c r="J536" s="80"/>
      <c r="K536" s="80"/>
      <c r="L536" s="80"/>
      <c r="M536" s="80"/>
      <c r="N536" s="80"/>
      <c r="O536" s="80"/>
      <c r="P536" s="80"/>
      <c r="Q536" s="139" t="e">
        <f t="shared" si="57"/>
        <v>#DIV/0!</v>
      </c>
      <c r="R536" s="146" t="e">
        <f t="shared" si="53"/>
        <v>#DIV/0!</v>
      </c>
      <c r="S536" s="145" t="e">
        <f t="shared" si="58"/>
        <v>#DIV/0!</v>
      </c>
    </row>
    <row r="537" spans="1:19" ht="32.1" customHeight="1">
      <c r="A537" s="474" t="s">
        <v>223</v>
      </c>
      <c r="B537" s="477" t="s">
        <v>1429</v>
      </c>
      <c r="C537" s="498" t="s">
        <v>1530</v>
      </c>
      <c r="D537" s="514">
        <v>140</v>
      </c>
      <c r="E537" s="80">
        <v>0</v>
      </c>
      <c r="F537" s="80"/>
      <c r="G537" s="80"/>
      <c r="H537" s="80"/>
      <c r="I537" s="80"/>
      <c r="J537" s="80"/>
      <c r="K537" s="80">
        <v>0</v>
      </c>
      <c r="L537" s="80"/>
      <c r="M537" s="80"/>
      <c r="N537" s="80"/>
      <c r="O537" s="80"/>
      <c r="P537" s="80">
        <v>0</v>
      </c>
      <c r="Q537" s="139">
        <f t="shared" si="57"/>
        <v>0</v>
      </c>
      <c r="R537" s="146" t="str">
        <f t="shared" si="53"/>
        <v>SI</v>
      </c>
      <c r="S537" s="145" t="str">
        <f t="shared" si="58"/>
        <v>Sin Riesgo</v>
      </c>
    </row>
    <row r="538" spans="1:19" ht="32.1" customHeight="1">
      <c r="A538" s="474" t="s">
        <v>223</v>
      </c>
      <c r="B538" s="477" t="s">
        <v>1542</v>
      </c>
      <c r="C538" s="498" t="s">
        <v>1531</v>
      </c>
      <c r="D538" s="514">
        <v>49</v>
      </c>
      <c r="E538" s="80">
        <v>0</v>
      </c>
      <c r="F538" s="80">
        <v>0</v>
      </c>
      <c r="G538" s="80"/>
      <c r="H538" s="80"/>
      <c r="I538" s="80"/>
      <c r="J538" s="80"/>
      <c r="K538" s="80"/>
      <c r="L538" s="80">
        <v>0</v>
      </c>
      <c r="M538" s="80">
        <v>0</v>
      </c>
      <c r="N538" s="80"/>
      <c r="O538" s="80"/>
      <c r="P538" s="80"/>
      <c r="Q538" s="139">
        <f t="shared" si="57"/>
        <v>0</v>
      </c>
      <c r="R538" s="146" t="str">
        <f t="shared" si="53"/>
        <v>SI</v>
      </c>
      <c r="S538" s="145" t="str">
        <f t="shared" si="58"/>
        <v>Sin Riesgo</v>
      </c>
    </row>
    <row r="539" spans="1:19" ht="32.1" customHeight="1">
      <c r="A539" s="474" t="s">
        <v>223</v>
      </c>
      <c r="B539" s="477" t="s">
        <v>1543</v>
      </c>
      <c r="C539" s="498" t="s">
        <v>1532</v>
      </c>
      <c r="D539" s="516"/>
      <c r="E539" s="80"/>
      <c r="F539" s="80"/>
      <c r="G539" s="80"/>
      <c r="H539" s="80"/>
      <c r="I539" s="80"/>
      <c r="J539" s="80"/>
      <c r="K539" s="80"/>
      <c r="L539" s="80"/>
      <c r="M539" s="80"/>
      <c r="N539" s="80"/>
      <c r="O539" s="80"/>
      <c r="P539" s="80"/>
      <c r="Q539" s="139" t="e">
        <f t="shared" si="57"/>
        <v>#DIV/0!</v>
      </c>
      <c r="R539" s="146" t="e">
        <f t="shared" si="53"/>
        <v>#DIV/0!</v>
      </c>
      <c r="S539" s="145" t="e">
        <f t="shared" si="58"/>
        <v>#DIV/0!</v>
      </c>
    </row>
    <row r="540" spans="1:19" ht="32.1" customHeight="1">
      <c r="A540" s="474" t="s">
        <v>223</v>
      </c>
      <c r="B540" s="477" t="s">
        <v>1544</v>
      </c>
      <c r="C540" s="498" t="s">
        <v>1533</v>
      </c>
      <c r="D540" s="514">
        <v>52</v>
      </c>
      <c r="E540" s="80"/>
      <c r="F540" s="80"/>
      <c r="G540" s="80"/>
      <c r="H540" s="80"/>
      <c r="I540" s="80"/>
      <c r="J540" s="80"/>
      <c r="K540" s="80">
        <v>0</v>
      </c>
      <c r="L540" s="80"/>
      <c r="M540" s="80"/>
      <c r="N540" s="80"/>
      <c r="O540" s="80"/>
      <c r="P540" s="80"/>
      <c r="Q540" s="139">
        <f t="shared" si="57"/>
        <v>0</v>
      </c>
      <c r="R540" s="146" t="str">
        <f t="shared" si="53"/>
        <v>SI</v>
      </c>
      <c r="S540" s="145" t="str">
        <f t="shared" si="58"/>
        <v>Sin Riesgo</v>
      </c>
    </row>
    <row r="541" spans="1:19" ht="32.1" customHeight="1">
      <c r="A541" s="474" t="s">
        <v>223</v>
      </c>
      <c r="B541" s="477" t="s">
        <v>1545</v>
      </c>
      <c r="C541" s="498" t="s">
        <v>1534</v>
      </c>
      <c r="D541" s="514"/>
      <c r="E541" s="80"/>
      <c r="F541" s="80"/>
      <c r="G541" s="80"/>
      <c r="H541" s="80"/>
      <c r="I541" s="80"/>
      <c r="J541" s="80"/>
      <c r="K541" s="80"/>
      <c r="L541" s="80"/>
      <c r="M541" s="80"/>
      <c r="N541" s="80"/>
      <c r="O541" s="80"/>
      <c r="P541" s="80"/>
      <c r="Q541" s="139" t="e">
        <f t="shared" si="57"/>
        <v>#DIV/0!</v>
      </c>
      <c r="R541" s="146" t="e">
        <f t="shared" si="53"/>
        <v>#DIV/0!</v>
      </c>
      <c r="S541" s="145" t="e">
        <f t="shared" si="58"/>
        <v>#DIV/0!</v>
      </c>
    </row>
    <row r="542" spans="1:19" ht="32.1" customHeight="1">
      <c r="A542" s="474" t="s">
        <v>223</v>
      </c>
      <c r="B542" s="477" t="s">
        <v>61</v>
      </c>
      <c r="C542" s="498" t="s">
        <v>1535</v>
      </c>
      <c r="D542" s="514"/>
      <c r="E542" s="80"/>
      <c r="F542" s="80"/>
      <c r="G542" s="80"/>
      <c r="H542" s="80"/>
      <c r="I542" s="80"/>
      <c r="J542" s="80"/>
      <c r="K542" s="80"/>
      <c r="L542" s="80"/>
      <c r="M542" s="80"/>
      <c r="N542" s="80"/>
      <c r="O542" s="80"/>
      <c r="P542" s="80"/>
      <c r="Q542" s="139" t="e">
        <f t="shared" si="57"/>
        <v>#DIV/0!</v>
      </c>
      <c r="R542" s="146" t="e">
        <f t="shared" si="53"/>
        <v>#DIV/0!</v>
      </c>
      <c r="S542" s="145" t="e">
        <f t="shared" si="58"/>
        <v>#DIV/0!</v>
      </c>
    </row>
    <row r="543" spans="1:19" ht="32.1" customHeight="1">
      <c r="A543" s="474" t="s">
        <v>223</v>
      </c>
      <c r="B543" s="477" t="s">
        <v>1546</v>
      </c>
      <c r="C543" s="498" t="s">
        <v>1536</v>
      </c>
      <c r="D543" s="514">
        <v>52</v>
      </c>
      <c r="E543" s="80"/>
      <c r="F543" s="80"/>
      <c r="G543" s="80">
        <v>0</v>
      </c>
      <c r="H543" s="80">
        <v>0</v>
      </c>
      <c r="I543" s="80">
        <v>0</v>
      </c>
      <c r="J543" s="80"/>
      <c r="K543" s="80"/>
      <c r="L543" s="80"/>
      <c r="M543" s="80"/>
      <c r="N543" s="80">
        <v>0</v>
      </c>
      <c r="O543" s="80">
        <v>0</v>
      </c>
      <c r="P543" s="80">
        <v>0</v>
      </c>
      <c r="Q543" s="139">
        <f t="shared" si="57"/>
        <v>0</v>
      </c>
      <c r="R543" s="146" t="str">
        <f t="shared" si="53"/>
        <v>SI</v>
      </c>
      <c r="S543" s="145" t="str">
        <f t="shared" si="58"/>
        <v>Sin Riesgo</v>
      </c>
    </row>
    <row r="544" spans="1:19" ht="32.1" customHeight="1">
      <c r="A544" s="474" t="s">
        <v>223</v>
      </c>
      <c r="B544" s="477" t="s">
        <v>1429</v>
      </c>
      <c r="C544" s="498" t="s">
        <v>1537</v>
      </c>
      <c r="D544" s="179">
        <v>195</v>
      </c>
      <c r="E544" s="80">
        <v>0</v>
      </c>
      <c r="F544" s="80">
        <v>0</v>
      </c>
      <c r="G544" s="80">
        <v>0</v>
      </c>
      <c r="H544" s="80">
        <v>0</v>
      </c>
      <c r="I544" s="80">
        <v>0</v>
      </c>
      <c r="J544" s="80"/>
      <c r="K544" s="80">
        <v>0</v>
      </c>
      <c r="L544" s="80">
        <v>0</v>
      </c>
      <c r="M544" s="80">
        <v>0</v>
      </c>
      <c r="N544" s="80">
        <v>0</v>
      </c>
      <c r="O544" s="80">
        <v>0</v>
      </c>
      <c r="P544" s="80">
        <v>0</v>
      </c>
      <c r="Q544" s="139">
        <f t="shared" si="57"/>
        <v>0</v>
      </c>
      <c r="R544" s="146" t="str">
        <f t="shared" si="53"/>
        <v>SI</v>
      </c>
      <c r="S544" s="145" t="str">
        <f t="shared" si="58"/>
        <v>Sin Riesgo</v>
      </c>
    </row>
    <row r="545" spans="1:19" ht="32.1" customHeight="1">
      <c r="A545" s="474" t="s">
        <v>223</v>
      </c>
      <c r="B545" s="477" t="s">
        <v>1547</v>
      </c>
      <c r="C545" s="498" t="s">
        <v>1538</v>
      </c>
      <c r="D545" s="179">
        <v>442</v>
      </c>
      <c r="E545" s="80"/>
      <c r="F545" s="80"/>
      <c r="G545" s="80"/>
      <c r="H545" s="80"/>
      <c r="I545" s="80">
        <v>0</v>
      </c>
      <c r="J545" s="80"/>
      <c r="K545" s="80"/>
      <c r="L545" s="80"/>
      <c r="M545" s="80"/>
      <c r="N545" s="80"/>
      <c r="O545" s="80"/>
      <c r="P545" s="80"/>
      <c r="Q545" s="139">
        <f t="shared" si="57"/>
        <v>0</v>
      </c>
      <c r="R545" s="146" t="str">
        <f t="shared" si="53"/>
        <v>SI</v>
      </c>
      <c r="S545" s="145" t="str">
        <f t="shared" si="58"/>
        <v>Sin Riesgo</v>
      </c>
    </row>
    <row r="546" spans="1:19" ht="32.1" customHeight="1">
      <c r="A546" s="474" t="s">
        <v>223</v>
      </c>
      <c r="B546" s="477" t="s">
        <v>1044</v>
      </c>
      <c r="C546" s="498" t="s">
        <v>1539</v>
      </c>
      <c r="D546" s="179">
        <v>442</v>
      </c>
      <c r="E546" s="80"/>
      <c r="F546" s="80">
        <v>0</v>
      </c>
      <c r="G546" s="80"/>
      <c r="H546" s="80">
        <v>0</v>
      </c>
      <c r="I546" s="80"/>
      <c r="J546" s="80"/>
      <c r="K546" s="80"/>
      <c r="L546" s="80"/>
      <c r="M546" s="80">
        <v>0</v>
      </c>
      <c r="N546" s="80"/>
      <c r="O546" s="80">
        <v>0</v>
      </c>
      <c r="P546" s="80"/>
      <c r="Q546" s="139">
        <f t="shared" si="57"/>
        <v>0</v>
      </c>
      <c r="R546" s="146" t="str">
        <f t="shared" si="53"/>
        <v>SI</v>
      </c>
      <c r="S546" s="145" t="str">
        <f t="shared" si="58"/>
        <v>Sin Riesgo</v>
      </c>
    </row>
    <row r="547" spans="1:19" ht="32.1" customHeight="1">
      <c r="A547" s="474" t="s">
        <v>223</v>
      </c>
      <c r="B547" s="477" t="s">
        <v>1548</v>
      </c>
      <c r="C547" s="498" t="s">
        <v>1540</v>
      </c>
      <c r="D547" s="179">
        <v>126</v>
      </c>
      <c r="E547" s="80"/>
      <c r="F547" s="80"/>
      <c r="G547" s="80"/>
      <c r="H547" s="80"/>
      <c r="I547" s="80"/>
      <c r="J547" s="80"/>
      <c r="K547" s="80">
        <v>0</v>
      </c>
      <c r="L547" s="80"/>
      <c r="M547" s="80"/>
      <c r="N547" s="80"/>
      <c r="O547" s="80"/>
      <c r="P547" s="80"/>
      <c r="Q547" s="139">
        <f t="shared" si="57"/>
        <v>0</v>
      </c>
      <c r="R547" s="146" t="str">
        <f t="shared" si="53"/>
        <v>SI</v>
      </c>
      <c r="S547" s="145" t="str">
        <f t="shared" si="58"/>
        <v>Sin Riesgo</v>
      </c>
    </row>
    <row r="548" spans="1:19" ht="32.1" customHeight="1">
      <c r="A548" s="474" t="s">
        <v>223</v>
      </c>
      <c r="B548" s="477" t="s">
        <v>4513</v>
      </c>
      <c r="C548" s="498" t="s">
        <v>4514</v>
      </c>
      <c r="D548" s="179"/>
      <c r="E548" s="80">
        <v>0</v>
      </c>
      <c r="F548" s="80"/>
      <c r="G548" s="80"/>
      <c r="H548" s="80"/>
      <c r="I548" s="80"/>
      <c r="J548" s="80"/>
      <c r="K548" s="80">
        <v>0</v>
      </c>
      <c r="L548" s="80"/>
      <c r="M548" s="80"/>
      <c r="N548" s="80"/>
      <c r="O548" s="80"/>
      <c r="P548" s="80">
        <v>0</v>
      </c>
      <c r="Q548" s="139">
        <f t="shared" si="57"/>
        <v>0</v>
      </c>
      <c r="R548" s="146" t="str">
        <f t="shared" si="53"/>
        <v>SI</v>
      </c>
      <c r="S548" s="145" t="str">
        <f t="shared" si="58"/>
        <v>Sin Riesgo</v>
      </c>
    </row>
    <row r="549" spans="1:19" ht="32.1" customHeight="1">
      <c r="A549" s="474" t="s">
        <v>223</v>
      </c>
      <c r="B549" s="477" t="s">
        <v>4511</v>
      </c>
      <c r="C549" s="498" t="s">
        <v>4512</v>
      </c>
      <c r="D549" s="179"/>
      <c r="E549" s="80"/>
      <c r="F549" s="80"/>
      <c r="G549" s="80"/>
      <c r="H549" s="80"/>
      <c r="I549" s="80">
        <v>0</v>
      </c>
      <c r="J549" s="80"/>
      <c r="K549" s="80"/>
      <c r="L549" s="80"/>
      <c r="M549" s="80"/>
      <c r="N549" s="80"/>
      <c r="O549" s="80">
        <v>0</v>
      </c>
      <c r="P549" s="80"/>
      <c r="Q549" s="139">
        <f t="shared" si="57"/>
        <v>0</v>
      </c>
      <c r="R549" s="146" t="str">
        <f t="shared" si="53"/>
        <v>SI</v>
      </c>
      <c r="S549" s="145" t="str">
        <f t="shared" si="58"/>
        <v>Sin Riesgo</v>
      </c>
    </row>
    <row r="550" spans="1:19" ht="32.1" customHeight="1">
      <c r="A550" s="474" t="s">
        <v>223</v>
      </c>
      <c r="B550" s="477" t="s">
        <v>4515</v>
      </c>
      <c r="C550" s="498" t="s">
        <v>4516</v>
      </c>
      <c r="D550" s="179"/>
      <c r="E550" s="80"/>
      <c r="F550" s="80"/>
      <c r="G550" s="80"/>
      <c r="H550" s="80"/>
      <c r="I550" s="80"/>
      <c r="J550" s="80"/>
      <c r="K550" s="80"/>
      <c r="L550" s="80"/>
      <c r="M550" s="80"/>
      <c r="N550" s="80"/>
      <c r="O550" s="80"/>
      <c r="P550" s="80"/>
      <c r="Q550" s="139" t="e">
        <f t="shared" ref="Q550" si="59">AVERAGE(E550:P550)</f>
        <v>#DIV/0!</v>
      </c>
      <c r="R550" s="146" t="e">
        <f t="shared" ref="R550" si="60">IF(Q550&lt;5,"SI","NO")</f>
        <v>#DIV/0!</v>
      </c>
      <c r="S550" s="145" t="e">
        <f t="shared" ref="S550" si="61">IF(Q550&lt;5,"Sin Riesgo",IF(Q550 &lt;=14,"Bajo",IF(Q550&lt;=35,"Medio",IF(Q550&lt;=80,"Alto","Inviable Sanitariamente"))))</f>
        <v>#DIV/0!</v>
      </c>
    </row>
    <row r="551" spans="1:19" ht="32.1" customHeight="1">
      <c r="A551" s="474" t="s">
        <v>223</v>
      </c>
      <c r="B551" s="477" t="s">
        <v>0</v>
      </c>
      <c r="C551" s="498" t="s">
        <v>1541</v>
      </c>
      <c r="D551" s="179">
        <v>32</v>
      </c>
      <c r="E551" s="80">
        <v>0</v>
      </c>
      <c r="F551" s="80"/>
      <c r="G551" s="80">
        <v>0</v>
      </c>
      <c r="H551" s="80"/>
      <c r="I551" s="80"/>
      <c r="J551" s="80"/>
      <c r="K551" s="80"/>
      <c r="L551" s="80">
        <v>0</v>
      </c>
      <c r="M551" s="80"/>
      <c r="N551" s="80">
        <v>0</v>
      </c>
      <c r="O551" s="80"/>
      <c r="P551" s="80">
        <v>0</v>
      </c>
      <c r="Q551" s="139">
        <f t="shared" si="57"/>
        <v>0</v>
      </c>
      <c r="R551" s="146" t="str">
        <f t="shared" si="53"/>
        <v>SI</v>
      </c>
      <c r="S551" s="145" t="str">
        <f t="shared" si="58"/>
        <v>Sin Riesgo</v>
      </c>
    </row>
    <row r="552" spans="1:19" ht="32.1" customHeight="1">
      <c r="A552" s="474" t="s">
        <v>224</v>
      </c>
      <c r="B552" s="110" t="s">
        <v>1563</v>
      </c>
      <c r="C552" s="502" t="s">
        <v>1564</v>
      </c>
      <c r="D552" s="180">
        <v>801</v>
      </c>
      <c r="E552" s="80">
        <v>0</v>
      </c>
      <c r="F552" s="80">
        <v>19.399999999999999</v>
      </c>
      <c r="G552" s="80">
        <v>0</v>
      </c>
      <c r="H552" s="80">
        <v>19.399999999999999</v>
      </c>
      <c r="I552" s="80">
        <v>0</v>
      </c>
      <c r="J552" s="80">
        <v>0</v>
      </c>
      <c r="K552" s="80"/>
      <c r="L552" s="80"/>
      <c r="M552" s="80"/>
      <c r="N552" s="80"/>
      <c r="O552" s="80"/>
      <c r="P552" s="80"/>
      <c r="Q552" s="139">
        <f t="shared" si="57"/>
        <v>6.4666666666666659</v>
      </c>
      <c r="R552" s="144" t="str">
        <f t="shared" si="53"/>
        <v>NO</v>
      </c>
      <c r="S552" s="145" t="str">
        <f t="shared" si="58"/>
        <v>Bajo</v>
      </c>
    </row>
    <row r="553" spans="1:19" ht="32.1" customHeight="1">
      <c r="A553" s="474" t="s">
        <v>224</v>
      </c>
      <c r="B553" s="110" t="s">
        <v>1267</v>
      </c>
      <c r="C553" s="502" t="s">
        <v>1565</v>
      </c>
      <c r="D553" s="180">
        <v>560</v>
      </c>
      <c r="E553" s="80">
        <v>19.399999999999999</v>
      </c>
      <c r="F553" s="80">
        <v>0</v>
      </c>
      <c r="G553" s="80">
        <v>19.399999999999999</v>
      </c>
      <c r="H553" s="80">
        <v>28.4</v>
      </c>
      <c r="I553" s="80">
        <v>27.1</v>
      </c>
      <c r="J553" s="80">
        <v>19.399999999999999</v>
      </c>
      <c r="K553" s="80"/>
      <c r="L553" s="80"/>
      <c r="M553" s="80"/>
      <c r="N553" s="80"/>
      <c r="O553" s="80"/>
      <c r="P553" s="80"/>
      <c r="Q553" s="139">
        <f t="shared" si="57"/>
        <v>18.95</v>
      </c>
      <c r="R553" s="154" t="str">
        <f t="shared" si="53"/>
        <v>NO</v>
      </c>
      <c r="S553" s="145" t="str">
        <f t="shared" si="58"/>
        <v>Medio</v>
      </c>
    </row>
    <row r="554" spans="1:19" ht="32.1" customHeight="1">
      <c r="A554" s="474" t="s">
        <v>224</v>
      </c>
      <c r="B554" s="110" t="s">
        <v>1566</v>
      </c>
      <c r="C554" s="502" t="s">
        <v>1567</v>
      </c>
      <c r="D554" s="180">
        <v>150</v>
      </c>
      <c r="E554" s="80"/>
      <c r="F554" s="80"/>
      <c r="G554" s="80"/>
      <c r="H554" s="80"/>
      <c r="I554" s="80"/>
      <c r="J554" s="80"/>
      <c r="K554" s="80"/>
      <c r="L554" s="80"/>
      <c r="M554" s="80"/>
      <c r="N554" s="80">
        <v>97.35</v>
      </c>
      <c r="O554" s="80"/>
      <c r="P554" s="80"/>
      <c r="Q554" s="139">
        <f t="shared" si="57"/>
        <v>97.35</v>
      </c>
      <c r="R554" s="154" t="str">
        <f t="shared" si="53"/>
        <v>NO</v>
      </c>
      <c r="S554" s="145" t="str">
        <f t="shared" si="58"/>
        <v>Inviable Sanitariamente</v>
      </c>
    </row>
    <row r="555" spans="1:19" ht="32.1" customHeight="1">
      <c r="A555" s="474" t="s">
        <v>224</v>
      </c>
      <c r="B555" s="110" t="s">
        <v>1568</v>
      </c>
      <c r="C555" s="502" t="s">
        <v>1569</v>
      </c>
      <c r="D555" s="180">
        <v>110</v>
      </c>
      <c r="E555" s="80"/>
      <c r="F555" s="80"/>
      <c r="G555" s="80">
        <v>53</v>
      </c>
      <c r="H555" s="80"/>
      <c r="I555" s="80"/>
      <c r="J555" s="80">
        <v>53</v>
      </c>
      <c r="K555" s="80"/>
      <c r="L555" s="80"/>
      <c r="M555" s="80"/>
      <c r="N555" s="80"/>
      <c r="O555" s="80"/>
      <c r="P555" s="80"/>
      <c r="Q555" s="139">
        <f t="shared" si="57"/>
        <v>53</v>
      </c>
      <c r="R555" s="154" t="str">
        <f t="shared" si="53"/>
        <v>NO</v>
      </c>
      <c r="S555" s="145" t="str">
        <f t="shared" si="58"/>
        <v>Alto</v>
      </c>
    </row>
    <row r="556" spans="1:19" ht="32.1" customHeight="1">
      <c r="A556" s="474" t="s">
        <v>224</v>
      </c>
      <c r="B556" s="110" t="s">
        <v>1309</v>
      </c>
      <c r="C556" s="502" t="s">
        <v>1570</v>
      </c>
      <c r="D556" s="180">
        <v>105</v>
      </c>
      <c r="E556" s="80"/>
      <c r="F556" s="80"/>
      <c r="G556" s="80">
        <v>53</v>
      </c>
      <c r="H556" s="80"/>
      <c r="I556" s="80"/>
      <c r="J556" s="80">
        <v>53</v>
      </c>
      <c r="K556" s="80"/>
      <c r="L556" s="80"/>
      <c r="M556" s="80"/>
      <c r="N556" s="80"/>
      <c r="O556" s="80"/>
      <c r="P556" s="80">
        <v>97.4</v>
      </c>
      <c r="Q556" s="139">
        <f t="shared" si="57"/>
        <v>67.8</v>
      </c>
      <c r="R556" s="154" t="str">
        <f t="shared" si="53"/>
        <v>NO</v>
      </c>
      <c r="S556" s="145" t="str">
        <f t="shared" si="58"/>
        <v>Alto</v>
      </c>
    </row>
    <row r="557" spans="1:19" ht="32.1" customHeight="1">
      <c r="A557" s="474" t="s">
        <v>224</v>
      </c>
      <c r="B557" s="110" t="s">
        <v>1571</v>
      </c>
      <c r="C557" s="502" t="s">
        <v>1572</v>
      </c>
      <c r="D557" s="180">
        <v>280</v>
      </c>
      <c r="E557" s="80"/>
      <c r="F557" s="80">
        <v>93.5</v>
      </c>
      <c r="G557" s="80"/>
      <c r="H557" s="80">
        <v>93.5</v>
      </c>
      <c r="I557" s="80"/>
      <c r="J557" s="80"/>
      <c r="K557" s="80"/>
      <c r="L557" s="80"/>
      <c r="M557" s="80"/>
      <c r="N557" s="80"/>
      <c r="O557" s="80"/>
      <c r="P557" s="80"/>
      <c r="Q557" s="139">
        <f t="shared" si="57"/>
        <v>93.5</v>
      </c>
      <c r="R557" s="154" t="str">
        <f t="shared" si="53"/>
        <v>NO</v>
      </c>
      <c r="S557" s="145" t="str">
        <f t="shared" si="58"/>
        <v>Inviable Sanitariamente</v>
      </c>
    </row>
    <row r="558" spans="1:19" ht="32.1" customHeight="1">
      <c r="A558" s="474" t="s">
        <v>224</v>
      </c>
      <c r="B558" s="110" t="s">
        <v>915</v>
      </c>
      <c r="C558" s="502" t="s">
        <v>1573</v>
      </c>
      <c r="D558" s="180">
        <v>92</v>
      </c>
      <c r="E558" s="80">
        <v>90.3</v>
      </c>
      <c r="F558" s="80">
        <v>90.3</v>
      </c>
      <c r="G558" s="80">
        <v>90.3</v>
      </c>
      <c r="H558" s="80">
        <v>93.5</v>
      </c>
      <c r="I558" s="80">
        <v>98.1</v>
      </c>
      <c r="J558" s="80">
        <v>98.1</v>
      </c>
      <c r="K558" s="80"/>
      <c r="L558" s="80"/>
      <c r="M558" s="80"/>
      <c r="N558" s="80"/>
      <c r="O558" s="80"/>
      <c r="P558" s="80"/>
      <c r="Q558" s="139">
        <f t="shared" si="57"/>
        <v>93.433333333333337</v>
      </c>
      <c r="R558" s="154" t="str">
        <f t="shared" si="53"/>
        <v>NO</v>
      </c>
      <c r="S558" s="145" t="str">
        <f t="shared" si="58"/>
        <v>Inviable Sanitariamente</v>
      </c>
    </row>
    <row r="559" spans="1:19" ht="32.1" customHeight="1">
      <c r="A559" s="474" t="s">
        <v>224</v>
      </c>
      <c r="B559" s="110" t="s">
        <v>1558</v>
      </c>
      <c r="C559" s="502" t="s">
        <v>1574</v>
      </c>
      <c r="D559" s="181">
        <v>56</v>
      </c>
      <c r="E559" s="80"/>
      <c r="F559" s="80"/>
      <c r="G559" s="80">
        <v>53</v>
      </c>
      <c r="H559" s="80"/>
      <c r="I559" s="80"/>
      <c r="J559" s="80">
        <v>53</v>
      </c>
      <c r="K559" s="80"/>
      <c r="L559" s="80"/>
      <c r="M559" s="80"/>
      <c r="N559" s="80"/>
      <c r="O559" s="80"/>
      <c r="P559" s="80"/>
      <c r="Q559" s="139">
        <f t="shared" si="57"/>
        <v>53</v>
      </c>
      <c r="R559" s="154" t="str">
        <f t="shared" si="53"/>
        <v>NO</v>
      </c>
      <c r="S559" s="145" t="str">
        <f t="shared" si="58"/>
        <v>Alto</v>
      </c>
    </row>
    <row r="560" spans="1:19" ht="32.1" customHeight="1">
      <c r="A560" s="474" t="s">
        <v>224</v>
      </c>
      <c r="B560" s="110" t="s">
        <v>1575</v>
      </c>
      <c r="C560" s="502" t="s">
        <v>1576</v>
      </c>
      <c r="D560" s="180">
        <v>20</v>
      </c>
      <c r="E560" s="80"/>
      <c r="F560" s="80"/>
      <c r="G560" s="80"/>
      <c r="H560" s="80"/>
      <c r="I560" s="80"/>
      <c r="J560" s="80"/>
      <c r="K560" s="80"/>
      <c r="L560" s="80"/>
      <c r="M560" s="80"/>
      <c r="N560" s="80"/>
      <c r="O560" s="80">
        <v>97.35</v>
      </c>
      <c r="P560" s="80"/>
      <c r="Q560" s="139">
        <f t="shared" si="57"/>
        <v>97.35</v>
      </c>
      <c r="R560" s="154" t="str">
        <f t="shared" si="53"/>
        <v>NO</v>
      </c>
      <c r="S560" s="145" t="str">
        <f t="shared" si="58"/>
        <v>Inviable Sanitariamente</v>
      </c>
    </row>
    <row r="561" spans="1:19" ht="32.1" customHeight="1">
      <c r="A561" s="474" t="s">
        <v>224</v>
      </c>
      <c r="B561" s="110" t="s">
        <v>1577</v>
      </c>
      <c r="C561" s="502" t="s">
        <v>1578</v>
      </c>
      <c r="D561" s="180">
        <v>98</v>
      </c>
      <c r="E561" s="80"/>
      <c r="F561" s="80">
        <v>0</v>
      </c>
      <c r="G561" s="80"/>
      <c r="H561" s="80"/>
      <c r="I561" s="80"/>
      <c r="J561" s="80"/>
      <c r="K561" s="80"/>
      <c r="L561" s="80"/>
      <c r="M561" s="80"/>
      <c r="N561" s="80"/>
      <c r="O561" s="80"/>
      <c r="P561" s="80"/>
      <c r="Q561" s="139">
        <f t="shared" si="57"/>
        <v>0</v>
      </c>
      <c r="R561" s="154" t="str">
        <f t="shared" ref="R561:R568" si="62">IF(Q561&lt;5,"SI","NO")</f>
        <v>SI</v>
      </c>
      <c r="S561" s="145" t="str">
        <f t="shared" si="58"/>
        <v>Sin Riesgo</v>
      </c>
    </row>
    <row r="562" spans="1:19" ht="32.1" customHeight="1">
      <c r="A562" s="474" t="s">
        <v>224</v>
      </c>
      <c r="B562" s="110" t="s">
        <v>1579</v>
      </c>
      <c r="C562" s="502" t="s">
        <v>1580</v>
      </c>
      <c r="D562" s="181">
        <v>56</v>
      </c>
      <c r="E562" s="80"/>
      <c r="F562" s="80"/>
      <c r="G562" s="80"/>
      <c r="H562" s="80"/>
      <c r="I562" s="80"/>
      <c r="J562" s="80"/>
      <c r="K562" s="80"/>
      <c r="L562" s="80"/>
      <c r="M562" s="80"/>
      <c r="N562" s="80">
        <v>97.35</v>
      </c>
      <c r="O562" s="80"/>
      <c r="P562" s="80"/>
      <c r="Q562" s="139">
        <f t="shared" si="57"/>
        <v>97.35</v>
      </c>
      <c r="R562" s="154" t="str">
        <f t="shared" si="62"/>
        <v>NO</v>
      </c>
      <c r="S562" s="145" t="str">
        <f t="shared" si="58"/>
        <v>Inviable Sanitariamente</v>
      </c>
    </row>
    <row r="563" spans="1:19" ht="32.1" customHeight="1">
      <c r="A563" s="474" t="s">
        <v>224</v>
      </c>
      <c r="B563" s="110" t="s">
        <v>1581</v>
      </c>
      <c r="C563" s="502" t="s">
        <v>1582</v>
      </c>
      <c r="D563" s="180">
        <v>300</v>
      </c>
      <c r="E563" s="80"/>
      <c r="F563" s="80">
        <v>97.3</v>
      </c>
      <c r="G563" s="80"/>
      <c r="H563" s="80"/>
      <c r="I563" s="80"/>
      <c r="J563" s="80"/>
      <c r="K563" s="80"/>
      <c r="L563" s="80"/>
      <c r="M563" s="80"/>
      <c r="N563" s="80"/>
      <c r="O563" s="80"/>
      <c r="P563" s="80"/>
      <c r="Q563" s="139">
        <f t="shared" si="57"/>
        <v>97.3</v>
      </c>
      <c r="R563" s="154" t="str">
        <f t="shared" si="62"/>
        <v>NO</v>
      </c>
      <c r="S563" s="145" t="str">
        <f t="shared" si="58"/>
        <v>Inviable Sanitariamente</v>
      </c>
    </row>
    <row r="564" spans="1:19" ht="32.1" customHeight="1">
      <c r="A564" s="474" t="s">
        <v>224</v>
      </c>
      <c r="B564" s="110" t="s">
        <v>9</v>
      </c>
      <c r="C564" s="502" t="s">
        <v>1583</v>
      </c>
      <c r="D564" s="180">
        <v>85</v>
      </c>
      <c r="E564" s="80"/>
      <c r="F564" s="80"/>
      <c r="G564" s="80"/>
      <c r="H564" s="80"/>
      <c r="I564" s="80"/>
      <c r="J564" s="80"/>
      <c r="K564" s="80"/>
      <c r="L564" s="80"/>
      <c r="M564" s="80">
        <v>97.35</v>
      </c>
      <c r="N564" s="80"/>
      <c r="O564" s="80"/>
      <c r="P564" s="80"/>
      <c r="Q564" s="139">
        <f t="shared" si="57"/>
        <v>97.35</v>
      </c>
      <c r="R564" s="154" t="str">
        <f t="shared" si="62"/>
        <v>NO</v>
      </c>
      <c r="S564" s="145" t="str">
        <f t="shared" si="58"/>
        <v>Inviable Sanitariamente</v>
      </c>
    </row>
    <row r="565" spans="1:19" ht="32.1" customHeight="1">
      <c r="A565" s="474" t="s">
        <v>224</v>
      </c>
      <c r="B565" s="110" t="s">
        <v>1584</v>
      </c>
      <c r="C565" s="502" t="s">
        <v>1585</v>
      </c>
      <c r="D565" s="181">
        <v>128</v>
      </c>
      <c r="E565" s="80"/>
      <c r="F565" s="80">
        <v>93.5</v>
      </c>
      <c r="G565" s="80"/>
      <c r="H565" s="80">
        <v>93.5</v>
      </c>
      <c r="I565" s="80"/>
      <c r="J565" s="80"/>
      <c r="K565" s="80"/>
      <c r="L565" s="80"/>
      <c r="M565" s="80"/>
      <c r="N565" s="80"/>
      <c r="O565" s="80"/>
      <c r="P565" s="80"/>
      <c r="Q565" s="139">
        <f t="shared" si="57"/>
        <v>93.5</v>
      </c>
      <c r="R565" s="154" t="str">
        <f t="shared" si="62"/>
        <v>NO</v>
      </c>
      <c r="S565" s="145" t="str">
        <f t="shared" si="58"/>
        <v>Inviable Sanitariamente</v>
      </c>
    </row>
    <row r="566" spans="1:19" ht="32.1" customHeight="1">
      <c r="A566" s="474" t="s">
        <v>224</v>
      </c>
      <c r="B566" s="110" t="s">
        <v>1586</v>
      </c>
      <c r="C566" s="502" t="s">
        <v>1587</v>
      </c>
      <c r="D566" s="180"/>
      <c r="E566" s="80"/>
      <c r="F566" s="80"/>
      <c r="G566" s="80"/>
      <c r="H566" s="80"/>
      <c r="I566" s="80"/>
      <c r="J566" s="80"/>
      <c r="K566" s="80"/>
      <c r="L566" s="80"/>
      <c r="M566" s="80"/>
      <c r="N566" s="80"/>
      <c r="O566" s="80"/>
      <c r="P566" s="80"/>
      <c r="Q566" s="139" t="e">
        <f t="shared" si="57"/>
        <v>#DIV/0!</v>
      </c>
      <c r="R566" s="144" t="e">
        <f t="shared" si="62"/>
        <v>#DIV/0!</v>
      </c>
      <c r="S566" s="145" t="e">
        <f t="shared" si="58"/>
        <v>#DIV/0!</v>
      </c>
    </row>
    <row r="567" spans="1:19" ht="32.1" customHeight="1">
      <c r="A567" s="420" t="s">
        <v>224</v>
      </c>
      <c r="B567" s="97" t="s">
        <v>1110</v>
      </c>
      <c r="C567" s="111" t="s">
        <v>1588</v>
      </c>
      <c r="D567" s="180"/>
      <c r="E567" s="80"/>
      <c r="F567" s="80"/>
      <c r="G567" s="80"/>
      <c r="H567" s="80"/>
      <c r="I567" s="80"/>
      <c r="J567" s="80"/>
      <c r="K567" s="80"/>
      <c r="L567" s="80"/>
      <c r="M567" s="80"/>
      <c r="N567" s="80"/>
      <c r="O567" s="80"/>
      <c r="P567" s="80">
        <v>97.4</v>
      </c>
      <c r="Q567" s="139">
        <f t="shared" si="57"/>
        <v>97.4</v>
      </c>
      <c r="R567" s="154" t="str">
        <f t="shared" si="62"/>
        <v>NO</v>
      </c>
      <c r="S567" s="145" t="str">
        <f t="shared" si="58"/>
        <v>Inviable Sanitariamente</v>
      </c>
    </row>
    <row r="568" spans="1:19" s="232" customFormat="1" ht="32.1" customHeight="1">
      <c r="A568" s="420" t="s">
        <v>224</v>
      </c>
      <c r="B568" s="97" t="s">
        <v>1589</v>
      </c>
      <c r="C568" s="111" t="s">
        <v>1590</v>
      </c>
      <c r="D568" s="231">
        <v>180</v>
      </c>
      <c r="E568" s="80"/>
      <c r="F568" s="80"/>
      <c r="G568" s="80">
        <v>53</v>
      </c>
      <c r="H568" s="80"/>
      <c r="I568" s="80"/>
      <c r="J568" s="80">
        <v>53</v>
      </c>
      <c r="K568" s="80"/>
      <c r="L568" s="80"/>
      <c r="M568" s="80"/>
      <c r="N568" s="80"/>
      <c r="O568" s="80"/>
      <c r="P568" s="80">
        <v>53</v>
      </c>
      <c r="Q568" s="139">
        <f t="shared" si="57"/>
        <v>53</v>
      </c>
      <c r="R568" s="154" t="str">
        <f t="shared" si="62"/>
        <v>NO</v>
      </c>
      <c r="S568" s="145" t="str">
        <f t="shared" si="58"/>
        <v>Alto</v>
      </c>
    </row>
    <row r="569" spans="1:19" ht="32.1" customHeight="1">
      <c r="A569" s="228"/>
      <c r="B569" s="158"/>
      <c r="C569" s="229"/>
      <c r="D569" s="228"/>
      <c r="E569" s="158"/>
      <c r="F569" s="158"/>
      <c r="G569" s="158"/>
      <c r="H569" s="158"/>
      <c r="I569" s="158"/>
      <c r="J569" s="158"/>
      <c r="K569" s="158"/>
      <c r="L569" s="158"/>
      <c r="M569" s="158"/>
      <c r="N569" s="158"/>
      <c r="O569" s="158"/>
      <c r="P569" s="158"/>
      <c r="Q569" s="190"/>
      <c r="R569" s="191"/>
      <c r="S569" s="192"/>
    </row>
    <row r="570" spans="1:19" ht="36.75" customHeight="1">
      <c r="A570" s="438" t="s">
        <v>4371</v>
      </c>
      <c r="B570" s="438" t="s">
        <v>4432</v>
      </c>
      <c r="C570" s="549" t="s">
        <v>4580</v>
      </c>
      <c r="D570" s="550"/>
      <c r="E570" s="550"/>
      <c r="F570" s="550"/>
      <c r="G570" s="550"/>
      <c r="H570" s="550"/>
      <c r="I570" s="550"/>
      <c r="J570" s="550"/>
      <c r="K570" s="550"/>
      <c r="L570" s="550"/>
      <c r="M570" s="550"/>
      <c r="N570" s="550"/>
      <c r="O570" s="550"/>
      <c r="P570" s="550"/>
      <c r="Q570" s="550"/>
      <c r="R570" s="550"/>
      <c r="S570" s="550"/>
    </row>
    <row r="571" spans="1:19" ht="36.75" customHeight="1">
      <c r="A571" s="442" t="s">
        <v>4313</v>
      </c>
      <c r="B571" s="444">
        <f>COUNTIF(E12:P568,"&lt;=5")</f>
        <v>1325</v>
      </c>
      <c r="C571" s="549"/>
      <c r="D571" s="550"/>
      <c r="E571" s="550"/>
      <c r="F571" s="550"/>
      <c r="G571" s="550"/>
      <c r="H571" s="550"/>
      <c r="I571" s="550"/>
      <c r="J571" s="550"/>
      <c r="K571" s="550"/>
      <c r="L571" s="550"/>
      <c r="M571" s="550"/>
      <c r="N571" s="550"/>
      <c r="O571" s="550"/>
      <c r="P571" s="550"/>
      <c r="Q571" s="550"/>
      <c r="R571" s="550"/>
      <c r="S571" s="550"/>
    </row>
    <row r="572" spans="1:19" ht="36.75" customHeight="1">
      <c r="A572" s="428" t="s">
        <v>4314</v>
      </c>
      <c r="B572" s="441">
        <f>COUNTIFS(E12:P568,"&gt;5",E12:P568,"&lt;=14")</f>
        <v>19</v>
      </c>
      <c r="C572" s="229"/>
      <c r="D572" s="228"/>
      <c r="E572" s="158"/>
      <c r="F572" s="158"/>
      <c r="G572" s="158"/>
      <c r="H572" s="158"/>
      <c r="I572" s="158"/>
      <c r="J572" s="158"/>
      <c r="K572" s="158"/>
      <c r="L572" s="158"/>
      <c r="M572" s="158"/>
      <c r="N572" s="158"/>
      <c r="O572" s="158"/>
      <c r="P572" s="158"/>
      <c r="Q572" s="190"/>
      <c r="R572" s="191"/>
      <c r="S572" s="192"/>
    </row>
    <row r="573" spans="1:19" ht="36.75" customHeight="1">
      <c r="A573" s="429" t="s">
        <v>4315</v>
      </c>
      <c r="B573" s="435">
        <f>COUNTIFS(E12:P568,"&gt;14",E12:P568,"&lt;=35")</f>
        <v>146</v>
      </c>
      <c r="C573" s="229"/>
      <c r="D573" s="228"/>
      <c r="E573" s="158"/>
      <c r="F573" s="158"/>
      <c r="G573" s="158"/>
      <c r="H573" s="158"/>
      <c r="I573" s="158"/>
      <c r="J573" s="158"/>
      <c r="K573" s="158"/>
      <c r="L573" s="158"/>
      <c r="M573" s="158"/>
      <c r="N573" s="158"/>
      <c r="O573" s="158"/>
      <c r="P573" s="158"/>
      <c r="Q573" s="190"/>
      <c r="R573" s="191"/>
      <c r="S573" s="192"/>
    </row>
    <row r="574" spans="1:19" ht="36.75" customHeight="1">
      <c r="A574" s="430" t="s">
        <v>4316</v>
      </c>
      <c r="B574" s="435">
        <f>COUNTIFS(E12:P568,"&gt;35",E12:P568,"&lt;=80")</f>
        <v>125</v>
      </c>
      <c r="C574" s="229"/>
      <c r="D574" s="228"/>
      <c r="E574" s="158"/>
      <c r="F574" s="158"/>
      <c r="G574" s="158"/>
      <c r="H574" s="158"/>
      <c r="I574" s="158"/>
      <c r="J574" s="158"/>
      <c r="K574" s="158"/>
      <c r="L574" s="158"/>
      <c r="M574" s="158"/>
      <c r="N574" s="158"/>
      <c r="O574" s="158"/>
      <c r="P574" s="158"/>
      <c r="Q574" s="190"/>
      <c r="R574" s="191"/>
      <c r="S574" s="192"/>
    </row>
    <row r="575" spans="1:19" ht="36.75" customHeight="1">
      <c r="A575" s="431" t="s">
        <v>4317</v>
      </c>
      <c r="B575" s="435">
        <f>COUNTIFS(E12:P568,"&gt;80",E12:P568,"&lt;=100")</f>
        <v>283</v>
      </c>
      <c r="C575" s="229"/>
      <c r="D575" s="228"/>
      <c r="E575" s="158"/>
      <c r="F575" s="158"/>
      <c r="G575" s="158"/>
      <c r="H575" s="158"/>
      <c r="I575" s="158"/>
      <c r="J575" s="158"/>
      <c r="K575" s="158"/>
      <c r="L575" s="158"/>
      <c r="M575" s="158"/>
      <c r="N575" s="158"/>
      <c r="O575" s="158"/>
      <c r="P575" s="158"/>
      <c r="Q575" s="190"/>
      <c r="R575" s="191"/>
      <c r="S575" s="192"/>
    </row>
    <row r="576" spans="1:19" ht="36.75" customHeight="1">
      <c r="A576" s="451" t="s">
        <v>4318</v>
      </c>
      <c r="B576" s="452">
        <f>COUNT(E12:P568)</f>
        <v>1898</v>
      </c>
      <c r="C576" s="229"/>
      <c r="D576" s="228"/>
      <c r="E576" s="158"/>
      <c r="F576" s="158"/>
      <c r="G576" s="158"/>
      <c r="H576" s="158"/>
      <c r="I576" s="158"/>
      <c r="J576" s="158"/>
      <c r="K576" s="158"/>
      <c r="L576" s="158"/>
      <c r="M576" s="158"/>
      <c r="N576" s="158"/>
      <c r="O576" s="158"/>
      <c r="P576" s="158"/>
      <c r="Q576" s="190"/>
      <c r="R576" s="191"/>
      <c r="S576" s="192"/>
    </row>
    <row r="577" spans="1:19" ht="36.75" customHeight="1">
      <c r="A577" s="434" t="s">
        <v>4321</v>
      </c>
      <c r="B577" s="436">
        <f>B576-B571</f>
        <v>573</v>
      </c>
      <c r="C577" s="229"/>
      <c r="D577" s="228"/>
      <c r="E577" s="158"/>
      <c r="F577" s="158"/>
      <c r="G577" s="158"/>
      <c r="H577" s="158"/>
      <c r="I577" s="158"/>
      <c r="J577" s="158"/>
      <c r="K577" s="158"/>
      <c r="L577" s="158"/>
      <c r="M577" s="158"/>
      <c r="N577" s="158"/>
      <c r="O577" s="158"/>
      <c r="P577" s="158"/>
      <c r="Q577" s="190"/>
      <c r="R577" s="191"/>
      <c r="S577" s="192"/>
    </row>
    <row r="578" spans="1:19" ht="32.1" customHeight="1">
      <c r="A578" s="228"/>
      <c r="B578" s="158"/>
      <c r="C578" s="229"/>
      <c r="D578" s="228"/>
      <c r="E578" s="158"/>
      <c r="F578" s="158"/>
      <c r="G578" s="158"/>
      <c r="H578" s="158"/>
      <c r="I578" s="158"/>
      <c r="J578" s="158"/>
      <c r="K578" s="158"/>
      <c r="L578" s="158"/>
      <c r="M578" s="158"/>
      <c r="N578" s="158"/>
      <c r="O578" s="158"/>
      <c r="P578" s="158"/>
      <c r="Q578" s="190"/>
      <c r="R578" s="191"/>
      <c r="S578" s="192"/>
    </row>
    <row r="579" spans="1:19" ht="32.1" customHeight="1">
      <c r="A579" s="228"/>
      <c r="B579" s="158"/>
      <c r="C579" s="229"/>
      <c r="D579" s="228"/>
      <c r="E579" s="158"/>
      <c r="F579" s="158"/>
      <c r="G579" s="158"/>
      <c r="H579" s="158"/>
      <c r="I579" s="158"/>
      <c r="J579" s="158"/>
      <c r="K579" s="158"/>
      <c r="L579" s="158"/>
      <c r="M579" s="158"/>
      <c r="N579" s="158"/>
      <c r="O579" s="158"/>
      <c r="P579" s="158"/>
      <c r="Q579" s="190"/>
      <c r="R579" s="191"/>
      <c r="S579" s="192"/>
    </row>
    <row r="580" spans="1:19" ht="32.1" customHeight="1">
      <c r="A580" s="228"/>
      <c r="B580" s="158"/>
      <c r="C580" s="229"/>
      <c r="D580" s="228"/>
      <c r="E580" s="158"/>
      <c r="F580" s="158"/>
      <c r="G580" s="158"/>
      <c r="H580" s="158"/>
      <c r="I580" s="158"/>
      <c r="J580" s="158"/>
      <c r="K580" s="158"/>
      <c r="L580" s="158"/>
      <c r="M580" s="158"/>
      <c r="N580" s="158"/>
      <c r="O580" s="158"/>
      <c r="P580" s="158"/>
      <c r="Q580" s="190"/>
      <c r="R580" s="191"/>
      <c r="S580" s="192"/>
    </row>
    <row r="581" spans="1:19" ht="32.1" customHeight="1">
      <c r="A581" s="228"/>
      <c r="B581" s="158"/>
      <c r="C581" s="229"/>
      <c r="D581" s="228"/>
      <c r="E581" s="158"/>
      <c r="F581" s="158"/>
      <c r="G581" s="158"/>
      <c r="H581" s="158"/>
      <c r="I581" s="158"/>
      <c r="J581" s="158"/>
      <c r="K581" s="158"/>
      <c r="L581" s="158"/>
      <c r="M581" s="158"/>
      <c r="N581" s="158"/>
      <c r="O581" s="158"/>
      <c r="P581" s="158"/>
      <c r="Q581" s="190"/>
      <c r="R581" s="191"/>
      <c r="S581" s="192"/>
    </row>
    <row r="582" spans="1:19" ht="32.1" customHeight="1">
      <c r="A582" s="228"/>
      <c r="B582" s="158"/>
      <c r="C582" s="229"/>
      <c r="D582" s="228"/>
      <c r="E582" s="158"/>
      <c r="F582" s="158"/>
      <c r="G582" s="158"/>
      <c r="H582" s="158"/>
      <c r="I582" s="158"/>
      <c r="J582" s="158"/>
      <c r="K582" s="158"/>
      <c r="L582" s="158"/>
      <c r="M582" s="158"/>
      <c r="N582" s="158"/>
      <c r="O582" s="158"/>
      <c r="P582" s="158"/>
      <c r="Q582" s="190"/>
      <c r="R582" s="191"/>
      <c r="S582" s="192"/>
    </row>
    <row r="583" spans="1:19" ht="32.1" customHeight="1">
      <c r="A583" s="228"/>
      <c r="B583" s="158"/>
      <c r="C583" s="229"/>
      <c r="D583" s="228"/>
      <c r="E583" s="158"/>
      <c r="F583" s="158"/>
      <c r="G583" s="158"/>
      <c r="H583" s="158"/>
      <c r="I583" s="158"/>
      <c r="J583" s="158"/>
      <c r="K583" s="158"/>
      <c r="L583" s="158"/>
      <c r="M583" s="158"/>
      <c r="N583" s="158"/>
      <c r="O583" s="158"/>
      <c r="P583" s="158"/>
      <c r="Q583" s="190"/>
      <c r="R583" s="191"/>
      <c r="S583" s="192"/>
    </row>
    <row r="584" spans="1:19" ht="32.1" customHeight="1">
      <c r="A584" s="228"/>
      <c r="B584" s="158"/>
      <c r="C584" s="229"/>
      <c r="D584" s="228"/>
      <c r="E584" s="158"/>
      <c r="F584" s="158"/>
      <c r="G584" s="158"/>
      <c r="H584" s="158"/>
      <c r="I584" s="158"/>
      <c r="J584" s="158"/>
      <c r="K584" s="158"/>
      <c r="L584" s="158"/>
      <c r="M584" s="158"/>
      <c r="N584" s="158"/>
      <c r="O584" s="158"/>
      <c r="P584" s="158"/>
      <c r="Q584" s="190"/>
      <c r="R584" s="191"/>
      <c r="S584" s="192"/>
    </row>
    <row r="585" spans="1:19" ht="32.1" customHeight="1">
      <c r="A585" s="228"/>
      <c r="B585" s="158"/>
      <c r="C585" s="229"/>
      <c r="D585" s="228"/>
      <c r="E585" s="158"/>
      <c r="F585" s="158"/>
      <c r="G585" s="158"/>
      <c r="H585" s="158"/>
      <c r="I585" s="158"/>
      <c r="J585" s="158"/>
      <c r="K585" s="158"/>
      <c r="L585" s="158"/>
      <c r="M585" s="158"/>
      <c r="N585" s="158"/>
      <c r="O585" s="158"/>
      <c r="P585" s="158"/>
      <c r="Q585" s="190"/>
      <c r="R585" s="191"/>
      <c r="S585" s="192"/>
    </row>
    <row r="586" spans="1:19" ht="32.1" customHeight="1">
      <c r="A586" s="228"/>
      <c r="B586" s="158"/>
      <c r="C586" s="229"/>
      <c r="D586" s="228"/>
      <c r="E586" s="158"/>
      <c r="F586" s="158"/>
      <c r="G586" s="158"/>
      <c r="H586" s="158"/>
      <c r="I586" s="158"/>
      <c r="J586" s="158"/>
      <c r="K586" s="158"/>
      <c r="L586" s="158"/>
      <c r="M586" s="158"/>
      <c r="N586" s="158"/>
      <c r="O586" s="158"/>
      <c r="P586" s="158"/>
      <c r="Q586" s="190"/>
      <c r="R586" s="191"/>
      <c r="S586" s="192"/>
    </row>
    <row r="587" spans="1:19" ht="32.1" customHeight="1">
      <c r="A587" s="228"/>
      <c r="B587" s="158"/>
      <c r="C587" s="229"/>
      <c r="D587" s="228"/>
      <c r="E587" s="158"/>
      <c r="F587" s="158"/>
      <c r="G587" s="158"/>
      <c r="H587" s="158"/>
      <c r="I587" s="158"/>
      <c r="J587" s="158"/>
      <c r="K587" s="158"/>
      <c r="L587" s="158"/>
      <c r="M587" s="158"/>
      <c r="N587" s="158"/>
      <c r="O587" s="158"/>
      <c r="P587" s="158"/>
      <c r="Q587" s="190"/>
      <c r="R587" s="191"/>
      <c r="S587" s="192"/>
    </row>
    <row r="588" spans="1:19" ht="32.1" customHeight="1">
      <c r="A588" s="228"/>
      <c r="B588" s="158"/>
      <c r="C588" s="229"/>
      <c r="D588" s="228"/>
      <c r="E588" s="158"/>
      <c r="F588" s="158"/>
      <c r="G588" s="158"/>
      <c r="H588" s="158"/>
      <c r="I588" s="158"/>
      <c r="J588" s="158"/>
      <c r="K588" s="158"/>
      <c r="L588" s="158"/>
      <c r="M588" s="158"/>
      <c r="N588" s="158"/>
      <c r="O588" s="158"/>
      <c r="P588" s="158"/>
      <c r="Q588" s="190"/>
      <c r="R588" s="191"/>
      <c r="S588" s="192"/>
    </row>
    <row r="589" spans="1:19" ht="32.1" customHeight="1">
      <c r="A589" s="228"/>
      <c r="B589" s="158"/>
      <c r="C589" s="229"/>
      <c r="D589" s="228"/>
      <c r="E589" s="158"/>
      <c r="F589" s="158"/>
      <c r="G589" s="158"/>
      <c r="H589" s="158"/>
      <c r="I589" s="158"/>
      <c r="J589" s="158"/>
      <c r="K589" s="158"/>
      <c r="L589" s="158"/>
      <c r="M589" s="158"/>
      <c r="N589" s="158"/>
      <c r="O589" s="158"/>
      <c r="P589" s="158"/>
      <c r="Q589" s="190"/>
      <c r="R589" s="191"/>
      <c r="S589" s="192"/>
    </row>
    <row r="590" spans="1:19" ht="32.1" customHeight="1">
      <c r="A590" s="228"/>
      <c r="B590" s="158"/>
      <c r="C590" s="229"/>
      <c r="D590" s="228"/>
      <c r="E590" s="158"/>
      <c r="F590" s="158"/>
      <c r="G590" s="158"/>
      <c r="H590" s="158"/>
      <c r="I590" s="158"/>
      <c r="J590" s="158"/>
      <c r="K590" s="158"/>
      <c r="L590" s="158"/>
      <c r="M590" s="158"/>
      <c r="N590" s="158"/>
      <c r="O590" s="158"/>
      <c r="P590" s="158"/>
      <c r="Q590" s="190"/>
      <c r="R590" s="191"/>
      <c r="S590" s="192"/>
    </row>
    <row r="591" spans="1:19" ht="32.1" customHeight="1">
      <c r="A591" s="228"/>
      <c r="B591" s="158"/>
      <c r="C591" s="229"/>
      <c r="D591" s="228"/>
      <c r="E591" s="158"/>
      <c r="F591" s="158"/>
      <c r="G591" s="158"/>
      <c r="H591" s="158"/>
      <c r="I591" s="158"/>
      <c r="J591" s="158"/>
      <c r="K591" s="158"/>
      <c r="L591" s="158"/>
      <c r="M591" s="158"/>
      <c r="N591" s="158"/>
      <c r="O591" s="158"/>
      <c r="P591" s="158"/>
      <c r="Q591" s="190"/>
      <c r="R591" s="191"/>
      <c r="S591" s="192"/>
    </row>
    <row r="592" spans="1:19" ht="32.1" customHeight="1">
      <c r="A592" s="228"/>
      <c r="B592" s="158"/>
      <c r="C592" s="229"/>
      <c r="D592" s="228"/>
      <c r="E592" s="158"/>
      <c r="F592" s="158"/>
      <c r="G592" s="158"/>
      <c r="H592" s="158"/>
      <c r="I592" s="158"/>
      <c r="J592" s="158"/>
      <c r="K592" s="158"/>
      <c r="L592" s="158"/>
      <c r="M592" s="158"/>
      <c r="N592" s="158"/>
      <c r="O592" s="158"/>
      <c r="P592" s="158"/>
      <c r="Q592" s="190"/>
      <c r="R592" s="191"/>
      <c r="S592" s="192"/>
    </row>
    <row r="593" spans="1:19" ht="32.1" customHeight="1">
      <c r="A593" s="228"/>
      <c r="B593" s="158"/>
      <c r="C593" s="229"/>
      <c r="D593" s="228"/>
      <c r="E593" s="158"/>
      <c r="F593" s="158"/>
      <c r="G593" s="158"/>
      <c r="H593" s="158"/>
      <c r="I593" s="158"/>
      <c r="J593" s="158"/>
      <c r="K593" s="158"/>
      <c r="L593" s="158"/>
      <c r="M593" s="158"/>
      <c r="N593" s="158"/>
      <c r="O593" s="158"/>
      <c r="P593" s="158"/>
      <c r="Q593" s="190"/>
      <c r="R593" s="191"/>
      <c r="S593" s="192"/>
    </row>
    <row r="594" spans="1:19" ht="32.1" customHeight="1">
      <c r="A594" s="129"/>
      <c r="B594" s="229"/>
      <c r="C594" s="229"/>
      <c r="D594" s="230"/>
      <c r="E594" s="158"/>
      <c r="F594" s="158"/>
      <c r="G594" s="158"/>
      <c r="H594" s="158"/>
      <c r="I594" s="158"/>
      <c r="J594" s="158"/>
      <c r="K594" s="158"/>
      <c r="L594" s="158"/>
      <c r="M594" s="158"/>
      <c r="N594" s="158"/>
      <c r="O594" s="158"/>
      <c r="P594" s="158"/>
      <c r="Q594" s="190"/>
      <c r="R594" s="191"/>
      <c r="S594" s="192"/>
    </row>
    <row r="595" spans="1:19" ht="32.1" customHeight="1">
      <c r="A595" s="129"/>
      <c r="B595" s="229"/>
      <c r="C595" s="229"/>
      <c r="D595" s="230"/>
      <c r="E595" s="158"/>
      <c r="F595" s="158"/>
      <c r="G595" s="158"/>
      <c r="H595" s="158"/>
      <c r="I595" s="158"/>
      <c r="J595" s="158"/>
      <c r="K595" s="158"/>
      <c r="L595" s="158"/>
      <c r="M595" s="158"/>
      <c r="N595" s="158"/>
      <c r="O595" s="158"/>
      <c r="P595" s="158"/>
      <c r="Q595" s="158"/>
      <c r="R595" s="158"/>
      <c r="S595" s="158"/>
    </row>
    <row r="596" spans="1:19" ht="32.1" customHeight="1">
      <c r="A596" s="129"/>
      <c r="B596" s="229"/>
      <c r="C596" s="229"/>
      <c r="D596" s="230"/>
      <c r="E596" s="158"/>
      <c r="F596" s="158"/>
      <c r="G596" s="158"/>
      <c r="H596" s="158"/>
      <c r="I596" s="158"/>
      <c r="J596" s="158"/>
      <c r="K596" s="158"/>
      <c r="L596" s="158"/>
      <c r="M596" s="158"/>
      <c r="N596" s="158"/>
      <c r="O596" s="158"/>
      <c r="P596" s="158"/>
      <c r="Q596" s="158"/>
      <c r="R596" s="158"/>
      <c r="S596" s="158"/>
    </row>
    <row r="597" spans="1:19" ht="32.1" customHeight="1">
      <c r="A597" s="129"/>
      <c r="B597" s="229"/>
      <c r="C597" s="229"/>
      <c r="D597" s="230"/>
      <c r="E597" s="158"/>
      <c r="F597" s="158"/>
      <c r="G597" s="158"/>
      <c r="H597" s="158"/>
      <c r="I597" s="158"/>
      <c r="J597" s="158"/>
      <c r="K597" s="158"/>
      <c r="L597" s="158"/>
      <c r="M597" s="158"/>
      <c r="N597" s="158"/>
      <c r="O597" s="158"/>
      <c r="P597" s="158"/>
      <c r="Q597" s="158"/>
      <c r="R597" s="158"/>
      <c r="S597" s="158"/>
    </row>
    <row r="598" spans="1:19" ht="32.1" customHeight="1">
      <c r="A598" s="129"/>
      <c r="B598" s="229"/>
      <c r="C598" s="229"/>
      <c r="D598" s="230"/>
      <c r="E598" s="158"/>
      <c r="F598" s="158"/>
      <c r="G598" s="158"/>
      <c r="H598" s="158"/>
      <c r="I598" s="158"/>
      <c r="J598" s="158"/>
      <c r="K598" s="158"/>
      <c r="L598" s="158"/>
      <c r="M598" s="158"/>
      <c r="N598" s="158"/>
      <c r="O598" s="158"/>
      <c r="P598" s="158"/>
      <c r="Q598" s="158"/>
      <c r="R598" s="158"/>
      <c r="S598" s="158"/>
    </row>
    <row r="599" spans="1:19" ht="32.1" customHeight="1"/>
    <row r="600" spans="1:19" ht="32.1" customHeight="1"/>
    <row r="601" spans="1:19" ht="32.1" customHeight="1"/>
    <row r="602" spans="1:19" ht="14.25"/>
    <row r="603" spans="1:19" ht="14.25"/>
    <row r="604" spans="1:19" ht="14.25"/>
    <row r="605" spans="1:19" ht="14.25"/>
    <row r="606" spans="1:19" ht="14.25"/>
    <row r="607" spans="1:19" ht="14.25"/>
    <row r="608" spans="1:19" ht="14.25"/>
    <row r="609" ht="14.25"/>
    <row r="610" ht="14.25"/>
    <row r="611" ht="14.25"/>
    <row r="612" ht="14.25"/>
    <row r="613" ht="14.25"/>
    <row r="614" ht="14.25"/>
    <row r="615" ht="14.25"/>
    <row r="616" ht="14.25"/>
    <row r="617" ht="14.25"/>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sheetData>
  <autoFilter ref="A11:W568">
    <sortState ref="A13:W548">
      <sortCondition ref="A11:A570"/>
    </sortState>
  </autoFilter>
  <customSheetViews>
    <customSheetView guid="{45C8AF51-29EC-46A5-AB7F-1F0634E55D82}" scale="60" hiddenRows="1" hiddenColumns="1">
      <pane xSplit="2.484076433121019" ySplit="11" topLeftCell="D14" activePane="bottomRight" state="frozenSplit"/>
      <selection pane="bottomRight" activeCell="S14" sqref="S14"/>
      <pageMargins left="0.28999999999999998" right="0.2" top="0.6692913385826772" bottom="0.9055118110236221" header="0.43" footer="0.59055118110236227"/>
      <printOptions horizontalCentered="1"/>
      <pageSetup paperSize="14" scale="75" orientation="landscape" r:id="rId1"/>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FCC3B493-4306-43B2-9C73-76324485DD47}" scale="60" hiddenRows="1" hiddenColumns="1">
      <pane xSplit="3" ySplit="11" topLeftCell="D407" activePane="bottomRight" state="frozenSplit"/>
      <selection pane="bottomRight" activeCell="I421" sqref="I421"/>
      <pageMargins left="0.28999999999999998" right="0.2" top="0.6692913385826772" bottom="0.9055118110236221" header="0.43" footer="0.59055118110236227"/>
      <printOptions horizontalCentered="1"/>
      <pageSetup paperSize="14" scale="75" orientation="landscape" r:id="rId2"/>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AEDE1BDB-8710-4CDA-8488-31F49D423ACE}" scale="60" hiddenRows="1">
      <pane xSplit="3" ySplit="11" topLeftCell="D537" activePane="bottomRight" state="frozenSplit"/>
      <selection pane="bottomRight" activeCell="D553" sqref="D553"/>
      <pageMargins left="0.28999999999999998" right="0.2" top="0.6692913385826772" bottom="0.9055118110236221" header="0.43" footer="0.59055118110236227"/>
      <printOptions horizontalCentered="1"/>
      <pageSetup paperSize="14" scale="75" orientation="landscape" r:id="rId3"/>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customSheetView>
    <customSheetView guid="{75DD7674-E7DE-4BB1-A36D-76AA33452CB3}" scale="60" showAutoFilter="1" hiddenRows="1" hiddenColumns="1">
      <pane xSplit="3" ySplit="11" topLeftCell="D13" activePane="bottomRight" state="frozenSplit"/>
      <selection pane="bottomRight" activeCell="I3" sqref="I3"/>
      <pageMargins left="0.28999999999999998" right="0.2" top="0.6692913385826772" bottom="0.9055118110236221" header="0.43" footer="0.59055118110236227"/>
      <printOptions horizontalCentered="1"/>
      <pageSetup paperSize="14" scale="75" orientation="landscape" r:id="rId4"/>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autoFilter ref="A11:W548">
        <sortState ref="A13:W548">
          <sortCondition ref="A11:A570"/>
        </sortState>
      </autoFilter>
    </customSheetView>
  </customSheetViews>
  <mergeCells count="23">
    <mergeCell ref="Q10:Q11"/>
    <mergeCell ref="D10:D11"/>
    <mergeCell ref="C570:S571"/>
    <mergeCell ref="Q5:R6"/>
    <mergeCell ref="S5:S6"/>
    <mergeCell ref="S10:S11"/>
    <mergeCell ref="E10:P10"/>
    <mergeCell ref="R10:R11"/>
    <mergeCell ref="E5:G6"/>
    <mergeCell ref="H5:J6"/>
    <mergeCell ref="K5:M6"/>
    <mergeCell ref="N5:P6"/>
    <mergeCell ref="B1:D1"/>
    <mergeCell ref="B2:D2"/>
    <mergeCell ref="B4:D4"/>
    <mergeCell ref="B5:B6"/>
    <mergeCell ref="C5:C6"/>
    <mergeCell ref="D5:D6"/>
    <mergeCell ref="A8:B8"/>
    <mergeCell ref="A10:A11"/>
    <mergeCell ref="B10:B11"/>
    <mergeCell ref="C10:C11"/>
    <mergeCell ref="A7:B7"/>
  </mergeCells>
  <conditionalFormatting sqref="R132:R143 R275:R345 R234:R273 R203:R231 R348:R422 R149:R201">
    <cfRule type="cellIs" dxfId="2953" priority="5392" stopIfTrue="1" operator="equal">
      <formula>"NO"</formula>
    </cfRule>
  </conditionalFormatting>
  <conditionalFormatting sqref="S132:S143 S149:S201 S203:S345 S505:S547 S551:S568 S348:S440 S443:S451 S453:S503">
    <cfRule type="cellIs" dxfId="2952" priority="5393" stopIfTrue="1" operator="equal">
      <formula>"INVIABLE SANITARIAMENTE"</formula>
    </cfRule>
  </conditionalFormatting>
  <conditionalFormatting sqref="E162:P162 E197:P201 E208:P212 E277:P281 E284:P285 E286:H286 J286:P286 E219:P232 E115:K115 P113:P115 N113:N115 E113:H114 J113:K114 E116:P133">
    <cfRule type="containsBlanks" dxfId="2951" priority="5385" stopIfTrue="1">
      <formula>LEN(TRIM(E113))=0</formula>
    </cfRule>
    <cfRule type="cellIs" dxfId="2950" priority="5386" stopIfTrue="1" operator="between">
      <formula>79.1</formula>
      <formula>100</formula>
    </cfRule>
    <cfRule type="cellIs" dxfId="2949" priority="5387" stopIfTrue="1" operator="between">
      <formula>34.1</formula>
      <formula>79</formula>
    </cfRule>
    <cfRule type="cellIs" dxfId="2948" priority="5388" stopIfTrue="1" operator="between">
      <formula>13.1</formula>
      <formula>34</formula>
    </cfRule>
    <cfRule type="cellIs" dxfId="2947" priority="5389" stopIfTrue="1" operator="between">
      <formula>5.1</formula>
      <formula>13</formula>
    </cfRule>
    <cfRule type="cellIs" dxfId="2946" priority="5390" stopIfTrue="1" operator="between">
      <formula>0</formula>
      <formula>5</formula>
    </cfRule>
    <cfRule type="containsBlanks" dxfId="2945" priority="5391" stopIfTrue="1">
      <formula>LEN(TRIM(E113))=0</formula>
    </cfRule>
  </conditionalFormatting>
  <conditionalFormatting sqref="E241:P241 E249:P250 E254:P254 F267:P267 E271:P272 E303:P306 E300:P300 E72:P76 E269:Q269 E275:Q275 E234:Q237 E338:P345 Q13:Q67 E431:P433 Q149:Q201 Q203:Q345 E505:Q547 E551:Q568 Q71:Q106 Q108 Q110:Q143 E348:Q422 E434:Q440 E443:Q451 E453:Q503">
    <cfRule type="containsBlanks" dxfId="2944" priority="5378" stopIfTrue="1">
      <formula>LEN(TRIM(E13))=0</formula>
    </cfRule>
    <cfRule type="cellIs" dxfId="2943" priority="5379" stopIfTrue="1" operator="between">
      <formula>80.1</formula>
      <formula>100</formula>
    </cfRule>
    <cfRule type="cellIs" dxfId="2942" priority="5380" stopIfTrue="1" operator="between">
      <formula>35.1</formula>
      <formula>80</formula>
    </cfRule>
    <cfRule type="cellIs" dxfId="2941" priority="5381" stopIfTrue="1" operator="between">
      <formula>14.1</formula>
      <formula>35</formula>
    </cfRule>
    <cfRule type="cellIs" dxfId="2940" priority="5382" stopIfTrue="1" operator="between">
      <formula>5.1</formula>
      <formula>14</formula>
    </cfRule>
    <cfRule type="cellIs" dxfId="2939" priority="5383" stopIfTrue="1" operator="between">
      <formula>0</formula>
      <formula>5</formula>
    </cfRule>
    <cfRule type="containsBlanks" dxfId="2938" priority="5384" stopIfTrue="1">
      <formula>LEN(TRIM(E13))=0</formula>
    </cfRule>
  </conditionalFormatting>
  <conditionalFormatting sqref="S132:S143 S149:S201 S203:S345 S505:S547 S551:S568 S348:S440 S443:S451 S453:S503">
    <cfRule type="containsText" dxfId="2937" priority="5373" stopIfTrue="1" operator="containsText" text="INVIABLE SANITARIAMENTE">
      <formula>NOT(ISERROR(SEARCH("INVIABLE SANITARIAMENTE",S132)))</formula>
    </cfRule>
    <cfRule type="containsText" dxfId="2936" priority="5374" stopIfTrue="1" operator="containsText" text="ALTO">
      <formula>NOT(ISERROR(SEARCH("ALTO",S132)))</formula>
    </cfRule>
    <cfRule type="containsText" dxfId="2935" priority="5375" stopIfTrue="1" operator="containsText" text="MEDIO">
      <formula>NOT(ISERROR(SEARCH("MEDIO",S132)))</formula>
    </cfRule>
    <cfRule type="containsText" dxfId="2934" priority="5376" stopIfTrue="1" operator="containsText" text="BAJO">
      <formula>NOT(ISERROR(SEARCH("BAJO",S132)))</formula>
    </cfRule>
    <cfRule type="containsText" dxfId="2933" priority="5377" stopIfTrue="1" operator="containsText" text="SIN RIESGO">
      <formula>NOT(ISERROR(SEARCH("SIN RIESGO",S132)))</formula>
    </cfRule>
  </conditionalFormatting>
  <conditionalFormatting sqref="S132:S143 S149:S201 S203:S345 S505:S547 S551:S568 S348:S440 S443:S451 S453:S503">
    <cfRule type="containsText" dxfId="2932" priority="5372" stopIfTrue="1" operator="containsText" text="SIN RIESGO">
      <formula>NOT(ISERROR(SEARCH("SIN RIESGO",S132)))</formula>
    </cfRule>
  </conditionalFormatting>
  <conditionalFormatting sqref="E134:P134 E135:J138">
    <cfRule type="containsBlanks" dxfId="2931" priority="5351" stopIfTrue="1">
      <formula>LEN(TRIM(E134))=0</formula>
    </cfRule>
    <cfRule type="cellIs" dxfId="2930" priority="5352" stopIfTrue="1" operator="between">
      <formula>79.1</formula>
      <formula>100</formula>
    </cfRule>
    <cfRule type="cellIs" dxfId="2929" priority="5353" stopIfTrue="1" operator="between">
      <formula>34.1</formula>
      <formula>79</formula>
    </cfRule>
    <cfRule type="cellIs" dxfId="2928" priority="5354" stopIfTrue="1" operator="between">
      <formula>13.1</formula>
      <formula>34</formula>
    </cfRule>
    <cfRule type="cellIs" dxfId="2927" priority="5355" stopIfTrue="1" operator="between">
      <formula>5.1</formula>
      <formula>13</formula>
    </cfRule>
    <cfRule type="cellIs" dxfId="2926" priority="5356" stopIfTrue="1" operator="between">
      <formula>0</formula>
      <formula>5</formula>
    </cfRule>
    <cfRule type="containsBlanks" dxfId="2925" priority="5357" stopIfTrue="1">
      <formula>LEN(TRIM(E134))=0</formula>
    </cfRule>
  </conditionalFormatting>
  <conditionalFormatting sqref="E327:P329">
    <cfRule type="containsBlanks" dxfId="2924" priority="5330" stopIfTrue="1">
      <formula>LEN(TRIM(E327))=0</formula>
    </cfRule>
    <cfRule type="cellIs" dxfId="2923" priority="5331" stopIfTrue="1" operator="between">
      <formula>79.1</formula>
      <formula>100</formula>
    </cfRule>
    <cfRule type="cellIs" dxfId="2922" priority="5332" stopIfTrue="1" operator="between">
      <formula>34.1</formula>
      <formula>79</formula>
    </cfRule>
    <cfRule type="cellIs" dxfId="2921" priority="5333" stopIfTrue="1" operator="between">
      <formula>13.1</formula>
      <formula>34</formula>
    </cfRule>
    <cfRule type="cellIs" dxfId="2920" priority="5334" stopIfTrue="1" operator="between">
      <formula>5.1</formula>
      <formula>13</formula>
    </cfRule>
    <cfRule type="cellIs" dxfId="2919" priority="5335" stopIfTrue="1" operator="between">
      <formula>0</formula>
      <formula>5</formula>
    </cfRule>
    <cfRule type="containsBlanks" dxfId="2918" priority="5336" stopIfTrue="1">
      <formula>LEN(TRIM(E327))=0</formula>
    </cfRule>
  </conditionalFormatting>
  <conditionalFormatting sqref="E369:P369 M379:P379 K377:P377 J376:P376 J378:P378 K375:P375 E383:P383 N380:P380 O374:P374 L370:P373 O384:P384">
    <cfRule type="containsBlanks" dxfId="2917" priority="5323" stopIfTrue="1">
      <formula>LEN(TRIM(E369))=0</formula>
    </cfRule>
    <cfRule type="cellIs" dxfId="2916" priority="5324" stopIfTrue="1" operator="between">
      <formula>79.1</formula>
      <formula>100</formula>
    </cfRule>
    <cfRule type="cellIs" dxfId="2915" priority="5325" stopIfTrue="1" operator="between">
      <formula>34.1</formula>
      <formula>79</formula>
    </cfRule>
    <cfRule type="cellIs" dxfId="2914" priority="5326" stopIfTrue="1" operator="between">
      <formula>13.1</formula>
      <formula>34</formula>
    </cfRule>
    <cfRule type="cellIs" dxfId="2913" priority="5327" stopIfTrue="1" operator="between">
      <formula>5.1</formula>
      <formula>13</formula>
    </cfRule>
    <cfRule type="cellIs" dxfId="2912" priority="5328" stopIfTrue="1" operator="between">
      <formula>0</formula>
      <formula>5</formula>
    </cfRule>
    <cfRule type="containsBlanks" dxfId="2911" priority="5329" stopIfTrue="1">
      <formula>LEN(TRIM(E369))=0</formula>
    </cfRule>
  </conditionalFormatting>
  <conditionalFormatting sqref="E391:J392">
    <cfRule type="containsBlanks" dxfId="2910" priority="5316" stopIfTrue="1">
      <formula>LEN(TRIM(E391))=0</formula>
    </cfRule>
    <cfRule type="cellIs" dxfId="2909" priority="5317" stopIfTrue="1" operator="between">
      <formula>79.1</formula>
      <formula>100</formula>
    </cfRule>
    <cfRule type="cellIs" dxfId="2908" priority="5318" stopIfTrue="1" operator="between">
      <formula>34.1</formula>
      <formula>79</formula>
    </cfRule>
    <cfRule type="cellIs" dxfId="2907" priority="5319" stopIfTrue="1" operator="between">
      <formula>13.1</formula>
      <formula>34</formula>
    </cfRule>
    <cfRule type="cellIs" dxfId="2906" priority="5320" stopIfTrue="1" operator="between">
      <formula>5.1</formula>
      <formula>13</formula>
    </cfRule>
    <cfRule type="cellIs" dxfId="2905" priority="5321" stopIfTrue="1" operator="between">
      <formula>0</formula>
      <formula>5</formula>
    </cfRule>
    <cfRule type="containsBlanks" dxfId="2904" priority="5322" stopIfTrue="1">
      <formula>LEN(TRIM(E391))=0</formula>
    </cfRule>
  </conditionalFormatting>
  <conditionalFormatting sqref="E422:P422 P419 E420:G421 O420:P421">
    <cfRule type="containsBlanks" dxfId="2903" priority="5309" stopIfTrue="1">
      <formula>LEN(TRIM(E419))=0</formula>
    </cfRule>
    <cfRule type="cellIs" dxfId="2902" priority="5310" stopIfTrue="1" operator="between">
      <formula>79.1</formula>
      <formula>100</formula>
    </cfRule>
    <cfRule type="cellIs" dxfId="2901" priority="5311" stopIfTrue="1" operator="between">
      <formula>34.1</formula>
      <formula>79</formula>
    </cfRule>
    <cfRule type="cellIs" dxfId="2900" priority="5312" stopIfTrue="1" operator="between">
      <formula>13.1</formula>
      <formula>34</formula>
    </cfRule>
    <cfRule type="cellIs" dxfId="2899" priority="5313" stopIfTrue="1" operator="between">
      <formula>5.1</formula>
      <formula>13</formula>
    </cfRule>
    <cfRule type="cellIs" dxfId="2898" priority="5314" stopIfTrue="1" operator="between">
      <formula>0</formula>
      <formula>5</formula>
    </cfRule>
    <cfRule type="containsBlanks" dxfId="2897" priority="5315" stopIfTrue="1">
      <formula>LEN(TRIM(E419))=0</formula>
    </cfRule>
  </conditionalFormatting>
  <conditionalFormatting sqref="R140">
    <cfRule type="cellIs" dxfId="2896" priority="5140" stopIfTrue="1" operator="equal">
      <formula>"NO"</formula>
    </cfRule>
  </conditionalFormatting>
  <conditionalFormatting sqref="R135">
    <cfRule type="cellIs" dxfId="2895" priority="5125" stopIfTrue="1" operator="equal">
      <formula>"NO"</formula>
    </cfRule>
  </conditionalFormatting>
  <conditionalFormatting sqref="F135:P135">
    <cfRule type="containsBlanks" dxfId="2894" priority="5118" stopIfTrue="1">
      <formula>LEN(TRIM(F135))=0</formula>
    </cfRule>
    <cfRule type="cellIs" dxfId="2893" priority="5119" stopIfTrue="1" operator="between">
      <formula>80.1</formula>
      <formula>100</formula>
    </cfRule>
    <cfRule type="cellIs" dxfId="2892" priority="5120" stopIfTrue="1" operator="between">
      <formula>35.1</formula>
      <formula>80</formula>
    </cfRule>
    <cfRule type="cellIs" dxfId="2891" priority="5121" stopIfTrue="1" operator="between">
      <formula>14.1</formula>
      <formula>35</formula>
    </cfRule>
    <cfRule type="cellIs" dxfId="2890" priority="5122" stopIfTrue="1" operator="between">
      <formula>5.1</formula>
      <formula>14</formula>
    </cfRule>
    <cfRule type="cellIs" dxfId="2889" priority="5123" stopIfTrue="1" operator="between">
      <formula>0</formula>
      <formula>5</formula>
    </cfRule>
    <cfRule type="containsBlanks" dxfId="2888" priority="5124" stopIfTrue="1">
      <formula>LEN(TRIM(F135))=0</formula>
    </cfRule>
  </conditionalFormatting>
  <conditionalFormatting sqref="E135">
    <cfRule type="containsBlanks" dxfId="2887" priority="5111" stopIfTrue="1">
      <formula>LEN(TRIM(E135))=0</formula>
    </cfRule>
    <cfRule type="cellIs" dxfId="2886" priority="5112" stopIfTrue="1" operator="between">
      <formula>80.1</formula>
      <formula>100</formula>
    </cfRule>
    <cfRule type="cellIs" dxfId="2885" priority="5113" stopIfTrue="1" operator="between">
      <formula>35.1</formula>
      <formula>80</formula>
    </cfRule>
    <cfRule type="cellIs" dxfId="2884" priority="5114" stopIfTrue="1" operator="between">
      <formula>14.1</formula>
      <formula>35</formula>
    </cfRule>
    <cfRule type="cellIs" dxfId="2883" priority="5115" stopIfTrue="1" operator="between">
      <formula>5.1</formula>
      <formula>14</formula>
    </cfRule>
    <cfRule type="cellIs" dxfId="2882" priority="5116" stopIfTrue="1" operator="between">
      <formula>0</formula>
      <formula>5</formula>
    </cfRule>
    <cfRule type="containsBlanks" dxfId="2881" priority="5117" stopIfTrue="1">
      <formula>LEN(TRIM(E135))=0</formula>
    </cfRule>
  </conditionalFormatting>
  <conditionalFormatting sqref="R136">
    <cfRule type="cellIs" dxfId="2880" priority="5110" stopIfTrue="1" operator="equal">
      <formula>"NO"</formula>
    </cfRule>
  </conditionalFormatting>
  <conditionalFormatting sqref="F136:P136">
    <cfRule type="containsBlanks" dxfId="2879" priority="5103" stopIfTrue="1">
      <formula>LEN(TRIM(F136))=0</formula>
    </cfRule>
    <cfRule type="cellIs" dxfId="2878" priority="5104" stopIfTrue="1" operator="between">
      <formula>80.1</formula>
      <formula>100</formula>
    </cfRule>
    <cfRule type="cellIs" dxfId="2877" priority="5105" stopIfTrue="1" operator="between">
      <formula>35.1</formula>
      <formula>80</formula>
    </cfRule>
    <cfRule type="cellIs" dxfId="2876" priority="5106" stopIfTrue="1" operator="between">
      <formula>14.1</formula>
      <formula>35</formula>
    </cfRule>
    <cfRule type="cellIs" dxfId="2875" priority="5107" stopIfTrue="1" operator="between">
      <formula>5.1</formula>
      <formula>14</formula>
    </cfRule>
    <cfRule type="cellIs" dxfId="2874" priority="5108" stopIfTrue="1" operator="between">
      <formula>0</formula>
      <formula>5</formula>
    </cfRule>
    <cfRule type="containsBlanks" dxfId="2873" priority="5109" stopIfTrue="1">
      <formula>LEN(TRIM(F136))=0</formula>
    </cfRule>
  </conditionalFormatting>
  <conditionalFormatting sqref="E136">
    <cfRule type="containsBlanks" dxfId="2872" priority="5096" stopIfTrue="1">
      <formula>LEN(TRIM(E136))=0</formula>
    </cfRule>
    <cfRule type="cellIs" dxfId="2871" priority="5097" stopIfTrue="1" operator="between">
      <formula>80.1</formula>
      <formula>100</formula>
    </cfRule>
    <cfRule type="cellIs" dxfId="2870" priority="5098" stopIfTrue="1" operator="between">
      <formula>35.1</formula>
      <formula>80</formula>
    </cfRule>
    <cfRule type="cellIs" dxfId="2869" priority="5099" stopIfTrue="1" operator="between">
      <formula>14.1</formula>
      <formula>35</formula>
    </cfRule>
    <cfRule type="cellIs" dxfId="2868" priority="5100" stopIfTrue="1" operator="between">
      <formula>5.1</formula>
      <formula>14</formula>
    </cfRule>
    <cfRule type="cellIs" dxfId="2867" priority="5101" stopIfTrue="1" operator="between">
      <formula>0</formula>
      <formula>5</formula>
    </cfRule>
    <cfRule type="containsBlanks" dxfId="2866" priority="5102" stopIfTrue="1">
      <formula>LEN(TRIM(E136))=0</formula>
    </cfRule>
  </conditionalFormatting>
  <conditionalFormatting sqref="R137">
    <cfRule type="cellIs" dxfId="2865" priority="5095" stopIfTrue="1" operator="equal">
      <formula>"NO"</formula>
    </cfRule>
  </conditionalFormatting>
  <conditionalFormatting sqref="F137:P137">
    <cfRule type="containsBlanks" dxfId="2864" priority="5088" stopIfTrue="1">
      <formula>LEN(TRIM(F137))=0</formula>
    </cfRule>
    <cfRule type="cellIs" dxfId="2863" priority="5089" stopIfTrue="1" operator="between">
      <formula>80.1</formula>
      <formula>100</formula>
    </cfRule>
    <cfRule type="cellIs" dxfId="2862" priority="5090" stopIfTrue="1" operator="between">
      <formula>35.1</formula>
      <formula>80</formula>
    </cfRule>
    <cfRule type="cellIs" dxfId="2861" priority="5091" stopIfTrue="1" operator="between">
      <formula>14.1</formula>
      <formula>35</formula>
    </cfRule>
    <cfRule type="cellIs" dxfId="2860" priority="5092" stopIfTrue="1" operator="between">
      <formula>5.1</formula>
      <formula>14</formula>
    </cfRule>
    <cfRule type="cellIs" dxfId="2859" priority="5093" stopIfTrue="1" operator="between">
      <formula>0</formula>
      <formula>5</formula>
    </cfRule>
    <cfRule type="containsBlanks" dxfId="2858" priority="5094" stopIfTrue="1">
      <formula>LEN(TRIM(F137))=0</formula>
    </cfRule>
  </conditionalFormatting>
  <conditionalFormatting sqref="E137">
    <cfRule type="containsBlanks" dxfId="2857" priority="5081" stopIfTrue="1">
      <formula>LEN(TRIM(E137))=0</formula>
    </cfRule>
    <cfRule type="cellIs" dxfId="2856" priority="5082" stopIfTrue="1" operator="between">
      <formula>80.1</formula>
      <formula>100</formula>
    </cfRule>
    <cfRule type="cellIs" dxfId="2855" priority="5083" stopIfTrue="1" operator="between">
      <formula>35.1</formula>
      <formula>80</formula>
    </cfRule>
    <cfRule type="cellIs" dxfId="2854" priority="5084" stopIfTrue="1" operator="between">
      <formula>14.1</formula>
      <formula>35</formula>
    </cfRule>
    <cfRule type="cellIs" dxfId="2853" priority="5085" stopIfTrue="1" operator="between">
      <formula>5.1</formula>
      <formula>14</formula>
    </cfRule>
    <cfRule type="cellIs" dxfId="2852" priority="5086" stopIfTrue="1" operator="between">
      <formula>0</formula>
      <formula>5</formula>
    </cfRule>
    <cfRule type="containsBlanks" dxfId="2851" priority="5087" stopIfTrue="1">
      <formula>LEN(TRIM(E137))=0</formula>
    </cfRule>
  </conditionalFormatting>
  <conditionalFormatting sqref="R138">
    <cfRule type="cellIs" dxfId="2850" priority="5080" stopIfTrue="1" operator="equal">
      <formula>"NO"</formula>
    </cfRule>
  </conditionalFormatting>
  <conditionalFormatting sqref="F138:P138">
    <cfRule type="containsBlanks" dxfId="2849" priority="5073" stopIfTrue="1">
      <formula>LEN(TRIM(F138))=0</formula>
    </cfRule>
    <cfRule type="cellIs" dxfId="2848" priority="5074" stopIfTrue="1" operator="between">
      <formula>80.1</formula>
      <formula>100</formula>
    </cfRule>
    <cfRule type="cellIs" dxfId="2847" priority="5075" stopIfTrue="1" operator="between">
      <formula>35.1</formula>
      <formula>80</formula>
    </cfRule>
    <cfRule type="cellIs" dxfId="2846" priority="5076" stopIfTrue="1" operator="between">
      <formula>14.1</formula>
      <formula>35</formula>
    </cfRule>
    <cfRule type="cellIs" dxfId="2845" priority="5077" stopIfTrue="1" operator="between">
      <formula>5.1</formula>
      <formula>14</formula>
    </cfRule>
    <cfRule type="cellIs" dxfId="2844" priority="5078" stopIfTrue="1" operator="between">
      <formula>0</formula>
      <formula>5</formula>
    </cfRule>
    <cfRule type="containsBlanks" dxfId="2843" priority="5079" stopIfTrue="1">
      <formula>LEN(TRIM(F138))=0</formula>
    </cfRule>
  </conditionalFormatting>
  <conditionalFormatting sqref="E138">
    <cfRule type="containsBlanks" dxfId="2842" priority="5066" stopIfTrue="1">
      <formula>LEN(TRIM(E138))=0</formula>
    </cfRule>
    <cfRule type="cellIs" dxfId="2841" priority="5067" stopIfTrue="1" operator="between">
      <formula>80.1</formula>
      <formula>100</formula>
    </cfRule>
    <cfRule type="cellIs" dxfId="2840" priority="5068" stopIfTrue="1" operator="between">
      <formula>35.1</formula>
      <formula>80</formula>
    </cfRule>
    <cfRule type="cellIs" dxfId="2839" priority="5069" stopIfTrue="1" operator="between">
      <formula>14.1</formula>
      <formula>35</formula>
    </cfRule>
    <cfRule type="cellIs" dxfId="2838" priority="5070" stopIfTrue="1" operator="between">
      <formula>5.1</formula>
      <formula>14</formula>
    </cfRule>
    <cfRule type="cellIs" dxfId="2837" priority="5071" stopIfTrue="1" operator="between">
      <formula>0</formula>
      <formula>5</formula>
    </cfRule>
    <cfRule type="containsBlanks" dxfId="2836" priority="5072" stopIfTrue="1">
      <formula>LEN(TRIM(E138))=0</formula>
    </cfRule>
  </conditionalFormatting>
  <conditionalFormatting sqref="R139">
    <cfRule type="cellIs" dxfId="2835" priority="5065" stopIfTrue="1" operator="equal">
      <formula>"NO"</formula>
    </cfRule>
  </conditionalFormatting>
  <conditionalFormatting sqref="E369:J369 J376 J378 E383:J383">
    <cfRule type="containsBlanks" dxfId="2834" priority="4993" stopIfTrue="1">
      <formula>LEN(TRIM(E369))=0</formula>
    </cfRule>
    <cfRule type="cellIs" dxfId="2833" priority="4994" stopIfTrue="1" operator="between">
      <formula>80.1</formula>
      <formula>100</formula>
    </cfRule>
    <cfRule type="cellIs" dxfId="2832" priority="4995" stopIfTrue="1" operator="between">
      <formula>35.1</formula>
      <formula>80</formula>
    </cfRule>
    <cfRule type="cellIs" dxfId="2831" priority="4996" stopIfTrue="1" operator="between">
      <formula>14.1</formula>
      <formula>35</formula>
    </cfRule>
    <cfRule type="cellIs" dxfId="2830" priority="4997" stopIfTrue="1" operator="between">
      <formula>5.1</formula>
      <formula>14</formula>
    </cfRule>
    <cfRule type="cellIs" dxfId="2829" priority="4998" stopIfTrue="1" operator="between">
      <formula>0</formula>
      <formula>5</formula>
    </cfRule>
    <cfRule type="containsBlanks" dxfId="2828" priority="4999" stopIfTrue="1">
      <formula>LEN(TRIM(E369))=0</formula>
    </cfRule>
  </conditionalFormatting>
  <conditionalFormatting sqref="E233:P233">
    <cfRule type="containsBlanks" dxfId="2827" priority="4832" stopIfTrue="1">
      <formula>LEN(TRIM(E233))=0</formula>
    </cfRule>
    <cfRule type="cellIs" dxfId="2826" priority="4833" stopIfTrue="1" operator="between">
      <formula>79.1</formula>
      <formula>100</formula>
    </cfRule>
    <cfRule type="cellIs" dxfId="2825" priority="4834" stopIfTrue="1" operator="between">
      <formula>34.1</formula>
      <formula>79</formula>
    </cfRule>
    <cfRule type="cellIs" dxfId="2824" priority="4835" stopIfTrue="1" operator="between">
      <formula>13.1</formula>
      <formula>34</formula>
    </cfRule>
    <cfRule type="cellIs" dxfId="2823" priority="4836" stopIfTrue="1" operator="between">
      <formula>5.1</formula>
      <formula>13</formula>
    </cfRule>
    <cfRule type="cellIs" dxfId="2822" priority="4837" stopIfTrue="1" operator="between">
      <formula>0</formula>
      <formula>5</formula>
    </cfRule>
    <cfRule type="containsBlanks" dxfId="2821" priority="4838" stopIfTrue="1">
      <formula>LEN(TRIM(E233))=0</formula>
    </cfRule>
  </conditionalFormatting>
  <conditionalFormatting sqref="E233:G233">
    <cfRule type="containsBlanks" dxfId="2820" priority="4825" stopIfTrue="1">
      <formula>LEN(TRIM(E233))=0</formula>
    </cfRule>
    <cfRule type="cellIs" dxfId="2819" priority="4826" stopIfTrue="1" operator="between">
      <formula>79.1</formula>
      <formula>100</formula>
    </cfRule>
    <cfRule type="cellIs" dxfId="2818" priority="4827" stopIfTrue="1" operator="between">
      <formula>34.1</formula>
      <formula>79</formula>
    </cfRule>
    <cfRule type="cellIs" dxfId="2817" priority="4828" stopIfTrue="1" operator="between">
      <formula>13.1</formula>
      <formula>34</formula>
    </cfRule>
    <cfRule type="cellIs" dxfId="2816" priority="4829" stopIfTrue="1" operator="between">
      <formula>5.1</formula>
      <formula>13</formula>
    </cfRule>
    <cfRule type="cellIs" dxfId="2815" priority="4830" stopIfTrue="1" operator="between">
      <formula>0</formula>
      <formula>5</formula>
    </cfRule>
    <cfRule type="containsBlanks" dxfId="2814" priority="4831" stopIfTrue="1">
      <formula>LEN(TRIM(E233))=0</formula>
    </cfRule>
  </conditionalFormatting>
  <conditionalFormatting sqref="E187:P187 E205:P205">
    <cfRule type="containsBlanks" dxfId="2813" priority="4839" stopIfTrue="1">
      <formula>LEN(TRIM(E187))=0</formula>
    </cfRule>
    <cfRule type="cellIs" dxfId="2812" priority="4840" stopIfTrue="1" operator="between">
      <formula>79.1</formula>
      <formula>100</formula>
    </cfRule>
    <cfRule type="cellIs" dxfId="2811" priority="4841" stopIfTrue="1" operator="between">
      <formula>34.1</formula>
      <formula>79</formula>
    </cfRule>
    <cfRule type="cellIs" dxfId="2810" priority="4842" stopIfTrue="1" operator="between">
      <formula>13.1</formula>
      <formula>34</formula>
    </cfRule>
    <cfRule type="cellIs" dxfId="2809" priority="4843" stopIfTrue="1" operator="between">
      <formula>5.1</formula>
      <formula>13</formula>
    </cfRule>
    <cfRule type="cellIs" dxfId="2808" priority="4844" stopIfTrue="1" operator="between">
      <formula>0</formula>
      <formula>5</formula>
    </cfRule>
    <cfRule type="containsBlanks" dxfId="2807" priority="4845" stopIfTrue="1">
      <formula>LEN(TRIM(E187))=0</formula>
    </cfRule>
  </conditionalFormatting>
  <conditionalFormatting sqref="E291 E287:P288 G291:P291 E282:P283 E292:P293 E290:P290 E289">
    <cfRule type="containsBlanks" dxfId="2806" priority="4804" stopIfTrue="1">
      <formula>LEN(TRIM(E282))=0</formula>
    </cfRule>
    <cfRule type="cellIs" dxfId="2805" priority="4805" stopIfTrue="1" operator="between">
      <formula>79.1</formula>
      <formula>100</formula>
    </cfRule>
    <cfRule type="cellIs" dxfId="2804" priority="4806" stopIfTrue="1" operator="between">
      <formula>34.1</formula>
      <formula>79</formula>
    </cfRule>
    <cfRule type="cellIs" dxfId="2803" priority="4807" stopIfTrue="1" operator="between">
      <formula>13.1</formula>
      <formula>34</formula>
    </cfRule>
    <cfRule type="cellIs" dxfId="2802" priority="4808" stopIfTrue="1" operator="between">
      <formula>5.1</formula>
      <formula>13</formula>
    </cfRule>
    <cfRule type="cellIs" dxfId="2801" priority="4809" stopIfTrue="1" operator="between">
      <formula>0</formula>
      <formula>5</formula>
    </cfRule>
    <cfRule type="containsBlanks" dxfId="2800" priority="4810" stopIfTrue="1">
      <formula>LEN(TRIM(E282))=0</formula>
    </cfRule>
  </conditionalFormatting>
  <conditionalFormatting sqref="K391:P392">
    <cfRule type="containsBlanks" dxfId="2799" priority="4727" stopIfTrue="1">
      <formula>LEN(TRIM(K391))=0</formula>
    </cfRule>
    <cfRule type="cellIs" dxfId="2798" priority="4728" stopIfTrue="1" operator="between">
      <formula>79.1</formula>
      <formula>100</formula>
    </cfRule>
    <cfRule type="cellIs" dxfId="2797" priority="4729" stopIfTrue="1" operator="between">
      <formula>34.1</formula>
      <formula>79</formula>
    </cfRule>
    <cfRule type="cellIs" dxfId="2796" priority="4730" stopIfTrue="1" operator="between">
      <formula>13.1</formula>
      <formula>34</formula>
    </cfRule>
    <cfRule type="cellIs" dxfId="2795" priority="4731" stopIfTrue="1" operator="between">
      <formula>5.1</formula>
      <formula>13</formula>
    </cfRule>
    <cfRule type="cellIs" dxfId="2794" priority="4732" stopIfTrue="1" operator="between">
      <formula>0</formula>
      <formula>5</formula>
    </cfRule>
    <cfRule type="containsBlanks" dxfId="2793" priority="4733" stopIfTrue="1">
      <formula>LEN(TRIM(K391))=0</formula>
    </cfRule>
  </conditionalFormatting>
  <conditionalFormatting sqref="Q205 Q241 Q249:Q250 Q254 Q267 Q271:Q272 Q289:Q293 Q303:Q306 Q311:Q329 Q300 Q383:Q384 Q391:Q392">
    <cfRule type="containsBlanks" dxfId="2792" priority="4712" stopIfTrue="1">
      <formula>LEN(TRIM(Q205))=0</formula>
    </cfRule>
    <cfRule type="cellIs" dxfId="2791" priority="4713" stopIfTrue="1" operator="between">
      <formula>80.1</formula>
      <formula>100</formula>
    </cfRule>
    <cfRule type="cellIs" dxfId="2790" priority="4714" stopIfTrue="1" operator="between">
      <formula>35.1</formula>
      <formula>80</formula>
    </cfRule>
    <cfRule type="cellIs" dxfId="2789" priority="4715" stopIfTrue="1" operator="between">
      <formula>14.1</formula>
      <formula>35</formula>
    </cfRule>
    <cfRule type="cellIs" dxfId="2788" priority="4716" stopIfTrue="1" operator="between">
      <formula>5.1</formula>
      <formula>14</formula>
    </cfRule>
    <cfRule type="cellIs" dxfId="2787" priority="4717" stopIfTrue="1" operator="between">
      <formula>0</formula>
      <formula>5</formula>
    </cfRule>
    <cfRule type="containsBlanks" dxfId="2786" priority="4718" stopIfTrue="1">
      <formula>LEN(TRIM(Q205))=0</formula>
    </cfRule>
  </conditionalFormatting>
  <conditionalFormatting sqref="Q205 Q241 Q249:Q250 Q254 Q267 Q271:Q272 Q289:Q293 Q303:Q306 Q311:Q329 Q300 Q383:Q384 Q391:Q392">
    <cfRule type="containsBlanks" dxfId="2785" priority="4705" stopIfTrue="1">
      <formula>LEN(TRIM(Q205))=0</formula>
    </cfRule>
    <cfRule type="cellIs" dxfId="2784" priority="4706" stopIfTrue="1" operator="between">
      <formula>80.1</formula>
      <formula>100</formula>
    </cfRule>
    <cfRule type="cellIs" dxfId="2783" priority="4707" stopIfTrue="1" operator="between">
      <formula>35.1</formula>
      <formula>80</formula>
    </cfRule>
    <cfRule type="cellIs" dxfId="2782" priority="4708" stopIfTrue="1" operator="between">
      <formula>14.1</formula>
      <formula>35</formula>
    </cfRule>
    <cfRule type="cellIs" dxfId="2781" priority="4709" stopIfTrue="1" operator="between">
      <formula>5.1</formula>
      <formula>14</formula>
    </cfRule>
    <cfRule type="cellIs" dxfId="2780" priority="4710" stopIfTrue="1" operator="between">
      <formula>0</formula>
      <formula>5</formula>
    </cfRule>
    <cfRule type="containsBlanks" dxfId="2779" priority="4711" stopIfTrue="1">
      <formula>LEN(TRIM(Q205))=0</formula>
    </cfRule>
  </conditionalFormatting>
  <conditionalFormatting sqref="Q187">
    <cfRule type="containsBlanks" dxfId="2778" priority="4698" stopIfTrue="1">
      <formula>LEN(TRIM(Q187))=0</formula>
    </cfRule>
    <cfRule type="cellIs" dxfId="2777" priority="4699" stopIfTrue="1" operator="between">
      <formula>80.1</formula>
      <formula>100</formula>
    </cfRule>
    <cfRule type="cellIs" dxfId="2776" priority="4700" stopIfTrue="1" operator="between">
      <formula>35.1</formula>
      <formula>80</formula>
    </cfRule>
    <cfRule type="cellIs" dxfId="2775" priority="4701" stopIfTrue="1" operator="between">
      <formula>14.1</formula>
      <formula>35</formula>
    </cfRule>
    <cfRule type="cellIs" dxfId="2774" priority="4702" stopIfTrue="1" operator="between">
      <formula>5.1</formula>
      <formula>14</formula>
    </cfRule>
    <cfRule type="cellIs" dxfId="2773" priority="4703" stopIfTrue="1" operator="between">
      <formula>0</formula>
      <formula>5</formula>
    </cfRule>
    <cfRule type="containsBlanks" dxfId="2772" priority="4704" stopIfTrue="1">
      <formula>LEN(TRIM(Q187))=0</formula>
    </cfRule>
  </conditionalFormatting>
  <conditionalFormatting sqref="Q187">
    <cfRule type="containsBlanks" dxfId="2771" priority="4691" stopIfTrue="1">
      <formula>LEN(TRIM(Q187))=0</formula>
    </cfRule>
    <cfRule type="cellIs" dxfId="2770" priority="4692" stopIfTrue="1" operator="between">
      <formula>80.1</formula>
      <formula>100</formula>
    </cfRule>
    <cfRule type="cellIs" dxfId="2769" priority="4693" stopIfTrue="1" operator="between">
      <formula>35.1</formula>
      <formula>80</formula>
    </cfRule>
    <cfRule type="cellIs" dxfId="2768" priority="4694" stopIfTrue="1" operator="between">
      <formula>14.1</formula>
      <formula>35</formula>
    </cfRule>
    <cfRule type="cellIs" dxfId="2767" priority="4695" stopIfTrue="1" operator="between">
      <formula>5.1</formula>
      <formula>14</formula>
    </cfRule>
    <cfRule type="cellIs" dxfId="2766" priority="4696" stopIfTrue="1" operator="between">
      <formula>0</formula>
      <formula>5</formula>
    </cfRule>
    <cfRule type="containsBlanks" dxfId="2765" priority="4697" stopIfTrue="1">
      <formula>LEN(TRIM(Q187))=0</formula>
    </cfRule>
  </conditionalFormatting>
  <conditionalFormatting sqref="E77:E81 G77:P81">
    <cfRule type="containsBlanks" dxfId="2764" priority="4466" stopIfTrue="1">
      <formula>LEN(TRIM(E77))=0</formula>
    </cfRule>
    <cfRule type="cellIs" dxfId="2763" priority="4467" stopIfTrue="1" operator="between">
      <formula>80.1</formula>
      <formula>100</formula>
    </cfRule>
    <cfRule type="cellIs" dxfId="2762" priority="4468" stopIfTrue="1" operator="between">
      <formula>35.1</formula>
      <formula>80</formula>
    </cfRule>
    <cfRule type="cellIs" dxfId="2761" priority="4469" stopIfTrue="1" operator="between">
      <formula>14.1</formula>
      <formula>35</formula>
    </cfRule>
    <cfRule type="cellIs" dxfId="2760" priority="4470" stopIfTrue="1" operator="between">
      <formula>5.1</formula>
      <formula>14</formula>
    </cfRule>
    <cfRule type="cellIs" dxfId="2759" priority="4471" stopIfTrue="1" operator="between">
      <formula>0</formula>
      <formula>5</formula>
    </cfRule>
    <cfRule type="containsBlanks" dxfId="2758" priority="4472" stopIfTrue="1">
      <formula>LEN(TRIM(E77))=0</formula>
    </cfRule>
  </conditionalFormatting>
  <conditionalFormatting sqref="F77:F81">
    <cfRule type="containsBlanks" dxfId="2757" priority="4459" stopIfTrue="1">
      <formula>LEN(TRIM(F77))=0</formula>
    </cfRule>
    <cfRule type="cellIs" dxfId="2756" priority="4460" stopIfTrue="1" operator="between">
      <formula>79.1</formula>
      <formula>100</formula>
    </cfRule>
    <cfRule type="cellIs" dxfId="2755" priority="4461" stopIfTrue="1" operator="between">
      <formula>34.1</formula>
      <formula>79</formula>
    </cfRule>
    <cfRule type="cellIs" dxfId="2754" priority="4462" stopIfTrue="1" operator="between">
      <formula>13.1</formula>
      <formula>34</formula>
    </cfRule>
    <cfRule type="cellIs" dxfId="2753" priority="4463" stopIfTrue="1" operator="between">
      <formula>5.1</formula>
      <formula>13</formula>
    </cfRule>
    <cfRule type="cellIs" dxfId="2752" priority="4464" stopIfTrue="1" operator="between">
      <formula>0</formula>
      <formula>5</formula>
    </cfRule>
    <cfRule type="containsBlanks" dxfId="2751" priority="4465" stopIfTrue="1">
      <formula>LEN(TRIM(F77))=0</formula>
    </cfRule>
  </conditionalFormatting>
  <conditionalFormatting sqref="E82:E88 G82:P88">
    <cfRule type="containsBlanks" dxfId="2750" priority="4452" stopIfTrue="1">
      <formula>LEN(TRIM(E82))=0</formula>
    </cfRule>
    <cfRule type="cellIs" dxfId="2749" priority="4453" stopIfTrue="1" operator="between">
      <formula>80.1</formula>
      <formula>100</formula>
    </cfRule>
    <cfRule type="cellIs" dxfId="2748" priority="4454" stopIfTrue="1" operator="between">
      <formula>35.1</formula>
      <formula>80</formula>
    </cfRule>
    <cfRule type="cellIs" dxfId="2747" priority="4455" stopIfTrue="1" operator="between">
      <formula>14.1</formula>
      <formula>35</formula>
    </cfRule>
    <cfRule type="cellIs" dxfId="2746" priority="4456" stopIfTrue="1" operator="between">
      <formula>5.1</formula>
      <formula>14</formula>
    </cfRule>
    <cfRule type="cellIs" dxfId="2745" priority="4457" stopIfTrue="1" operator="between">
      <formula>0</formula>
      <formula>5</formula>
    </cfRule>
    <cfRule type="containsBlanks" dxfId="2744" priority="4458" stopIfTrue="1">
      <formula>LEN(TRIM(E82))=0</formula>
    </cfRule>
  </conditionalFormatting>
  <conditionalFormatting sqref="F82:F88">
    <cfRule type="containsBlanks" dxfId="2743" priority="4445" stopIfTrue="1">
      <formula>LEN(TRIM(F82))=0</formula>
    </cfRule>
    <cfRule type="cellIs" dxfId="2742" priority="4446" stopIfTrue="1" operator="between">
      <formula>79.1</formula>
      <formula>100</formula>
    </cfRule>
    <cfRule type="cellIs" dxfId="2741" priority="4447" stopIfTrue="1" operator="between">
      <formula>34.1</formula>
      <formula>79</formula>
    </cfRule>
    <cfRule type="cellIs" dxfId="2740" priority="4448" stopIfTrue="1" operator="between">
      <formula>13.1</formula>
      <formula>34</formula>
    </cfRule>
    <cfRule type="cellIs" dxfId="2739" priority="4449" stopIfTrue="1" operator="between">
      <formula>5.1</formula>
      <formula>13</formula>
    </cfRule>
    <cfRule type="cellIs" dxfId="2738" priority="4450" stopIfTrue="1" operator="between">
      <formula>0</formula>
      <formula>5</formula>
    </cfRule>
    <cfRule type="containsBlanks" dxfId="2737" priority="4451" stopIfTrue="1">
      <formula>LEN(TRIM(F82))=0</formula>
    </cfRule>
  </conditionalFormatting>
  <conditionalFormatting sqref="E89:E95 G89:P91 G92:G95 I92:I95 H92:H96 K92:K95 J92:J96 M92:M95 L92:L96 P92:P95 N92:O96">
    <cfRule type="containsBlanks" dxfId="2736" priority="4438" stopIfTrue="1">
      <formula>LEN(TRIM(E89))=0</formula>
    </cfRule>
    <cfRule type="cellIs" dxfId="2735" priority="4439" stopIfTrue="1" operator="between">
      <formula>80.1</formula>
      <formula>100</formula>
    </cfRule>
    <cfRule type="cellIs" dxfId="2734" priority="4440" stopIfTrue="1" operator="between">
      <formula>35.1</formula>
      <formula>80</formula>
    </cfRule>
    <cfRule type="cellIs" dxfId="2733" priority="4441" stopIfTrue="1" operator="between">
      <formula>14.1</formula>
      <formula>35</formula>
    </cfRule>
    <cfRule type="cellIs" dxfId="2732" priority="4442" stopIfTrue="1" operator="between">
      <formula>5.1</formula>
      <formula>14</formula>
    </cfRule>
    <cfRule type="cellIs" dxfId="2731" priority="4443" stopIfTrue="1" operator="between">
      <formula>0</formula>
      <formula>5</formula>
    </cfRule>
    <cfRule type="containsBlanks" dxfId="2730" priority="4444" stopIfTrue="1">
      <formula>LEN(TRIM(E89))=0</formula>
    </cfRule>
  </conditionalFormatting>
  <conditionalFormatting sqref="F89:F96">
    <cfRule type="containsBlanks" dxfId="2729" priority="4431" stopIfTrue="1">
      <formula>LEN(TRIM(F89))=0</formula>
    </cfRule>
    <cfRule type="cellIs" dxfId="2728" priority="4432" stopIfTrue="1" operator="between">
      <formula>79.1</formula>
      <formula>100</formula>
    </cfRule>
    <cfRule type="cellIs" dxfId="2727" priority="4433" stopIfTrue="1" operator="between">
      <formula>34.1</formula>
      <formula>79</formula>
    </cfRule>
    <cfRule type="cellIs" dxfId="2726" priority="4434" stopIfTrue="1" operator="between">
      <formula>13.1</formula>
      <formula>34</formula>
    </cfRule>
    <cfRule type="cellIs" dxfId="2725" priority="4435" stopIfTrue="1" operator="between">
      <formula>5.1</formula>
      <formula>13</formula>
    </cfRule>
    <cfRule type="cellIs" dxfId="2724" priority="4436" stopIfTrue="1" operator="between">
      <formula>0</formula>
      <formula>5</formula>
    </cfRule>
    <cfRule type="containsBlanks" dxfId="2723" priority="4437" stopIfTrue="1">
      <formula>LEN(TRIM(F89))=0</formula>
    </cfRule>
  </conditionalFormatting>
  <conditionalFormatting sqref="E96:E102 G96 I96 K96 M96 P96 G97:P102 H103:H106 J103:J106 L103:L106 N103:O106 J108 L108 N108:O108 N110:O111 L110:L111 J110:J111 O112:O115">
    <cfRule type="containsBlanks" dxfId="2722" priority="4417" stopIfTrue="1">
      <formula>LEN(TRIM(E96))=0</formula>
    </cfRule>
    <cfRule type="cellIs" dxfId="2721" priority="4418" stopIfTrue="1" operator="between">
      <formula>80.1</formula>
      <formula>100</formula>
    </cfRule>
    <cfRule type="cellIs" dxfId="2720" priority="4419" stopIfTrue="1" operator="between">
      <formula>35.1</formula>
      <formula>80</formula>
    </cfRule>
    <cfRule type="cellIs" dxfId="2719" priority="4420" stopIfTrue="1" operator="between">
      <formula>14.1</formula>
      <formula>35</formula>
    </cfRule>
    <cfRule type="cellIs" dxfId="2718" priority="4421" stopIfTrue="1" operator="between">
      <formula>5.1</formula>
      <formula>14</formula>
    </cfRule>
    <cfRule type="cellIs" dxfId="2717" priority="4422" stopIfTrue="1" operator="between">
      <formula>0</formula>
      <formula>5</formula>
    </cfRule>
    <cfRule type="containsBlanks" dxfId="2716" priority="4423" stopIfTrue="1">
      <formula>LEN(TRIM(E96))=0</formula>
    </cfRule>
  </conditionalFormatting>
  <conditionalFormatting sqref="F97:F102">
    <cfRule type="containsBlanks" dxfId="2715" priority="4410" stopIfTrue="1">
      <formula>LEN(TRIM(F97))=0</formula>
    </cfRule>
    <cfRule type="cellIs" dxfId="2714" priority="4411" stopIfTrue="1" operator="between">
      <formula>79.1</formula>
      <formula>100</formula>
    </cfRule>
    <cfRule type="cellIs" dxfId="2713" priority="4412" stopIfTrue="1" operator="between">
      <formula>34.1</formula>
      <formula>79</formula>
    </cfRule>
    <cfRule type="cellIs" dxfId="2712" priority="4413" stopIfTrue="1" operator="between">
      <formula>13.1</formula>
      <formula>34</formula>
    </cfRule>
    <cfRule type="cellIs" dxfId="2711" priority="4414" stopIfTrue="1" operator="between">
      <formula>5.1</formula>
      <formula>13</formula>
    </cfRule>
    <cfRule type="cellIs" dxfId="2710" priority="4415" stopIfTrue="1" operator="between">
      <formula>0</formula>
      <formula>5</formula>
    </cfRule>
    <cfRule type="containsBlanks" dxfId="2709" priority="4416" stopIfTrue="1">
      <formula>LEN(TRIM(F97))=0</formula>
    </cfRule>
  </conditionalFormatting>
  <conditionalFormatting sqref="E103:E106 G112:N112 G103:G106 I103:I106 K103:K106 M103:M106 P103:P106 E108 G108:I108 K108 M108 P108 M110:M111 K110:K111 G110:I111 E110:E112 P110:P112 L113:M115 I113:I114">
    <cfRule type="containsBlanks" dxfId="2708" priority="4403" stopIfTrue="1">
      <formula>LEN(TRIM(E103))=0</formula>
    </cfRule>
    <cfRule type="cellIs" dxfId="2707" priority="4404" stopIfTrue="1" operator="between">
      <formula>80.1</formula>
      <formula>100</formula>
    </cfRule>
    <cfRule type="cellIs" dxfId="2706" priority="4405" stopIfTrue="1" operator="between">
      <formula>35.1</formula>
      <formula>80</formula>
    </cfRule>
    <cfRule type="cellIs" dxfId="2705" priority="4406" stopIfTrue="1" operator="between">
      <formula>14.1</formula>
      <formula>35</formula>
    </cfRule>
    <cfRule type="cellIs" dxfId="2704" priority="4407" stopIfTrue="1" operator="between">
      <formula>5.1</formula>
      <formula>14</formula>
    </cfRule>
    <cfRule type="cellIs" dxfId="2703" priority="4408" stopIfTrue="1" operator="between">
      <formula>0</formula>
      <formula>5</formula>
    </cfRule>
    <cfRule type="containsBlanks" dxfId="2702" priority="4409" stopIfTrue="1">
      <formula>LEN(TRIM(E103))=0</formula>
    </cfRule>
  </conditionalFormatting>
  <conditionalFormatting sqref="F103:F106 F108 F110:F112">
    <cfRule type="containsBlanks" dxfId="2701" priority="4396" stopIfTrue="1">
      <formula>LEN(TRIM(F103))=0</formula>
    </cfRule>
    <cfRule type="cellIs" dxfId="2700" priority="4397" stopIfTrue="1" operator="between">
      <formula>79.1</formula>
      <formula>100</formula>
    </cfRule>
    <cfRule type="cellIs" dxfId="2699" priority="4398" stopIfTrue="1" operator="between">
      <formula>34.1</formula>
      <formula>79</formula>
    </cfRule>
    <cfRule type="cellIs" dxfId="2698" priority="4399" stopIfTrue="1" operator="between">
      <formula>13.1</formula>
      <formula>34</formula>
    </cfRule>
    <cfRule type="cellIs" dxfId="2697" priority="4400" stopIfTrue="1" operator="between">
      <formula>5.1</formula>
      <formula>13</formula>
    </cfRule>
    <cfRule type="cellIs" dxfId="2696" priority="4401" stopIfTrue="1" operator="between">
      <formula>0</formula>
      <formula>5</formula>
    </cfRule>
    <cfRule type="containsBlanks" dxfId="2695" priority="4402" stopIfTrue="1">
      <formula>LEN(TRIM(F103))=0</formula>
    </cfRule>
  </conditionalFormatting>
  <conditionalFormatting sqref="E139:Q139">
    <cfRule type="containsBlanks" dxfId="2694" priority="4389" stopIfTrue="1">
      <formula>LEN(TRIM(E139))=0</formula>
    </cfRule>
    <cfRule type="cellIs" dxfId="2693" priority="4390" stopIfTrue="1" operator="between">
      <formula>79.1</formula>
      <formula>100</formula>
    </cfRule>
    <cfRule type="cellIs" dxfId="2692" priority="4391" stopIfTrue="1" operator="between">
      <formula>34.1</formula>
      <formula>79</formula>
    </cfRule>
    <cfRule type="cellIs" dxfId="2691" priority="4392" stopIfTrue="1" operator="between">
      <formula>13.1</formula>
      <formula>34</formula>
    </cfRule>
    <cfRule type="cellIs" dxfId="2690" priority="4393" stopIfTrue="1" operator="between">
      <formula>5.1</formula>
      <formula>13</formula>
    </cfRule>
    <cfRule type="cellIs" dxfId="2689" priority="4394" stopIfTrue="1" operator="between">
      <formula>0</formula>
      <formula>5</formula>
    </cfRule>
    <cfRule type="containsBlanks" dxfId="2688" priority="4395" stopIfTrue="1">
      <formula>LEN(TRIM(E139))=0</formula>
    </cfRule>
  </conditionalFormatting>
  <conditionalFormatting sqref="E140:Q140">
    <cfRule type="containsBlanks" dxfId="2687" priority="4382" stopIfTrue="1">
      <formula>LEN(TRIM(E140))=0</formula>
    </cfRule>
    <cfRule type="cellIs" dxfId="2686" priority="4383" stopIfTrue="1" operator="between">
      <formula>79.1</formula>
      <formula>100</formula>
    </cfRule>
    <cfRule type="cellIs" dxfId="2685" priority="4384" stopIfTrue="1" operator="between">
      <formula>34.1</formula>
      <formula>79</formula>
    </cfRule>
    <cfRule type="cellIs" dxfId="2684" priority="4385" stopIfTrue="1" operator="between">
      <formula>13.1</formula>
      <formula>34</formula>
    </cfRule>
    <cfRule type="cellIs" dxfId="2683" priority="4386" stopIfTrue="1" operator="between">
      <formula>5.1</formula>
      <formula>13</formula>
    </cfRule>
    <cfRule type="cellIs" dxfId="2682" priority="4387" stopIfTrue="1" operator="between">
      <formula>0</formula>
      <formula>5</formula>
    </cfRule>
    <cfRule type="containsBlanks" dxfId="2681" priority="4388" stopIfTrue="1">
      <formula>LEN(TRIM(E140))=0</formula>
    </cfRule>
  </conditionalFormatting>
  <conditionalFormatting sqref="E141:Q141">
    <cfRule type="containsBlanks" dxfId="2680" priority="4375" stopIfTrue="1">
      <formula>LEN(TRIM(E141))=0</formula>
    </cfRule>
    <cfRule type="cellIs" dxfId="2679" priority="4376" stopIfTrue="1" operator="between">
      <formula>79.1</formula>
      <formula>100</formula>
    </cfRule>
    <cfRule type="cellIs" dxfId="2678" priority="4377" stopIfTrue="1" operator="between">
      <formula>34.1</formula>
      <formula>79</formula>
    </cfRule>
    <cfRule type="cellIs" dxfId="2677" priority="4378" stopIfTrue="1" operator="between">
      <formula>13.1</formula>
      <formula>34</formula>
    </cfRule>
    <cfRule type="cellIs" dxfId="2676" priority="4379" stopIfTrue="1" operator="between">
      <formula>5.1</formula>
      <formula>13</formula>
    </cfRule>
    <cfRule type="cellIs" dxfId="2675" priority="4380" stopIfTrue="1" operator="between">
      <formula>0</formula>
      <formula>5</formula>
    </cfRule>
    <cfRule type="containsBlanks" dxfId="2674" priority="4381" stopIfTrue="1">
      <formula>LEN(TRIM(E141))=0</formula>
    </cfRule>
  </conditionalFormatting>
  <conditionalFormatting sqref="E142:Q142">
    <cfRule type="containsBlanks" dxfId="2673" priority="4368" stopIfTrue="1">
      <formula>LEN(TRIM(E142))=0</formula>
    </cfRule>
    <cfRule type="cellIs" dxfId="2672" priority="4369" stopIfTrue="1" operator="between">
      <formula>79.1</formula>
      <formula>100</formula>
    </cfRule>
    <cfRule type="cellIs" dxfId="2671" priority="4370" stopIfTrue="1" operator="between">
      <formula>34.1</formula>
      <formula>79</formula>
    </cfRule>
    <cfRule type="cellIs" dxfId="2670" priority="4371" stopIfTrue="1" operator="between">
      <formula>13.1</formula>
      <formula>34</formula>
    </cfRule>
    <cfRule type="cellIs" dxfId="2669" priority="4372" stopIfTrue="1" operator="between">
      <formula>5.1</formula>
      <formula>13</formula>
    </cfRule>
    <cfRule type="cellIs" dxfId="2668" priority="4373" stopIfTrue="1" operator="between">
      <formula>0</formula>
      <formula>5</formula>
    </cfRule>
    <cfRule type="containsBlanks" dxfId="2667" priority="4374" stopIfTrue="1">
      <formula>LEN(TRIM(E142))=0</formula>
    </cfRule>
  </conditionalFormatting>
  <conditionalFormatting sqref="E143:Q143">
    <cfRule type="containsBlanks" dxfId="2666" priority="4361" stopIfTrue="1">
      <formula>LEN(TRIM(E143))=0</formula>
    </cfRule>
    <cfRule type="cellIs" dxfId="2665" priority="4362" stopIfTrue="1" operator="between">
      <formula>79.1</formula>
      <formula>100</formula>
    </cfRule>
    <cfRule type="cellIs" dxfId="2664" priority="4363" stopIfTrue="1" operator="between">
      <formula>34.1</formula>
      <formula>79</formula>
    </cfRule>
    <cfRule type="cellIs" dxfId="2663" priority="4364" stopIfTrue="1" operator="between">
      <formula>13.1</formula>
      <formula>34</formula>
    </cfRule>
    <cfRule type="cellIs" dxfId="2662" priority="4365" stopIfTrue="1" operator="between">
      <formula>5.1</formula>
      <formula>13</formula>
    </cfRule>
    <cfRule type="cellIs" dxfId="2661" priority="4366" stopIfTrue="1" operator="between">
      <formula>0</formula>
      <formula>5</formula>
    </cfRule>
    <cfRule type="containsBlanks" dxfId="2660" priority="4367" stopIfTrue="1">
      <formula>LEN(TRIM(E143))=0</formula>
    </cfRule>
  </conditionalFormatting>
  <conditionalFormatting sqref="E149:Q149">
    <cfRule type="containsBlanks" dxfId="2659" priority="4354" stopIfTrue="1">
      <formula>LEN(TRIM(E149))=0</formula>
    </cfRule>
    <cfRule type="cellIs" dxfId="2658" priority="4355" stopIfTrue="1" operator="between">
      <formula>79.1</formula>
      <formula>100</formula>
    </cfRule>
    <cfRule type="cellIs" dxfId="2657" priority="4356" stopIfTrue="1" operator="between">
      <formula>34.1</formula>
      <formula>79</formula>
    </cfRule>
    <cfRule type="cellIs" dxfId="2656" priority="4357" stopIfTrue="1" operator="between">
      <formula>13.1</formula>
      <formula>34</formula>
    </cfRule>
    <cfRule type="cellIs" dxfId="2655" priority="4358" stopIfTrue="1" operator="between">
      <formula>5.1</formula>
      <formula>13</formula>
    </cfRule>
    <cfRule type="cellIs" dxfId="2654" priority="4359" stopIfTrue="1" operator="between">
      <formula>0</formula>
      <formula>5</formula>
    </cfRule>
    <cfRule type="containsBlanks" dxfId="2653" priority="4360" stopIfTrue="1">
      <formula>LEN(TRIM(E149))=0</formula>
    </cfRule>
  </conditionalFormatting>
  <conditionalFormatting sqref="E150:Q153">
    <cfRule type="containsBlanks" dxfId="2652" priority="4347" stopIfTrue="1">
      <formula>LEN(TRIM(E150))=0</formula>
    </cfRule>
    <cfRule type="cellIs" dxfId="2651" priority="4348" stopIfTrue="1" operator="between">
      <formula>79.1</formula>
      <formula>100</formula>
    </cfRule>
    <cfRule type="cellIs" dxfId="2650" priority="4349" stopIfTrue="1" operator="between">
      <formula>34.1</formula>
      <formula>79</formula>
    </cfRule>
    <cfRule type="cellIs" dxfId="2649" priority="4350" stopIfTrue="1" operator="between">
      <formula>13.1</formula>
      <formula>34</formula>
    </cfRule>
    <cfRule type="cellIs" dxfId="2648" priority="4351" stopIfTrue="1" operator="between">
      <formula>5.1</formula>
      <formula>13</formula>
    </cfRule>
    <cfRule type="cellIs" dxfId="2647" priority="4352" stopIfTrue="1" operator="between">
      <formula>0</formula>
      <formula>5</formula>
    </cfRule>
    <cfRule type="containsBlanks" dxfId="2646" priority="4353" stopIfTrue="1">
      <formula>LEN(TRIM(E150))=0</formula>
    </cfRule>
  </conditionalFormatting>
  <conditionalFormatting sqref="E154:Q160">
    <cfRule type="containsBlanks" dxfId="2645" priority="4340" stopIfTrue="1">
      <formula>LEN(TRIM(E154))=0</formula>
    </cfRule>
    <cfRule type="cellIs" dxfId="2644" priority="4341" stopIfTrue="1" operator="between">
      <formula>79.1</formula>
      <formula>100</formula>
    </cfRule>
    <cfRule type="cellIs" dxfId="2643" priority="4342" stopIfTrue="1" operator="between">
      <formula>34.1</formula>
      <formula>79</formula>
    </cfRule>
    <cfRule type="cellIs" dxfId="2642" priority="4343" stopIfTrue="1" operator="between">
      <formula>13.1</formula>
      <formula>34</formula>
    </cfRule>
    <cfRule type="cellIs" dxfId="2641" priority="4344" stopIfTrue="1" operator="between">
      <formula>5.1</formula>
      <formula>13</formula>
    </cfRule>
    <cfRule type="cellIs" dxfId="2640" priority="4345" stopIfTrue="1" operator="between">
      <formula>0</formula>
      <formula>5</formula>
    </cfRule>
    <cfRule type="containsBlanks" dxfId="2639" priority="4346" stopIfTrue="1">
      <formula>LEN(TRIM(E154))=0</formula>
    </cfRule>
  </conditionalFormatting>
  <conditionalFormatting sqref="E161:Q161">
    <cfRule type="containsBlanks" dxfId="2638" priority="4333" stopIfTrue="1">
      <formula>LEN(TRIM(E161))=0</formula>
    </cfRule>
    <cfRule type="cellIs" dxfId="2637" priority="4334" stopIfTrue="1" operator="between">
      <formula>79.1</formula>
      <formula>100</formula>
    </cfRule>
    <cfRule type="cellIs" dxfId="2636" priority="4335" stopIfTrue="1" operator="between">
      <formula>34.1</formula>
      <formula>79</formula>
    </cfRule>
    <cfRule type="cellIs" dxfId="2635" priority="4336" stopIfTrue="1" operator="between">
      <formula>13.1</formula>
      <formula>34</formula>
    </cfRule>
    <cfRule type="cellIs" dxfId="2634" priority="4337" stopIfTrue="1" operator="between">
      <formula>5.1</formula>
      <formula>13</formula>
    </cfRule>
    <cfRule type="cellIs" dxfId="2633" priority="4338" stopIfTrue="1" operator="between">
      <formula>0</formula>
      <formula>5</formula>
    </cfRule>
    <cfRule type="containsBlanks" dxfId="2632" priority="4339" stopIfTrue="1">
      <formula>LEN(TRIM(E161))=0</formula>
    </cfRule>
  </conditionalFormatting>
  <conditionalFormatting sqref="E163:Q163">
    <cfRule type="containsBlanks" dxfId="2631" priority="4326" stopIfTrue="1">
      <formula>LEN(TRIM(E163))=0</formula>
    </cfRule>
    <cfRule type="cellIs" dxfId="2630" priority="4327" stopIfTrue="1" operator="between">
      <formula>80.1</formula>
      <formula>100</formula>
    </cfRule>
    <cfRule type="cellIs" dxfId="2629" priority="4328" stopIfTrue="1" operator="between">
      <formula>35.1</formula>
      <formula>80</formula>
    </cfRule>
    <cfRule type="cellIs" dxfId="2628" priority="4329" stopIfTrue="1" operator="between">
      <formula>14.1</formula>
      <formula>35</formula>
    </cfRule>
    <cfRule type="cellIs" dxfId="2627" priority="4330" stopIfTrue="1" operator="between">
      <formula>5.1</formula>
      <formula>14</formula>
    </cfRule>
    <cfRule type="cellIs" dxfId="2626" priority="4331" stopIfTrue="1" operator="between">
      <formula>0</formula>
      <formula>5</formula>
    </cfRule>
    <cfRule type="containsBlanks" dxfId="2625" priority="4332" stopIfTrue="1">
      <formula>LEN(TRIM(E163))=0</formula>
    </cfRule>
  </conditionalFormatting>
  <conditionalFormatting sqref="E164:Q171">
    <cfRule type="containsBlanks" dxfId="2624" priority="4319" stopIfTrue="1">
      <formula>LEN(TRIM(E164))=0</formula>
    </cfRule>
    <cfRule type="cellIs" dxfId="2623" priority="4320" stopIfTrue="1" operator="between">
      <formula>80.1</formula>
      <formula>100</formula>
    </cfRule>
    <cfRule type="cellIs" dxfId="2622" priority="4321" stopIfTrue="1" operator="between">
      <formula>35.1</formula>
      <formula>80</formula>
    </cfRule>
    <cfRule type="cellIs" dxfId="2621" priority="4322" stopIfTrue="1" operator="between">
      <formula>14.1</formula>
      <formula>35</formula>
    </cfRule>
    <cfRule type="cellIs" dxfId="2620" priority="4323" stopIfTrue="1" operator="between">
      <formula>5.1</formula>
      <formula>14</formula>
    </cfRule>
    <cfRule type="cellIs" dxfId="2619" priority="4324" stopIfTrue="1" operator="between">
      <formula>0</formula>
      <formula>5</formula>
    </cfRule>
    <cfRule type="containsBlanks" dxfId="2618" priority="4325" stopIfTrue="1">
      <formula>LEN(TRIM(E164))=0</formula>
    </cfRule>
  </conditionalFormatting>
  <conditionalFormatting sqref="E172:Q175">
    <cfRule type="containsBlanks" dxfId="2617" priority="4298" stopIfTrue="1">
      <formula>LEN(TRIM(E172))=0</formula>
    </cfRule>
    <cfRule type="cellIs" dxfId="2616" priority="4299" stopIfTrue="1" operator="between">
      <formula>80.1</formula>
      <formula>100</formula>
    </cfRule>
    <cfRule type="cellIs" dxfId="2615" priority="4300" stopIfTrue="1" operator="between">
      <formula>35.1</formula>
      <formula>80</formula>
    </cfRule>
    <cfRule type="cellIs" dxfId="2614" priority="4301" stopIfTrue="1" operator="between">
      <formula>14.1</formula>
      <formula>35</formula>
    </cfRule>
    <cfRule type="cellIs" dxfId="2613" priority="4302" stopIfTrue="1" operator="between">
      <formula>5.1</formula>
      <formula>14</formula>
    </cfRule>
    <cfRule type="cellIs" dxfId="2612" priority="4303" stopIfTrue="1" operator="between">
      <formula>0</formula>
      <formula>5</formula>
    </cfRule>
    <cfRule type="containsBlanks" dxfId="2611" priority="4304" stopIfTrue="1">
      <formula>LEN(TRIM(E172))=0</formula>
    </cfRule>
  </conditionalFormatting>
  <conditionalFormatting sqref="E176:Q176">
    <cfRule type="containsBlanks" dxfId="2610" priority="4291" stopIfTrue="1">
      <formula>LEN(TRIM(E176))=0</formula>
    </cfRule>
    <cfRule type="cellIs" dxfId="2609" priority="4292" stopIfTrue="1" operator="between">
      <formula>80.1</formula>
      <formula>100</formula>
    </cfRule>
    <cfRule type="cellIs" dxfId="2608" priority="4293" stopIfTrue="1" operator="between">
      <formula>35.1</formula>
      <formula>80</formula>
    </cfRule>
    <cfRule type="cellIs" dxfId="2607" priority="4294" stopIfTrue="1" operator="between">
      <formula>14.1</formula>
      <formula>35</formula>
    </cfRule>
    <cfRule type="cellIs" dxfId="2606" priority="4295" stopIfTrue="1" operator="between">
      <formula>5.1</formula>
      <formula>14</formula>
    </cfRule>
    <cfRule type="cellIs" dxfId="2605" priority="4296" stopIfTrue="1" operator="between">
      <formula>0</formula>
      <formula>5</formula>
    </cfRule>
    <cfRule type="containsBlanks" dxfId="2604" priority="4297" stopIfTrue="1">
      <formula>LEN(TRIM(E176))=0</formula>
    </cfRule>
  </conditionalFormatting>
  <conditionalFormatting sqref="E177:Q179 E181:Q181">
    <cfRule type="containsBlanks" dxfId="2603" priority="4284" stopIfTrue="1">
      <formula>LEN(TRIM(E177))=0</formula>
    </cfRule>
    <cfRule type="cellIs" dxfId="2602" priority="4285" stopIfTrue="1" operator="between">
      <formula>80.1</formula>
      <formula>100</formula>
    </cfRule>
    <cfRule type="cellIs" dxfId="2601" priority="4286" stopIfTrue="1" operator="between">
      <formula>35.1</formula>
      <formula>80</formula>
    </cfRule>
    <cfRule type="cellIs" dxfId="2600" priority="4287" stopIfTrue="1" operator="between">
      <formula>14.1</formula>
      <formula>35</formula>
    </cfRule>
    <cfRule type="cellIs" dxfId="2599" priority="4288" stopIfTrue="1" operator="between">
      <formula>5.1</formula>
      <formula>14</formula>
    </cfRule>
    <cfRule type="cellIs" dxfId="2598" priority="4289" stopIfTrue="1" operator="between">
      <formula>0</formula>
      <formula>5</formula>
    </cfRule>
    <cfRule type="containsBlanks" dxfId="2597" priority="4290" stopIfTrue="1">
      <formula>LEN(TRIM(E177))=0</formula>
    </cfRule>
  </conditionalFormatting>
  <conditionalFormatting sqref="E180:Q180">
    <cfRule type="containsBlanks" dxfId="2596" priority="4277" stopIfTrue="1">
      <formula>LEN(TRIM(E180))=0</formula>
    </cfRule>
    <cfRule type="cellIs" dxfId="2595" priority="4278" stopIfTrue="1" operator="between">
      <formula>80.1</formula>
      <formula>100</formula>
    </cfRule>
    <cfRule type="cellIs" dxfId="2594" priority="4279" stopIfTrue="1" operator="between">
      <formula>35.1</formula>
      <formula>80</formula>
    </cfRule>
    <cfRule type="cellIs" dxfId="2593" priority="4280" stopIfTrue="1" operator="between">
      <formula>14.1</formula>
      <formula>35</formula>
    </cfRule>
    <cfRule type="cellIs" dxfId="2592" priority="4281" stopIfTrue="1" operator="between">
      <formula>5.1</formula>
      <formula>14</formula>
    </cfRule>
    <cfRule type="cellIs" dxfId="2591" priority="4282" stopIfTrue="1" operator="between">
      <formula>0</formula>
      <formula>5</formula>
    </cfRule>
    <cfRule type="containsBlanks" dxfId="2590" priority="4283" stopIfTrue="1">
      <formula>LEN(TRIM(E180))=0</formula>
    </cfRule>
  </conditionalFormatting>
  <conditionalFormatting sqref="E182:Q182">
    <cfRule type="containsBlanks" dxfId="2589" priority="4270" stopIfTrue="1">
      <formula>LEN(TRIM(E182))=0</formula>
    </cfRule>
    <cfRule type="cellIs" dxfId="2588" priority="4271" stopIfTrue="1" operator="between">
      <formula>80.1</formula>
      <formula>100</formula>
    </cfRule>
    <cfRule type="cellIs" dxfId="2587" priority="4272" stopIfTrue="1" operator="between">
      <formula>35.1</formula>
      <formula>80</formula>
    </cfRule>
    <cfRule type="cellIs" dxfId="2586" priority="4273" stopIfTrue="1" operator="between">
      <formula>14.1</formula>
      <formula>35</formula>
    </cfRule>
    <cfRule type="cellIs" dxfId="2585" priority="4274" stopIfTrue="1" operator="between">
      <formula>5.1</formula>
      <formula>14</formula>
    </cfRule>
    <cfRule type="cellIs" dxfId="2584" priority="4275" stopIfTrue="1" operator="between">
      <formula>0</formula>
      <formula>5</formula>
    </cfRule>
    <cfRule type="containsBlanks" dxfId="2583" priority="4276" stopIfTrue="1">
      <formula>LEN(TRIM(E182))=0</formula>
    </cfRule>
  </conditionalFormatting>
  <conditionalFormatting sqref="E183:Q184">
    <cfRule type="containsBlanks" dxfId="2582" priority="4263" stopIfTrue="1">
      <formula>LEN(TRIM(E183))=0</formula>
    </cfRule>
    <cfRule type="cellIs" dxfId="2581" priority="4264" stopIfTrue="1" operator="between">
      <formula>80.1</formula>
      <formula>100</formula>
    </cfRule>
    <cfRule type="cellIs" dxfId="2580" priority="4265" stopIfTrue="1" operator="between">
      <formula>35.1</formula>
      <formula>80</formula>
    </cfRule>
    <cfRule type="cellIs" dxfId="2579" priority="4266" stopIfTrue="1" operator="between">
      <formula>14.1</formula>
      <formula>35</formula>
    </cfRule>
    <cfRule type="cellIs" dxfId="2578" priority="4267" stopIfTrue="1" operator="between">
      <formula>5.1</formula>
      <formula>14</formula>
    </cfRule>
    <cfRule type="cellIs" dxfId="2577" priority="4268" stopIfTrue="1" operator="between">
      <formula>0</formula>
      <formula>5</formula>
    </cfRule>
    <cfRule type="containsBlanks" dxfId="2576" priority="4269" stopIfTrue="1">
      <formula>LEN(TRIM(E183))=0</formula>
    </cfRule>
  </conditionalFormatting>
  <conditionalFormatting sqref="E185:Q185">
    <cfRule type="containsBlanks" dxfId="2575" priority="4227" stopIfTrue="1">
      <formula>LEN(TRIM(E185))=0</formula>
    </cfRule>
    <cfRule type="cellIs" dxfId="2574" priority="4228" stopIfTrue="1" operator="between">
      <formula>80.1</formula>
      <formula>100</formula>
    </cfRule>
    <cfRule type="cellIs" dxfId="2573" priority="4229" stopIfTrue="1" operator="between">
      <formula>35.1</formula>
      <formula>80</formula>
    </cfRule>
    <cfRule type="cellIs" dxfId="2572" priority="4230" stopIfTrue="1" operator="between">
      <formula>14.1</formula>
      <formula>35</formula>
    </cfRule>
    <cfRule type="cellIs" dxfId="2571" priority="4231" stopIfTrue="1" operator="between">
      <formula>5.1</formula>
      <formula>14</formula>
    </cfRule>
    <cfRule type="cellIs" dxfId="2570" priority="4232" stopIfTrue="1" operator="between">
      <formula>0</formula>
      <formula>5</formula>
    </cfRule>
    <cfRule type="containsBlanks" dxfId="2569" priority="4233" stopIfTrue="1">
      <formula>LEN(TRIM(E185))=0</formula>
    </cfRule>
  </conditionalFormatting>
  <conditionalFormatting sqref="E186:Q186">
    <cfRule type="containsBlanks" dxfId="2568" priority="4220" stopIfTrue="1">
      <formula>LEN(TRIM(E186))=0</formula>
    </cfRule>
    <cfRule type="cellIs" dxfId="2567" priority="4221" stopIfTrue="1" operator="between">
      <formula>80.1</formula>
      <formula>100</formula>
    </cfRule>
    <cfRule type="cellIs" dxfId="2566" priority="4222" stopIfTrue="1" operator="between">
      <formula>35.1</formula>
      <formula>80</formula>
    </cfRule>
    <cfRule type="cellIs" dxfId="2565" priority="4223" stopIfTrue="1" operator="between">
      <formula>14.1</formula>
      <formula>35</formula>
    </cfRule>
    <cfRule type="cellIs" dxfId="2564" priority="4224" stopIfTrue="1" operator="between">
      <formula>5.1</formula>
      <formula>14</formula>
    </cfRule>
    <cfRule type="cellIs" dxfId="2563" priority="4225" stopIfTrue="1" operator="between">
      <formula>0</formula>
      <formula>5</formula>
    </cfRule>
    <cfRule type="containsBlanks" dxfId="2562" priority="4226" stopIfTrue="1">
      <formula>LEN(TRIM(E186))=0</formula>
    </cfRule>
  </conditionalFormatting>
  <conditionalFormatting sqref="E188:Q188">
    <cfRule type="containsBlanks" dxfId="2561" priority="4213" stopIfTrue="1">
      <formula>LEN(TRIM(E188))=0</formula>
    </cfRule>
    <cfRule type="cellIs" dxfId="2560" priority="4214" stopIfTrue="1" operator="between">
      <formula>80.1</formula>
      <formula>100</formula>
    </cfRule>
    <cfRule type="cellIs" dxfId="2559" priority="4215" stopIfTrue="1" operator="between">
      <formula>35.1</formula>
      <formula>80</formula>
    </cfRule>
    <cfRule type="cellIs" dxfId="2558" priority="4216" stopIfTrue="1" operator="between">
      <formula>14.1</formula>
      <formula>35</formula>
    </cfRule>
    <cfRule type="cellIs" dxfId="2557" priority="4217" stopIfTrue="1" operator="between">
      <formula>5.1</formula>
      <formula>14</formula>
    </cfRule>
    <cfRule type="cellIs" dxfId="2556" priority="4218" stopIfTrue="1" operator="between">
      <formula>0</formula>
      <formula>5</formula>
    </cfRule>
    <cfRule type="containsBlanks" dxfId="2555" priority="4219" stopIfTrue="1">
      <formula>LEN(TRIM(E188))=0</formula>
    </cfRule>
  </conditionalFormatting>
  <conditionalFormatting sqref="E189:Q189">
    <cfRule type="containsBlanks" dxfId="2554" priority="4206" stopIfTrue="1">
      <formula>LEN(TRIM(E189))=0</formula>
    </cfRule>
    <cfRule type="cellIs" dxfId="2553" priority="4207" stopIfTrue="1" operator="between">
      <formula>80.1</formula>
      <formula>100</formula>
    </cfRule>
    <cfRule type="cellIs" dxfId="2552" priority="4208" stopIfTrue="1" operator="between">
      <formula>35.1</formula>
      <formula>80</formula>
    </cfRule>
    <cfRule type="cellIs" dxfId="2551" priority="4209" stopIfTrue="1" operator="between">
      <formula>14.1</formula>
      <formula>35</formula>
    </cfRule>
    <cfRule type="cellIs" dxfId="2550" priority="4210" stopIfTrue="1" operator="between">
      <formula>5.1</formula>
      <formula>14</formula>
    </cfRule>
    <cfRule type="cellIs" dxfId="2549" priority="4211" stopIfTrue="1" operator="between">
      <formula>0</formula>
      <formula>5</formula>
    </cfRule>
    <cfRule type="containsBlanks" dxfId="2548" priority="4212" stopIfTrue="1">
      <formula>LEN(TRIM(E189))=0</formula>
    </cfRule>
  </conditionalFormatting>
  <conditionalFormatting sqref="E190:Q190">
    <cfRule type="containsBlanks" dxfId="2547" priority="4199" stopIfTrue="1">
      <formula>LEN(TRIM(E190))=0</formula>
    </cfRule>
    <cfRule type="cellIs" dxfId="2546" priority="4200" stopIfTrue="1" operator="between">
      <formula>80.1</formula>
      <formula>100</formula>
    </cfRule>
    <cfRule type="cellIs" dxfId="2545" priority="4201" stopIfTrue="1" operator="between">
      <formula>35.1</formula>
      <formula>80</formula>
    </cfRule>
    <cfRule type="cellIs" dxfId="2544" priority="4202" stopIfTrue="1" operator="between">
      <formula>14.1</formula>
      <formula>35</formula>
    </cfRule>
    <cfRule type="cellIs" dxfId="2543" priority="4203" stopIfTrue="1" operator="between">
      <formula>5.1</formula>
      <formula>14</formula>
    </cfRule>
    <cfRule type="cellIs" dxfId="2542" priority="4204" stopIfTrue="1" operator="between">
      <formula>0</formula>
      <formula>5</formula>
    </cfRule>
    <cfRule type="containsBlanks" dxfId="2541" priority="4205" stopIfTrue="1">
      <formula>LEN(TRIM(E190))=0</formula>
    </cfRule>
  </conditionalFormatting>
  <conditionalFormatting sqref="E191:Q194">
    <cfRule type="containsBlanks" dxfId="2540" priority="4192" stopIfTrue="1">
      <formula>LEN(TRIM(E191))=0</formula>
    </cfRule>
    <cfRule type="cellIs" dxfId="2539" priority="4193" stopIfTrue="1" operator="between">
      <formula>80.1</formula>
      <formula>100</formula>
    </cfRule>
    <cfRule type="cellIs" dxfId="2538" priority="4194" stopIfTrue="1" operator="between">
      <formula>35.1</formula>
      <formula>80</formula>
    </cfRule>
    <cfRule type="cellIs" dxfId="2537" priority="4195" stopIfTrue="1" operator="between">
      <formula>14.1</formula>
      <formula>35</formula>
    </cfRule>
    <cfRule type="cellIs" dxfId="2536" priority="4196" stopIfTrue="1" operator="between">
      <formula>5.1</formula>
      <formula>14</formula>
    </cfRule>
    <cfRule type="cellIs" dxfId="2535" priority="4197" stopIfTrue="1" operator="between">
      <formula>0</formula>
      <formula>5</formula>
    </cfRule>
    <cfRule type="containsBlanks" dxfId="2534" priority="4198" stopIfTrue="1">
      <formula>LEN(TRIM(E191))=0</formula>
    </cfRule>
  </conditionalFormatting>
  <conditionalFormatting sqref="E195:Q196">
    <cfRule type="containsBlanks" dxfId="2533" priority="4185" stopIfTrue="1">
      <formula>LEN(TRIM(E195))=0</formula>
    </cfRule>
    <cfRule type="cellIs" dxfId="2532" priority="4186" stopIfTrue="1" operator="between">
      <formula>80.1</formula>
      <formula>100</formula>
    </cfRule>
    <cfRule type="cellIs" dxfId="2531" priority="4187" stopIfTrue="1" operator="between">
      <formula>35.1</formula>
      <formula>80</formula>
    </cfRule>
    <cfRule type="cellIs" dxfId="2530" priority="4188" stopIfTrue="1" operator="between">
      <formula>14.1</formula>
      <formula>35</formula>
    </cfRule>
    <cfRule type="cellIs" dxfId="2529" priority="4189" stopIfTrue="1" operator="between">
      <formula>5.1</formula>
      <formula>14</formula>
    </cfRule>
    <cfRule type="cellIs" dxfId="2528" priority="4190" stopIfTrue="1" operator="between">
      <formula>0</formula>
      <formula>5</formula>
    </cfRule>
    <cfRule type="containsBlanks" dxfId="2527" priority="4191" stopIfTrue="1">
      <formula>LEN(TRIM(E195))=0</formula>
    </cfRule>
  </conditionalFormatting>
  <conditionalFormatting sqref="E203:Q203">
    <cfRule type="containsBlanks" dxfId="2526" priority="4178" stopIfTrue="1">
      <formula>LEN(TRIM(E203))=0</formula>
    </cfRule>
    <cfRule type="cellIs" dxfId="2525" priority="4179" stopIfTrue="1" operator="between">
      <formula>80.1</formula>
      <formula>100</formula>
    </cfRule>
    <cfRule type="cellIs" dxfId="2524" priority="4180" stopIfTrue="1" operator="between">
      <formula>35.1</formula>
      <formula>80</formula>
    </cfRule>
    <cfRule type="cellIs" dxfId="2523" priority="4181" stopIfTrue="1" operator="between">
      <formula>14.1</formula>
      <formula>35</formula>
    </cfRule>
    <cfRule type="cellIs" dxfId="2522" priority="4182" stopIfTrue="1" operator="between">
      <formula>5.1</formula>
      <formula>14</formula>
    </cfRule>
    <cfRule type="cellIs" dxfId="2521" priority="4183" stopIfTrue="1" operator="between">
      <formula>0</formula>
      <formula>5</formula>
    </cfRule>
    <cfRule type="containsBlanks" dxfId="2520" priority="4184" stopIfTrue="1">
      <formula>LEN(TRIM(E203))=0</formula>
    </cfRule>
  </conditionalFormatting>
  <conditionalFormatting sqref="E206:Q207">
    <cfRule type="containsBlanks" dxfId="2519" priority="4171" stopIfTrue="1">
      <formula>LEN(TRIM(E206))=0</formula>
    </cfRule>
    <cfRule type="cellIs" dxfId="2518" priority="4172" stopIfTrue="1" operator="between">
      <formula>80.1</formula>
      <formula>100</formula>
    </cfRule>
    <cfRule type="cellIs" dxfId="2517" priority="4173" stopIfTrue="1" operator="between">
      <formula>35.1</formula>
      <formula>80</formula>
    </cfRule>
    <cfRule type="cellIs" dxfId="2516" priority="4174" stopIfTrue="1" operator="between">
      <formula>14.1</formula>
      <formula>35</formula>
    </cfRule>
    <cfRule type="cellIs" dxfId="2515" priority="4175" stopIfTrue="1" operator="between">
      <formula>5.1</formula>
      <formula>14</formula>
    </cfRule>
    <cfRule type="cellIs" dxfId="2514" priority="4176" stopIfTrue="1" operator="between">
      <formula>0</formula>
      <formula>5</formula>
    </cfRule>
    <cfRule type="containsBlanks" dxfId="2513" priority="4177" stopIfTrue="1">
      <formula>LEN(TRIM(E206))=0</formula>
    </cfRule>
  </conditionalFormatting>
  <conditionalFormatting sqref="E204:Q204">
    <cfRule type="containsBlanks" dxfId="2512" priority="4164" stopIfTrue="1">
      <formula>LEN(TRIM(E204))=0</formula>
    </cfRule>
    <cfRule type="cellIs" dxfId="2511" priority="4165" stopIfTrue="1" operator="between">
      <formula>80.1</formula>
      <formula>100</formula>
    </cfRule>
    <cfRule type="cellIs" dxfId="2510" priority="4166" stopIfTrue="1" operator="between">
      <formula>35.1</formula>
      <formula>80</formula>
    </cfRule>
    <cfRule type="cellIs" dxfId="2509" priority="4167" stopIfTrue="1" operator="between">
      <formula>14.1</formula>
      <formula>35</formula>
    </cfRule>
    <cfRule type="cellIs" dxfId="2508" priority="4168" stopIfTrue="1" operator="between">
      <formula>5.1</formula>
      <formula>14</formula>
    </cfRule>
    <cfRule type="cellIs" dxfId="2507" priority="4169" stopIfTrue="1" operator="between">
      <formula>0</formula>
      <formula>5</formula>
    </cfRule>
    <cfRule type="containsBlanks" dxfId="2506" priority="4170" stopIfTrue="1">
      <formula>LEN(TRIM(E204))=0</formula>
    </cfRule>
  </conditionalFormatting>
  <conditionalFormatting sqref="E213:Q218">
    <cfRule type="containsBlanks" dxfId="2505" priority="4157" stopIfTrue="1">
      <formula>LEN(TRIM(E213))=0</formula>
    </cfRule>
    <cfRule type="cellIs" dxfId="2504" priority="4158" stopIfTrue="1" operator="between">
      <formula>80.1</formula>
      <formula>100</formula>
    </cfRule>
    <cfRule type="cellIs" dxfId="2503" priority="4159" stopIfTrue="1" operator="between">
      <formula>35.1</formula>
      <formula>80</formula>
    </cfRule>
    <cfRule type="cellIs" dxfId="2502" priority="4160" stopIfTrue="1" operator="between">
      <formula>14.1</formula>
      <formula>35</formula>
    </cfRule>
    <cfRule type="cellIs" dxfId="2501" priority="4161" stopIfTrue="1" operator="between">
      <formula>5.1</formula>
      <formula>14</formula>
    </cfRule>
    <cfRule type="cellIs" dxfId="2500" priority="4162" stopIfTrue="1" operator="between">
      <formula>0</formula>
      <formula>5</formula>
    </cfRule>
    <cfRule type="containsBlanks" dxfId="2499" priority="4163" stopIfTrue="1">
      <formula>LEN(TRIM(E213))=0</formula>
    </cfRule>
  </conditionalFormatting>
  <conditionalFormatting sqref="E239:Q239">
    <cfRule type="containsBlanks" dxfId="2498" priority="4143" stopIfTrue="1">
      <formula>LEN(TRIM(E239))=0</formula>
    </cfRule>
    <cfRule type="cellIs" dxfId="2497" priority="4144" stopIfTrue="1" operator="between">
      <formula>79.1</formula>
      <formula>100</formula>
    </cfRule>
    <cfRule type="cellIs" dxfId="2496" priority="4145" stopIfTrue="1" operator="between">
      <formula>34.1</formula>
      <formula>79</formula>
    </cfRule>
    <cfRule type="cellIs" dxfId="2495" priority="4146" stopIfTrue="1" operator="between">
      <formula>13.1</formula>
      <formula>34</formula>
    </cfRule>
    <cfRule type="cellIs" dxfId="2494" priority="4147" stopIfTrue="1" operator="between">
      <formula>5.1</formula>
      <formula>13</formula>
    </cfRule>
    <cfRule type="cellIs" dxfId="2493" priority="4148" stopIfTrue="1" operator="between">
      <formula>0</formula>
      <formula>5</formula>
    </cfRule>
    <cfRule type="containsBlanks" dxfId="2492" priority="4149" stopIfTrue="1">
      <formula>LEN(TRIM(E239))=0</formula>
    </cfRule>
  </conditionalFormatting>
  <conditionalFormatting sqref="E248:Q248">
    <cfRule type="containsBlanks" dxfId="2491" priority="4122" stopIfTrue="1">
      <formula>LEN(TRIM(E248))=0</formula>
    </cfRule>
    <cfRule type="cellIs" dxfId="2490" priority="4123" stopIfTrue="1" operator="between">
      <formula>79.1</formula>
      <formula>100</formula>
    </cfRule>
    <cfRule type="cellIs" dxfId="2489" priority="4124" stopIfTrue="1" operator="between">
      <formula>34.1</formula>
      <formula>79</formula>
    </cfRule>
    <cfRule type="cellIs" dxfId="2488" priority="4125" stopIfTrue="1" operator="between">
      <formula>13.1</formula>
      <formula>34</formula>
    </cfRule>
    <cfRule type="cellIs" dxfId="2487" priority="4126" stopIfTrue="1" operator="between">
      <formula>5.1</formula>
      <formula>13</formula>
    </cfRule>
    <cfRule type="cellIs" dxfId="2486" priority="4127" stopIfTrue="1" operator="between">
      <formula>0</formula>
      <formula>5</formula>
    </cfRule>
    <cfRule type="containsBlanks" dxfId="2485" priority="4128" stopIfTrue="1">
      <formula>LEN(TRIM(E248))=0</formula>
    </cfRule>
  </conditionalFormatting>
  <conditionalFormatting sqref="E243:Q243">
    <cfRule type="containsBlanks" dxfId="2484" priority="4129" stopIfTrue="1">
      <formula>LEN(TRIM(E243))=0</formula>
    </cfRule>
    <cfRule type="cellIs" dxfId="2483" priority="4130" stopIfTrue="1" operator="between">
      <formula>79.1</formula>
      <formula>100</formula>
    </cfRule>
    <cfRule type="cellIs" dxfId="2482" priority="4131" stopIfTrue="1" operator="between">
      <formula>34.1</formula>
      <formula>79</formula>
    </cfRule>
    <cfRule type="cellIs" dxfId="2481" priority="4132" stopIfTrue="1" operator="between">
      <formula>13.1</formula>
      <formula>34</formula>
    </cfRule>
    <cfRule type="cellIs" dxfId="2480" priority="4133" stopIfTrue="1" operator="between">
      <formula>5.1</formula>
      <formula>13</formula>
    </cfRule>
    <cfRule type="cellIs" dxfId="2479" priority="4134" stopIfTrue="1" operator="between">
      <formula>0</formula>
      <formula>5</formula>
    </cfRule>
    <cfRule type="containsBlanks" dxfId="2478" priority="4135" stopIfTrue="1">
      <formula>LEN(TRIM(E243))=0</formula>
    </cfRule>
  </conditionalFormatting>
  <conditionalFormatting sqref="E273:Q273">
    <cfRule type="containsBlanks" dxfId="2477" priority="4115" stopIfTrue="1">
      <formula>LEN(TRIM(E273))=0</formula>
    </cfRule>
    <cfRule type="cellIs" dxfId="2476" priority="4116" stopIfTrue="1" operator="between">
      <formula>79.1</formula>
      <formula>100</formula>
    </cfRule>
    <cfRule type="cellIs" dxfId="2475" priority="4117" stopIfTrue="1" operator="between">
      <formula>34.1</formula>
      <formula>79</formula>
    </cfRule>
    <cfRule type="cellIs" dxfId="2474" priority="4118" stopIfTrue="1" operator="between">
      <formula>13.1</formula>
      <formula>34</formula>
    </cfRule>
    <cfRule type="cellIs" dxfId="2473" priority="4119" stopIfTrue="1" operator="between">
      <formula>5.1</formula>
      <formula>13</formula>
    </cfRule>
    <cfRule type="cellIs" dxfId="2472" priority="4120" stopIfTrue="1" operator="between">
      <formula>0</formula>
      <formula>5</formula>
    </cfRule>
    <cfRule type="containsBlanks" dxfId="2471" priority="4121" stopIfTrue="1">
      <formula>LEN(TRIM(E273))=0</formula>
    </cfRule>
  </conditionalFormatting>
  <conditionalFormatting sqref="E252:Q252">
    <cfRule type="containsBlanks" dxfId="2470" priority="4108" stopIfTrue="1">
      <formula>LEN(TRIM(E252))=0</formula>
    </cfRule>
    <cfRule type="cellIs" dxfId="2469" priority="4109" stopIfTrue="1" operator="between">
      <formula>79.1</formula>
      <formula>100</formula>
    </cfRule>
    <cfRule type="cellIs" dxfId="2468" priority="4110" stopIfTrue="1" operator="between">
      <formula>34.1</formula>
      <formula>79</formula>
    </cfRule>
    <cfRule type="cellIs" dxfId="2467" priority="4111" stopIfTrue="1" operator="between">
      <formula>13.1</formula>
      <formula>34</formula>
    </cfRule>
    <cfRule type="cellIs" dxfId="2466" priority="4112" stopIfTrue="1" operator="between">
      <formula>5.1</formula>
      <formula>13</formula>
    </cfRule>
    <cfRule type="cellIs" dxfId="2465" priority="4113" stopIfTrue="1" operator="between">
      <formula>0</formula>
      <formula>5</formula>
    </cfRule>
    <cfRule type="containsBlanks" dxfId="2464" priority="4114" stopIfTrue="1">
      <formula>LEN(TRIM(E252))=0</formula>
    </cfRule>
  </conditionalFormatting>
  <conditionalFormatting sqref="E263:Q263">
    <cfRule type="containsBlanks" dxfId="2463" priority="4101" stopIfTrue="1">
      <formula>LEN(TRIM(E263))=0</formula>
    </cfRule>
    <cfRule type="cellIs" dxfId="2462" priority="4102" stopIfTrue="1" operator="between">
      <formula>79.1</formula>
      <formula>100</formula>
    </cfRule>
    <cfRule type="cellIs" dxfId="2461" priority="4103" stopIfTrue="1" operator="between">
      <formula>34.1</formula>
      <formula>79</formula>
    </cfRule>
    <cfRule type="cellIs" dxfId="2460" priority="4104" stopIfTrue="1" operator="between">
      <formula>13.1</formula>
      <formula>34</formula>
    </cfRule>
    <cfRule type="cellIs" dxfId="2459" priority="4105" stopIfTrue="1" operator="between">
      <formula>5.1</formula>
      <formula>13</formula>
    </cfRule>
    <cfRule type="cellIs" dxfId="2458" priority="4106" stopIfTrue="1" operator="between">
      <formula>0</formula>
      <formula>5</formula>
    </cfRule>
    <cfRule type="containsBlanks" dxfId="2457" priority="4107" stopIfTrue="1">
      <formula>LEN(TRIM(E263))=0</formula>
    </cfRule>
  </conditionalFormatting>
  <conditionalFormatting sqref="E245:Q245">
    <cfRule type="containsBlanks" dxfId="2456" priority="4094" stopIfTrue="1">
      <formula>LEN(TRIM(E245))=0</formula>
    </cfRule>
    <cfRule type="cellIs" dxfId="2455" priority="4095" stopIfTrue="1" operator="between">
      <formula>79.1</formula>
      <formula>100</formula>
    </cfRule>
    <cfRule type="cellIs" dxfId="2454" priority="4096" stopIfTrue="1" operator="between">
      <formula>34.1</formula>
      <formula>79</formula>
    </cfRule>
    <cfRule type="cellIs" dxfId="2453" priority="4097" stopIfTrue="1" operator="between">
      <formula>13.1</formula>
      <formula>34</formula>
    </cfRule>
    <cfRule type="cellIs" dxfId="2452" priority="4098" stopIfTrue="1" operator="between">
      <formula>5.1</formula>
      <formula>13</formula>
    </cfRule>
    <cfRule type="cellIs" dxfId="2451" priority="4099" stopIfTrue="1" operator="between">
      <formula>0</formula>
      <formula>5</formula>
    </cfRule>
    <cfRule type="containsBlanks" dxfId="2450" priority="4100" stopIfTrue="1">
      <formula>LEN(TRIM(E245))=0</formula>
    </cfRule>
  </conditionalFormatting>
  <conditionalFormatting sqref="E246:Q246">
    <cfRule type="containsBlanks" dxfId="2449" priority="4087" stopIfTrue="1">
      <formula>LEN(TRIM(E246))=0</formula>
    </cfRule>
    <cfRule type="cellIs" dxfId="2448" priority="4088" stopIfTrue="1" operator="between">
      <formula>79.1</formula>
      <formula>100</formula>
    </cfRule>
    <cfRule type="cellIs" dxfId="2447" priority="4089" stopIfTrue="1" operator="between">
      <formula>34.1</formula>
      <formula>79</formula>
    </cfRule>
    <cfRule type="cellIs" dxfId="2446" priority="4090" stopIfTrue="1" operator="between">
      <formula>13.1</formula>
      <formula>34</formula>
    </cfRule>
    <cfRule type="cellIs" dxfId="2445" priority="4091" stopIfTrue="1" operator="between">
      <formula>5.1</formula>
      <formula>13</formula>
    </cfRule>
    <cfRule type="cellIs" dxfId="2444" priority="4092" stopIfTrue="1" operator="between">
      <formula>0</formula>
      <formula>5</formula>
    </cfRule>
    <cfRule type="containsBlanks" dxfId="2443" priority="4093" stopIfTrue="1">
      <formula>LEN(TRIM(E246))=0</formula>
    </cfRule>
  </conditionalFormatting>
  <conditionalFormatting sqref="E247:Q247">
    <cfRule type="containsBlanks" dxfId="2442" priority="4080" stopIfTrue="1">
      <formula>LEN(TRIM(E247))=0</formula>
    </cfRule>
    <cfRule type="cellIs" dxfId="2441" priority="4081" stopIfTrue="1" operator="between">
      <formula>79.1</formula>
      <formula>100</formula>
    </cfRule>
    <cfRule type="cellIs" dxfId="2440" priority="4082" stopIfTrue="1" operator="between">
      <formula>34.1</formula>
      <formula>79</formula>
    </cfRule>
    <cfRule type="cellIs" dxfId="2439" priority="4083" stopIfTrue="1" operator="between">
      <formula>13.1</formula>
      <formula>34</formula>
    </cfRule>
    <cfRule type="cellIs" dxfId="2438" priority="4084" stopIfTrue="1" operator="between">
      <formula>5.1</formula>
      <formula>13</formula>
    </cfRule>
    <cfRule type="cellIs" dxfId="2437" priority="4085" stopIfTrue="1" operator="between">
      <formula>0</formula>
      <formula>5</formula>
    </cfRule>
    <cfRule type="containsBlanks" dxfId="2436" priority="4086" stopIfTrue="1">
      <formula>LEN(TRIM(E247))=0</formula>
    </cfRule>
  </conditionalFormatting>
  <conditionalFormatting sqref="E240:Q240">
    <cfRule type="containsBlanks" dxfId="2435" priority="4073" stopIfTrue="1">
      <formula>LEN(TRIM(E240))=0</formula>
    </cfRule>
    <cfRule type="cellIs" dxfId="2434" priority="4074" stopIfTrue="1" operator="between">
      <formula>79.1</formula>
      <formula>100</formula>
    </cfRule>
    <cfRule type="cellIs" dxfId="2433" priority="4075" stopIfTrue="1" operator="between">
      <formula>34.1</formula>
      <formula>79</formula>
    </cfRule>
    <cfRule type="cellIs" dxfId="2432" priority="4076" stopIfTrue="1" operator="between">
      <formula>13.1</formula>
      <formula>34</formula>
    </cfRule>
    <cfRule type="cellIs" dxfId="2431" priority="4077" stopIfTrue="1" operator="between">
      <formula>5.1</formula>
      <formula>13</formula>
    </cfRule>
    <cfRule type="cellIs" dxfId="2430" priority="4078" stopIfTrue="1" operator="between">
      <formula>0</formula>
      <formula>5</formula>
    </cfRule>
    <cfRule type="containsBlanks" dxfId="2429" priority="4079" stopIfTrue="1">
      <formula>LEN(TRIM(E240))=0</formula>
    </cfRule>
  </conditionalFormatting>
  <conditionalFormatting sqref="E251:Q251">
    <cfRule type="containsBlanks" dxfId="2428" priority="4066" stopIfTrue="1">
      <formula>LEN(TRIM(E251))=0</formula>
    </cfRule>
    <cfRule type="cellIs" dxfId="2427" priority="4067" stopIfTrue="1" operator="between">
      <formula>79.1</formula>
      <formula>100</formula>
    </cfRule>
    <cfRule type="cellIs" dxfId="2426" priority="4068" stopIfTrue="1" operator="between">
      <formula>34.1</formula>
      <formula>79</formula>
    </cfRule>
    <cfRule type="cellIs" dxfId="2425" priority="4069" stopIfTrue="1" operator="between">
      <formula>13.1</formula>
      <formula>34</formula>
    </cfRule>
    <cfRule type="cellIs" dxfId="2424" priority="4070" stopIfTrue="1" operator="between">
      <formula>5.1</formula>
      <formula>13</formula>
    </cfRule>
    <cfRule type="cellIs" dxfId="2423" priority="4071" stopIfTrue="1" operator="between">
      <formula>0</formula>
      <formula>5</formula>
    </cfRule>
    <cfRule type="containsBlanks" dxfId="2422" priority="4072" stopIfTrue="1">
      <formula>LEN(TRIM(E251))=0</formula>
    </cfRule>
  </conditionalFormatting>
  <conditionalFormatting sqref="E253:Q253">
    <cfRule type="containsBlanks" dxfId="2421" priority="4059" stopIfTrue="1">
      <formula>LEN(TRIM(E253))=0</formula>
    </cfRule>
    <cfRule type="cellIs" dxfId="2420" priority="4060" stopIfTrue="1" operator="between">
      <formula>79.1</formula>
      <formula>100</formula>
    </cfRule>
    <cfRule type="cellIs" dxfId="2419" priority="4061" stopIfTrue="1" operator="between">
      <formula>34.1</formula>
      <formula>79</formula>
    </cfRule>
    <cfRule type="cellIs" dxfId="2418" priority="4062" stopIfTrue="1" operator="between">
      <formula>13.1</formula>
      <formula>34</formula>
    </cfRule>
    <cfRule type="cellIs" dxfId="2417" priority="4063" stopIfTrue="1" operator="between">
      <formula>5.1</formula>
      <formula>13</formula>
    </cfRule>
    <cfRule type="cellIs" dxfId="2416" priority="4064" stopIfTrue="1" operator="between">
      <formula>0</formula>
      <formula>5</formula>
    </cfRule>
    <cfRule type="containsBlanks" dxfId="2415" priority="4065" stopIfTrue="1">
      <formula>LEN(TRIM(E253))=0</formula>
    </cfRule>
  </conditionalFormatting>
  <conditionalFormatting sqref="E256:Q256">
    <cfRule type="containsBlanks" dxfId="2414" priority="4052" stopIfTrue="1">
      <formula>LEN(TRIM(E256))=0</formula>
    </cfRule>
    <cfRule type="cellIs" dxfId="2413" priority="4053" stopIfTrue="1" operator="between">
      <formula>79.1</formula>
      <formula>100</formula>
    </cfRule>
    <cfRule type="cellIs" dxfId="2412" priority="4054" stopIfTrue="1" operator="between">
      <formula>34.1</formula>
      <formula>79</formula>
    </cfRule>
    <cfRule type="cellIs" dxfId="2411" priority="4055" stopIfTrue="1" operator="between">
      <formula>13.1</formula>
      <formula>34</formula>
    </cfRule>
    <cfRule type="cellIs" dxfId="2410" priority="4056" stopIfTrue="1" operator="between">
      <formula>5.1</formula>
      <formula>13</formula>
    </cfRule>
    <cfRule type="cellIs" dxfId="2409" priority="4057" stopIfTrue="1" operator="between">
      <formula>0</formula>
      <formula>5</formula>
    </cfRule>
    <cfRule type="containsBlanks" dxfId="2408" priority="4058" stopIfTrue="1">
      <formula>LEN(TRIM(E256))=0</formula>
    </cfRule>
  </conditionalFormatting>
  <conditionalFormatting sqref="E257:Q257">
    <cfRule type="containsBlanks" dxfId="2407" priority="4045" stopIfTrue="1">
      <formula>LEN(TRIM(E257))=0</formula>
    </cfRule>
    <cfRule type="cellIs" dxfId="2406" priority="4046" stopIfTrue="1" operator="between">
      <formula>79.1</formula>
      <formula>100</formula>
    </cfRule>
    <cfRule type="cellIs" dxfId="2405" priority="4047" stopIfTrue="1" operator="between">
      <formula>34.1</formula>
      <formula>79</formula>
    </cfRule>
    <cfRule type="cellIs" dxfId="2404" priority="4048" stopIfTrue="1" operator="between">
      <formula>13.1</formula>
      <formula>34</formula>
    </cfRule>
    <cfRule type="cellIs" dxfId="2403" priority="4049" stopIfTrue="1" operator="between">
      <formula>5.1</formula>
      <formula>13</formula>
    </cfRule>
    <cfRule type="cellIs" dxfId="2402" priority="4050" stopIfTrue="1" operator="between">
      <formula>0</formula>
      <formula>5</formula>
    </cfRule>
    <cfRule type="containsBlanks" dxfId="2401" priority="4051" stopIfTrue="1">
      <formula>LEN(TRIM(E257))=0</formula>
    </cfRule>
  </conditionalFormatting>
  <conditionalFormatting sqref="E258:Q258">
    <cfRule type="containsBlanks" dxfId="2400" priority="4038" stopIfTrue="1">
      <formula>LEN(TRIM(E258))=0</formula>
    </cfRule>
    <cfRule type="cellIs" dxfId="2399" priority="4039" stopIfTrue="1" operator="between">
      <formula>79.1</formula>
      <formula>100</formula>
    </cfRule>
    <cfRule type="cellIs" dxfId="2398" priority="4040" stopIfTrue="1" operator="between">
      <formula>34.1</formula>
      <formula>79</formula>
    </cfRule>
    <cfRule type="cellIs" dxfId="2397" priority="4041" stopIfTrue="1" operator="between">
      <formula>13.1</formula>
      <formula>34</formula>
    </cfRule>
    <cfRule type="cellIs" dxfId="2396" priority="4042" stopIfTrue="1" operator="between">
      <formula>5.1</formula>
      <formula>13</formula>
    </cfRule>
    <cfRule type="cellIs" dxfId="2395" priority="4043" stopIfTrue="1" operator="between">
      <formula>0</formula>
      <formula>5</formula>
    </cfRule>
    <cfRule type="containsBlanks" dxfId="2394" priority="4044" stopIfTrue="1">
      <formula>LEN(TRIM(E258))=0</formula>
    </cfRule>
  </conditionalFormatting>
  <conditionalFormatting sqref="E259:Q259">
    <cfRule type="containsBlanks" dxfId="2393" priority="4031" stopIfTrue="1">
      <formula>LEN(TRIM(E259))=0</formula>
    </cfRule>
    <cfRule type="cellIs" dxfId="2392" priority="4032" stopIfTrue="1" operator="between">
      <formula>79.1</formula>
      <formula>100</formula>
    </cfRule>
    <cfRule type="cellIs" dxfId="2391" priority="4033" stopIfTrue="1" operator="between">
      <formula>34.1</formula>
      <formula>79</formula>
    </cfRule>
    <cfRule type="cellIs" dxfId="2390" priority="4034" stopIfTrue="1" operator="between">
      <formula>13.1</formula>
      <formula>34</formula>
    </cfRule>
    <cfRule type="cellIs" dxfId="2389" priority="4035" stopIfTrue="1" operator="between">
      <formula>5.1</formula>
      <formula>13</formula>
    </cfRule>
    <cfRule type="cellIs" dxfId="2388" priority="4036" stopIfTrue="1" operator="between">
      <formula>0</formula>
      <formula>5</formula>
    </cfRule>
    <cfRule type="containsBlanks" dxfId="2387" priority="4037" stopIfTrue="1">
      <formula>LEN(TRIM(E259))=0</formula>
    </cfRule>
  </conditionalFormatting>
  <conditionalFormatting sqref="E266:Q266">
    <cfRule type="containsBlanks" dxfId="2386" priority="4024" stopIfTrue="1">
      <formula>LEN(TRIM(E266))=0</formula>
    </cfRule>
    <cfRule type="cellIs" dxfId="2385" priority="4025" stopIfTrue="1" operator="between">
      <formula>79.1</formula>
      <formula>100</formula>
    </cfRule>
    <cfRule type="cellIs" dxfId="2384" priority="4026" stopIfTrue="1" operator="between">
      <formula>34.1</formula>
      <formula>79</formula>
    </cfRule>
    <cfRule type="cellIs" dxfId="2383" priority="4027" stopIfTrue="1" operator="between">
      <formula>13.1</formula>
      <formula>34</formula>
    </cfRule>
    <cfRule type="cellIs" dxfId="2382" priority="4028" stopIfTrue="1" operator="between">
      <formula>5.1</formula>
      <formula>13</formula>
    </cfRule>
    <cfRule type="cellIs" dxfId="2381" priority="4029" stopIfTrue="1" operator="between">
      <formula>0</formula>
      <formula>5</formula>
    </cfRule>
    <cfRule type="containsBlanks" dxfId="2380" priority="4030" stopIfTrue="1">
      <formula>LEN(TRIM(E266))=0</formula>
    </cfRule>
  </conditionalFormatting>
  <conditionalFormatting sqref="E244:Q244">
    <cfRule type="containsBlanks" dxfId="2379" priority="3996" stopIfTrue="1">
      <formula>LEN(TRIM(E244))=0</formula>
    </cfRule>
    <cfRule type="cellIs" dxfId="2378" priority="3997" stopIfTrue="1" operator="between">
      <formula>79.1</formula>
      <formula>100</formula>
    </cfRule>
    <cfRule type="cellIs" dxfId="2377" priority="3998" stopIfTrue="1" operator="between">
      <formula>34.1</formula>
      <formula>79</formula>
    </cfRule>
    <cfRule type="cellIs" dxfId="2376" priority="3999" stopIfTrue="1" operator="between">
      <formula>13.1</formula>
      <formula>34</formula>
    </cfRule>
    <cfRule type="cellIs" dxfId="2375" priority="4000" stopIfTrue="1" operator="between">
      <formula>5.1</formula>
      <formula>13</formula>
    </cfRule>
    <cfRule type="cellIs" dxfId="2374" priority="4001" stopIfTrue="1" operator="between">
      <formula>0</formula>
      <formula>5</formula>
    </cfRule>
    <cfRule type="containsBlanks" dxfId="2373" priority="4002" stopIfTrue="1">
      <formula>LEN(TRIM(E244))=0</formula>
    </cfRule>
  </conditionalFormatting>
  <conditionalFormatting sqref="E276:Q276">
    <cfRule type="containsBlanks" dxfId="2372" priority="3897" stopIfTrue="1">
      <formula>LEN(TRIM(E276))=0</formula>
    </cfRule>
    <cfRule type="cellIs" dxfId="2371" priority="3898" stopIfTrue="1" operator="between">
      <formula>79.1</formula>
      <formula>100</formula>
    </cfRule>
    <cfRule type="cellIs" dxfId="2370" priority="3899" stopIfTrue="1" operator="between">
      <formula>34.1</formula>
      <formula>79</formula>
    </cfRule>
    <cfRule type="cellIs" dxfId="2369" priority="3900" stopIfTrue="1" operator="between">
      <formula>13.1</formula>
      <formula>34</formula>
    </cfRule>
    <cfRule type="cellIs" dxfId="2368" priority="3901" stopIfTrue="1" operator="between">
      <formula>5.1</formula>
      <formula>13</formula>
    </cfRule>
    <cfRule type="cellIs" dxfId="2367" priority="3902" stopIfTrue="1" operator="between">
      <formula>0</formula>
      <formula>5</formula>
    </cfRule>
    <cfRule type="containsBlanks" dxfId="2366" priority="3903" stopIfTrue="1">
      <formula>LEN(TRIM(E276))=0</formula>
    </cfRule>
  </conditionalFormatting>
  <conditionalFormatting sqref="E238:I238">
    <cfRule type="containsBlanks" dxfId="2365" priority="4017" stopIfTrue="1">
      <formula>LEN(TRIM(E238))=0</formula>
    </cfRule>
    <cfRule type="cellIs" dxfId="2364" priority="4018" stopIfTrue="1" operator="between">
      <formula>79.1</formula>
      <formula>100</formula>
    </cfRule>
    <cfRule type="cellIs" dxfId="2363" priority="4019" stopIfTrue="1" operator="between">
      <formula>34.1</formula>
      <formula>79</formula>
    </cfRule>
    <cfRule type="cellIs" dxfId="2362" priority="4020" stopIfTrue="1" operator="between">
      <formula>13.1</formula>
      <formula>34</formula>
    </cfRule>
    <cfRule type="cellIs" dxfId="2361" priority="4021" stopIfTrue="1" operator="between">
      <formula>5.1</formula>
      <formula>13</formula>
    </cfRule>
    <cfRule type="cellIs" dxfId="2360" priority="4022" stopIfTrue="1" operator="between">
      <formula>0</formula>
      <formula>5</formula>
    </cfRule>
    <cfRule type="containsBlanks" dxfId="2359" priority="4023" stopIfTrue="1">
      <formula>LEN(TRIM(E238))=0</formula>
    </cfRule>
  </conditionalFormatting>
  <conditionalFormatting sqref="J238:Q238">
    <cfRule type="containsBlanks" dxfId="2358" priority="4010" stopIfTrue="1">
      <formula>LEN(TRIM(J238))=0</formula>
    </cfRule>
    <cfRule type="cellIs" dxfId="2357" priority="4011" stopIfTrue="1" operator="between">
      <formula>79.1</formula>
      <formula>100</formula>
    </cfRule>
    <cfRule type="cellIs" dxfId="2356" priority="4012" stopIfTrue="1" operator="between">
      <formula>34.1</formula>
      <formula>79</formula>
    </cfRule>
    <cfRule type="cellIs" dxfId="2355" priority="4013" stopIfTrue="1" operator="between">
      <formula>13.1</formula>
      <formula>34</formula>
    </cfRule>
    <cfRule type="cellIs" dxfId="2354" priority="4014" stopIfTrue="1" operator="between">
      <formula>5.1</formula>
      <formula>13</formula>
    </cfRule>
    <cfRule type="cellIs" dxfId="2353" priority="4015" stopIfTrue="1" operator="between">
      <formula>0</formula>
      <formula>5</formula>
    </cfRule>
    <cfRule type="containsBlanks" dxfId="2352" priority="4016" stopIfTrue="1">
      <formula>LEN(TRIM(J238))=0</formula>
    </cfRule>
  </conditionalFormatting>
  <conditionalFormatting sqref="E242:Q242">
    <cfRule type="containsBlanks" dxfId="2351" priority="4003" stopIfTrue="1">
      <formula>LEN(TRIM(E242))=0</formula>
    </cfRule>
    <cfRule type="cellIs" dxfId="2350" priority="4004" stopIfTrue="1" operator="between">
      <formula>79.1</formula>
      <formula>100</formula>
    </cfRule>
    <cfRule type="cellIs" dxfId="2349" priority="4005" stopIfTrue="1" operator="between">
      <formula>34.1</formula>
      <formula>79</formula>
    </cfRule>
    <cfRule type="cellIs" dxfId="2348" priority="4006" stopIfTrue="1" operator="between">
      <formula>13.1</formula>
      <formula>34</formula>
    </cfRule>
    <cfRule type="cellIs" dxfId="2347" priority="4007" stopIfTrue="1" operator="between">
      <formula>5.1</formula>
      <formula>13</formula>
    </cfRule>
    <cfRule type="cellIs" dxfId="2346" priority="4008" stopIfTrue="1" operator="between">
      <formula>0</formula>
      <formula>5</formula>
    </cfRule>
    <cfRule type="containsBlanks" dxfId="2345" priority="4009" stopIfTrue="1">
      <formula>LEN(TRIM(E242))=0</formula>
    </cfRule>
  </conditionalFormatting>
  <conditionalFormatting sqref="R274">
    <cfRule type="cellIs" dxfId="2344" priority="3994" stopIfTrue="1" operator="equal">
      <formula>"NO"</formula>
    </cfRule>
  </conditionalFormatting>
  <conditionalFormatting sqref="E274:Q274">
    <cfRule type="containsBlanks" dxfId="2343" priority="3960" stopIfTrue="1">
      <formula>LEN(TRIM(E274))=0</formula>
    </cfRule>
    <cfRule type="cellIs" dxfId="2342" priority="3961" stopIfTrue="1" operator="between">
      <formula>79.1</formula>
      <formula>100</formula>
    </cfRule>
    <cfRule type="cellIs" dxfId="2341" priority="3962" stopIfTrue="1" operator="between">
      <formula>34.1</formula>
      <formula>79</formula>
    </cfRule>
    <cfRule type="cellIs" dxfId="2340" priority="3963" stopIfTrue="1" operator="between">
      <formula>13.1</formula>
      <formula>34</formula>
    </cfRule>
    <cfRule type="cellIs" dxfId="2339" priority="3964" stopIfTrue="1" operator="between">
      <formula>5.1</formula>
      <formula>13</formula>
    </cfRule>
    <cfRule type="cellIs" dxfId="2338" priority="3965" stopIfTrue="1" operator="between">
      <formula>0</formula>
      <formula>5</formula>
    </cfRule>
    <cfRule type="containsBlanks" dxfId="2337" priority="3966" stopIfTrue="1">
      <formula>LEN(TRIM(E274))=0</formula>
    </cfRule>
  </conditionalFormatting>
  <conditionalFormatting sqref="E270:Q270">
    <cfRule type="containsBlanks" dxfId="2336" priority="3953" stopIfTrue="1">
      <formula>LEN(TRIM(E270))=0</formula>
    </cfRule>
    <cfRule type="cellIs" dxfId="2335" priority="3954" stopIfTrue="1" operator="between">
      <formula>79.1</formula>
      <formula>100</formula>
    </cfRule>
    <cfRule type="cellIs" dxfId="2334" priority="3955" stopIfTrue="1" operator="between">
      <formula>34.1</formula>
      <formula>79</formula>
    </cfRule>
    <cfRule type="cellIs" dxfId="2333" priority="3956" stopIfTrue="1" operator="between">
      <formula>13.1</formula>
      <formula>34</formula>
    </cfRule>
    <cfRule type="cellIs" dxfId="2332" priority="3957" stopIfTrue="1" operator="between">
      <formula>5.1</formula>
      <formula>13</formula>
    </cfRule>
    <cfRule type="cellIs" dxfId="2331" priority="3958" stopIfTrue="1" operator="between">
      <formula>0</formula>
      <formula>5</formula>
    </cfRule>
    <cfRule type="containsBlanks" dxfId="2330" priority="3959" stopIfTrue="1">
      <formula>LEN(TRIM(E270))=0</formula>
    </cfRule>
  </conditionalFormatting>
  <conditionalFormatting sqref="E255:Q255">
    <cfRule type="containsBlanks" dxfId="2329" priority="3946" stopIfTrue="1">
      <formula>LEN(TRIM(E255))=0</formula>
    </cfRule>
    <cfRule type="cellIs" dxfId="2328" priority="3947" stopIfTrue="1" operator="between">
      <formula>79.1</formula>
      <formula>100</formula>
    </cfRule>
    <cfRule type="cellIs" dxfId="2327" priority="3948" stopIfTrue="1" operator="between">
      <formula>34.1</formula>
      <formula>79</formula>
    </cfRule>
    <cfRule type="cellIs" dxfId="2326" priority="3949" stopIfTrue="1" operator="between">
      <formula>13.1</formula>
      <formula>34</formula>
    </cfRule>
    <cfRule type="cellIs" dxfId="2325" priority="3950" stopIfTrue="1" operator="between">
      <formula>5.1</formula>
      <formula>13</formula>
    </cfRule>
    <cfRule type="cellIs" dxfId="2324" priority="3951" stopIfTrue="1" operator="between">
      <formula>0</formula>
      <formula>5</formula>
    </cfRule>
    <cfRule type="containsBlanks" dxfId="2323" priority="3952" stopIfTrue="1">
      <formula>LEN(TRIM(E255))=0</formula>
    </cfRule>
  </conditionalFormatting>
  <conditionalFormatting sqref="E260:Q260">
    <cfRule type="containsBlanks" dxfId="2322" priority="3939" stopIfTrue="1">
      <formula>LEN(TRIM(E260))=0</formula>
    </cfRule>
    <cfRule type="cellIs" dxfId="2321" priority="3940" stopIfTrue="1" operator="between">
      <formula>79.1</formula>
      <formula>100</formula>
    </cfRule>
    <cfRule type="cellIs" dxfId="2320" priority="3941" stopIfTrue="1" operator="between">
      <formula>34.1</formula>
      <formula>79</formula>
    </cfRule>
    <cfRule type="cellIs" dxfId="2319" priority="3942" stopIfTrue="1" operator="between">
      <formula>13.1</formula>
      <formula>34</formula>
    </cfRule>
    <cfRule type="cellIs" dxfId="2318" priority="3943" stopIfTrue="1" operator="between">
      <formula>5.1</formula>
      <formula>13</formula>
    </cfRule>
    <cfRule type="cellIs" dxfId="2317" priority="3944" stopIfTrue="1" operator="between">
      <formula>0</formula>
      <formula>5</formula>
    </cfRule>
    <cfRule type="containsBlanks" dxfId="2316" priority="3945" stopIfTrue="1">
      <formula>LEN(TRIM(E260))=0</formula>
    </cfRule>
  </conditionalFormatting>
  <conditionalFormatting sqref="E261:Q261">
    <cfRule type="containsBlanks" dxfId="2315" priority="3932" stopIfTrue="1">
      <formula>LEN(TRIM(E261))=0</formula>
    </cfRule>
    <cfRule type="cellIs" dxfId="2314" priority="3933" stopIfTrue="1" operator="between">
      <formula>79.1</formula>
      <formula>100</formula>
    </cfRule>
    <cfRule type="cellIs" dxfId="2313" priority="3934" stopIfTrue="1" operator="between">
      <formula>34.1</formula>
      <formula>79</formula>
    </cfRule>
    <cfRule type="cellIs" dxfId="2312" priority="3935" stopIfTrue="1" operator="between">
      <formula>13.1</formula>
      <formula>34</formula>
    </cfRule>
    <cfRule type="cellIs" dxfId="2311" priority="3936" stopIfTrue="1" operator="between">
      <formula>5.1</formula>
      <formula>13</formula>
    </cfRule>
    <cfRule type="cellIs" dxfId="2310" priority="3937" stopIfTrue="1" operator="between">
      <formula>0</formula>
      <formula>5</formula>
    </cfRule>
    <cfRule type="containsBlanks" dxfId="2309" priority="3938" stopIfTrue="1">
      <formula>LEN(TRIM(E261))=0</formula>
    </cfRule>
  </conditionalFormatting>
  <conditionalFormatting sqref="E262:Q262">
    <cfRule type="containsBlanks" dxfId="2308" priority="3925" stopIfTrue="1">
      <formula>LEN(TRIM(E262))=0</formula>
    </cfRule>
    <cfRule type="cellIs" dxfId="2307" priority="3926" stopIfTrue="1" operator="between">
      <formula>79.1</formula>
      <formula>100</formula>
    </cfRule>
    <cfRule type="cellIs" dxfId="2306" priority="3927" stopIfTrue="1" operator="between">
      <formula>34.1</formula>
      <formula>79</formula>
    </cfRule>
    <cfRule type="cellIs" dxfId="2305" priority="3928" stopIfTrue="1" operator="between">
      <formula>13.1</formula>
      <formula>34</formula>
    </cfRule>
    <cfRule type="cellIs" dxfId="2304" priority="3929" stopIfTrue="1" operator="between">
      <formula>5.1</formula>
      <formula>13</formula>
    </cfRule>
    <cfRule type="cellIs" dxfId="2303" priority="3930" stopIfTrue="1" operator="between">
      <formula>0</formula>
      <formula>5</formula>
    </cfRule>
    <cfRule type="containsBlanks" dxfId="2302" priority="3931" stopIfTrue="1">
      <formula>LEN(TRIM(E262))=0</formula>
    </cfRule>
  </conditionalFormatting>
  <conditionalFormatting sqref="E264:Q264">
    <cfRule type="containsBlanks" dxfId="2301" priority="3918" stopIfTrue="1">
      <formula>LEN(TRIM(E264))=0</formula>
    </cfRule>
    <cfRule type="cellIs" dxfId="2300" priority="3919" stopIfTrue="1" operator="between">
      <formula>79.1</formula>
      <formula>100</formula>
    </cfRule>
    <cfRule type="cellIs" dxfId="2299" priority="3920" stopIfTrue="1" operator="between">
      <formula>34.1</formula>
      <formula>79</formula>
    </cfRule>
    <cfRule type="cellIs" dxfId="2298" priority="3921" stopIfTrue="1" operator="between">
      <formula>13.1</formula>
      <formula>34</formula>
    </cfRule>
    <cfRule type="cellIs" dxfId="2297" priority="3922" stopIfTrue="1" operator="between">
      <formula>5.1</formula>
      <formula>13</formula>
    </cfRule>
    <cfRule type="cellIs" dxfId="2296" priority="3923" stopIfTrue="1" operator="between">
      <formula>0</formula>
      <formula>5</formula>
    </cfRule>
    <cfRule type="containsBlanks" dxfId="2295" priority="3924" stopIfTrue="1">
      <formula>LEN(TRIM(E264))=0</formula>
    </cfRule>
  </conditionalFormatting>
  <conditionalFormatting sqref="E265:Q265">
    <cfRule type="containsBlanks" dxfId="2294" priority="3911" stopIfTrue="1">
      <formula>LEN(TRIM(E265))=0</formula>
    </cfRule>
    <cfRule type="cellIs" dxfId="2293" priority="3912" stopIfTrue="1" operator="between">
      <formula>79.1</formula>
      <formula>100</formula>
    </cfRule>
    <cfRule type="cellIs" dxfId="2292" priority="3913" stopIfTrue="1" operator="between">
      <formula>34.1</formula>
      <formula>79</formula>
    </cfRule>
    <cfRule type="cellIs" dxfId="2291" priority="3914" stopIfTrue="1" operator="between">
      <formula>13.1</formula>
      <formula>34</formula>
    </cfRule>
    <cfRule type="cellIs" dxfId="2290" priority="3915" stopIfTrue="1" operator="between">
      <formula>5.1</formula>
      <formula>13</formula>
    </cfRule>
    <cfRule type="cellIs" dxfId="2289" priority="3916" stopIfTrue="1" operator="between">
      <formula>0</formula>
      <formula>5</formula>
    </cfRule>
    <cfRule type="containsBlanks" dxfId="2288" priority="3917" stopIfTrue="1">
      <formula>LEN(TRIM(E265))=0</formula>
    </cfRule>
  </conditionalFormatting>
  <conditionalFormatting sqref="E268:Q268">
    <cfRule type="containsBlanks" dxfId="2287" priority="3904" stopIfTrue="1">
      <formula>LEN(TRIM(E268))=0</formula>
    </cfRule>
    <cfRule type="cellIs" dxfId="2286" priority="3905" stopIfTrue="1" operator="between">
      <formula>79.1</formula>
      <formula>100</formula>
    </cfRule>
    <cfRule type="cellIs" dxfId="2285" priority="3906" stopIfTrue="1" operator="between">
      <formula>34.1</formula>
      <formula>79</formula>
    </cfRule>
    <cfRule type="cellIs" dxfId="2284" priority="3907" stopIfTrue="1" operator="between">
      <formula>13.1</formula>
      <formula>34</formula>
    </cfRule>
    <cfRule type="cellIs" dxfId="2283" priority="3908" stopIfTrue="1" operator="between">
      <formula>5.1</formula>
      <formula>13</formula>
    </cfRule>
    <cfRule type="cellIs" dxfId="2282" priority="3909" stopIfTrue="1" operator="between">
      <formula>0</formula>
      <formula>5</formula>
    </cfRule>
    <cfRule type="containsBlanks" dxfId="2281" priority="3910" stopIfTrue="1">
      <formula>LEN(TRIM(E268))=0</formula>
    </cfRule>
  </conditionalFormatting>
  <conditionalFormatting sqref="E294:Q294">
    <cfRule type="containsBlanks" dxfId="2280" priority="3861" stopIfTrue="1">
      <formula>LEN(TRIM(E294))=0</formula>
    </cfRule>
    <cfRule type="cellIs" dxfId="2279" priority="3862" stopIfTrue="1" operator="between">
      <formula>80.1</formula>
      <formula>100</formula>
    </cfRule>
    <cfRule type="cellIs" dxfId="2278" priority="3863" stopIfTrue="1" operator="between">
      <formula>35.1</formula>
      <formula>80</formula>
    </cfRule>
    <cfRule type="cellIs" dxfId="2277" priority="3864" stopIfTrue="1" operator="between">
      <formula>14.1</formula>
      <formula>35</formula>
    </cfRule>
    <cfRule type="cellIs" dxfId="2276" priority="3865" stopIfTrue="1" operator="between">
      <formula>5.1</formula>
      <formula>14</formula>
    </cfRule>
    <cfRule type="cellIs" dxfId="2275" priority="3866" stopIfTrue="1" operator="between">
      <formula>0</formula>
      <formula>5</formula>
    </cfRule>
    <cfRule type="containsBlanks" dxfId="2274" priority="3867" stopIfTrue="1">
      <formula>LEN(TRIM(E294))=0</formula>
    </cfRule>
  </conditionalFormatting>
  <conditionalFormatting sqref="E295:Q297">
    <cfRule type="containsBlanks" dxfId="2273" priority="3854" stopIfTrue="1">
      <formula>LEN(TRIM(E295))=0</formula>
    </cfRule>
    <cfRule type="cellIs" dxfId="2272" priority="3855" stopIfTrue="1" operator="between">
      <formula>80.1</formula>
      <formula>100</formula>
    </cfRule>
    <cfRule type="cellIs" dxfId="2271" priority="3856" stopIfTrue="1" operator="between">
      <formula>35.1</formula>
      <formula>80</formula>
    </cfRule>
    <cfRule type="cellIs" dxfId="2270" priority="3857" stopIfTrue="1" operator="between">
      <formula>14.1</formula>
      <formula>35</formula>
    </cfRule>
    <cfRule type="cellIs" dxfId="2269" priority="3858" stopIfTrue="1" operator="between">
      <formula>5.1</formula>
      <formula>14</formula>
    </cfRule>
    <cfRule type="cellIs" dxfId="2268" priority="3859" stopIfTrue="1" operator="between">
      <formula>0</formula>
      <formula>5</formula>
    </cfRule>
    <cfRule type="containsBlanks" dxfId="2267" priority="3860" stopIfTrue="1">
      <formula>LEN(TRIM(E295))=0</formula>
    </cfRule>
  </conditionalFormatting>
  <conditionalFormatting sqref="E302:Q302">
    <cfRule type="containsBlanks" dxfId="2266" priority="3847" stopIfTrue="1">
      <formula>LEN(TRIM(E302))=0</formula>
    </cfRule>
    <cfRule type="cellIs" dxfId="2265" priority="3848" stopIfTrue="1" operator="between">
      <formula>80.1</formula>
      <formula>100</formula>
    </cfRule>
    <cfRule type="cellIs" dxfId="2264" priority="3849" stopIfTrue="1" operator="between">
      <formula>35.1</formula>
      <formula>80</formula>
    </cfRule>
    <cfRule type="cellIs" dxfId="2263" priority="3850" stopIfTrue="1" operator="between">
      <formula>14.1</formula>
      <formula>35</formula>
    </cfRule>
    <cfRule type="cellIs" dxfId="2262" priority="3851" stopIfTrue="1" operator="between">
      <formula>5.1</formula>
      <formula>14</formula>
    </cfRule>
    <cfRule type="cellIs" dxfId="2261" priority="3852" stopIfTrue="1" operator="between">
      <formula>0</formula>
      <formula>5</formula>
    </cfRule>
    <cfRule type="containsBlanks" dxfId="2260" priority="3853" stopIfTrue="1">
      <formula>LEN(TRIM(E302))=0</formula>
    </cfRule>
  </conditionalFormatting>
  <conditionalFormatting sqref="E301:Q301">
    <cfRule type="containsBlanks" dxfId="2259" priority="3840" stopIfTrue="1">
      <formula>LEN(TRIM(E301))=0</formula>
    </cfRule>
    <cfRule type="cellIs" dxfId="2258" priority="3841" stopIfTrue="1" operator="between">
      <formula>80.1</formula>
      <formula>100</formula>
    </cfRule>
    <cfRule type="cellIs" dxfId="2257" priority="3842" stopIfTrue="1" operator="between">
      <formula>35.1</formula>
      <formula>80</formula>
    </cfRule>
    <cfRule type="cellIs" dxfId="2256" priority="3843" stopIfTrue="1" operator="between">
      <formula>14.1</formula>
      <formula>35</formula>
    </cfRule>
    <cfRule type="cellIs" dxfId="2255" priority="3844" stopIfTrue="1" operator="between">
      <formula>5.1</formula>
      <formula>14</formula>
    </cfRule>
    <cfRule type="cellIs" dxfId="2254" priority="3845" stopIfTrue="1" operator="between">
      <formula>0</formula>
      <formula>5</formula>
    </cfRule>
    <cfRule type="containsBlanks" dxfId="2253" priority="3846" stopIfTrue="1">
      <formula>LEN(TRIM(E301))=0</formula>
    </cfRule>
  </conditionalFormatting>
  <conditionalFormatting sqref="E307:Q307">
    <cfRule type="containsBlanks" dxfId="2252" priority="3833" stopIfTrue="1">
      <formula>LEN(TRIM(E307))=0</formula>
    </cfRule>
    <cfRule type="cellIs" dxfId="2251" priority="3834" stopIfTrue="1" operator="between">
      <formula>80.1</formula>
      <formula>100</formula>
    </cfRule>
    <cfRule type="cellIs" dxfId="2250" priority="3835" stopIfTrue="1" operator="between">
      <formula>35.1</formula>
      <formula>80</formula>
    </cfRule>
    <cfRule type="cellIs" dxfId="2249" priority="3836" stopIfTrue="1" operator="between">
      <formula>14.1</formula>
      <formula>35</formula>
    </cfRule>
    <cfRule type="cellIs" dxfId="2248" priority="3837" stopIfTrue="1" operator="between">
      <formula>5.1</formula>
      <formula>14</formula>
    </cfRule>
    <cfRule type="cellIs" dxfId="2247" priority="3838" stopIfTrue="1" operator="between">
      <formula>0</formula>
      <formula>5</formula>
    </cfRule>
    <cfRule type="containsBlanks" dxfId="2246" priority="3839" stopIfTrue="1">
      <formula>LEN(TRIM(E307))=0</formula>
    </cfRule>
  </conditionalFormatting>
  <conditionalFormatting sqref="E308:Q308">
    <cfRule type="containsBlanks" dxfId="2245" priority="3826" stopIfTrue="1">
      <formula>LEN(TRIM(E308))=0</formula>
    </cfRule>
    <cfRule type="cellIs" dxfId="2244" priority="3827" stopIfTrue="1" operator="between">
      <formula>80.1</formula>
      <formula>100</formula>
    </cfRule>
    <cfRule type="cellIs" dxfId="2243" priority="3828" stopIfTrue="1" operator="between">
      <formula>35.1</formula>
      <formula>80</formula>
    </cfRule>
    <cfRule type="cellIs" dxfId="2242" priority="3829" stopIfTrue="1" operator="between">
      <formula>14.1</formula>
      <formula>35</formula>
    </cfRule>
    <cfRule type="cellIs" dxfId="2241" priority="3830" stopIfTrue="1" operator="between">
      <formula>5.1</formula>
      <formula>14</formula>
    </cfRule>
    <cfRule type="cellIs" dxfId="2240" priority="3831" stopIfTrue="1" operator="between">
      <formula>0</formula>
      <formula>5</formula>
    </cfRule>
    <cfRule type="containsBlanks" dxfId="2239" priority="3832" stopIfTrue="1">
      <formula>LEN(TRIM(E308))=0</formula>
    </cfRule>
  </conditionalFormatting>
  <conditionalFormatting sqref="E309:Q309">
    <cfRule type="containsBlanks" dxfId="2238" priority="3819" stopIfTrue="1">
      <formula>LEN(TRIM(E309))=0</formula>
    </cfRule>
    <cfRule type="cellIs" dxfId="2237" priority="3820" stopIfTrue="1" operator="between">
      <formula>80.1</formula>
      <formula>100</formula>
    </cfRule>
    <cfRule type="cellIs" dxfId="2236" priority="3821" stopIfTrue="1" operator="between">
      <formula>35.1</formula>
      <formula>80</formula>
    </cfRule>
    <cfRule type="cellIs" dxfId="2235" priority="3822" stopIfTrue="1" operator="between">
      <formula>14.1</formula>
      <formula>35</formula>
    </cfRule>
    <cfRule type="cellIs" dxfId="2234" priority="3823" stopIfTrue="1" operator="between">
      <formula>5.1</formula>
      <formula>14</formula>
    </cfRule>
    <cfRule type="cellIs" dxfId="2233" priority="3824" stopIfTrue="1" operator="between">
      <formula>0</formula>
      <formula>5</formula>
    </cfRule>
    <cfRule type="containsBlanks" dxfId="2232" priority="3825" stopIfTrue="1">
      <formula>LEN(TRIM(E309))=0</formula>
    </cfRule>
  </conditionalFormatting>
  <conditionalFormatting sqref="E310:Q310">
    <cfRule type="containsBlanks" dxfId="2231" priority="3812" stopIfTrue="1">
      <formula>LEN(TRIM(E310))=0</formula>
    </cfRule>
    <cfRule type="cellIs" dxfId="2230" priority="3813" stopIfTrue="1" operator="between">
      <formula>80.1</formula>
      <formula>100</formula>
    </cfRule>
    <cfRule type="cellIs" dxfId="2229" priority="3814" stopIfTrue="1" operator="between">
      <formula>35.1</formula>
      <formula>80</formula>
    </cfRule>
    <cfRule type="cellIs" dxfId="2228" priority="3815" stopIfTrue="1" operator="between">
      <formula>14.1</formula>
      <formula>35</formula>
    </cfRule>
    <cfRule type="cellIs" dxfId="2227" priority="3816" stopIfTrue="1" operator="between">
      <formula>5.1</formula>
      <formula>14</formula>
    </cfRule>
    <cfRule type="cellIs" dxfId="2226" priority="3817" stopIfTrue="1" operator="between">
      <formula>0</formula>
      <formula>5</formula>
    </cfRule>
    <cfRule type="containsBlanks" dxfId="2225" priority="3818" stopIfTrue="1">
      <formula>LEN(TRIM(E310))=0</formula>
    </cfRule>
  </conditionalFormatting>
  <conditionalFormatting sqref="E299:Q299">
    <cfRule type="containsBlanks" dxfId="2224" priority="3805" stopIfTrue="1">
      <formula>LEN(TRIM(E299))=0</formula>
    </cfRule>
    <cfRule type="cellIs" dxfId="2223" priority="3806" stopIfTrue="1" operator="between">
      <formula>80.1</formula>
      <formula>100</formula>
    </cfRule>
    <cfRule type="cellIs" dxfId="2222" priority="3807" stopIfTrue="1" operator="between">
      <formula>35.1</formula>
      <formula>80</formula>
    </cfRule>
    <cfRule type="cellIs" dxfId="2221" priority="3808" stopIfTrue="1" operator="between">
      <formula>14.1</formula>
      <formula>35</formula>
    </cfRule>
    <cfRule type="cellIs" dxfId="2220" priority="3809" stopIfTrue="1" operator="between">
      <formula>5.1</formula>
      <formula>14</formula>
    </cfRule>
    <cfRule type="cellIs" dxfId="2219" priority="3810" stopIfTrue="1" operator="between">
      <formula>0</formula>
      <formula>5</formula>
    </cfRule>
    <cfRule type="containsBlanks" dxfId="2218" priority="3811" stopIfTrue="1">
      <formula>LEN(TRIM(E299))=0</formula>
    </cfRule>
  </conditionalFormatting>
  <conditionalFormatting sqref="E298:Q298">
    <cfRule type="containsBlanks" dxfId="2217" priority="3798" stopIfTrue="1">
      <formula>LEN(TRIM(E298))=0</formula>
    </cfRule>
    <cfRule type="cellIs" dxfId="2216" priority="3799" stopIfTrue="1" operator="between">
      <formula>80.1</formula>
      <formula>100</formula>
    </cfRule>
    <cfRule type="cellIs" dxfId="2215" priority="3800" stopIfTrue="1" operator="between">
      <formula>35.1</formula>
      <formula>80</formula>
    </cfRule>
    <cfRule type="cellIs" dxfId="2214" priority="3801" stopIfTrue="1" operator="between">
      <formula>14.1</formula>
      <formula>35</formula>
    </cfRule>
    <cfRule type="cellIs" dxfId="2213" priority="3802" stopIfTrue="1" operator="between">
      <formula>5.1</formula>
      <formula>14</formula>
    </cfRule>
    <cfRule type="cellIs" dxfId="2212" priority="3803" stopIfTrue="1" operator="between">
      <formula>0</formula>
      <formula>5</formula>
    </cfRule>
    <cfRule type="containsBlanks" dxfId="2211" priority="3804" stopIfTrue="1">
      <formula>LEN(TRIM(E298))=0</formula>
    </cfRule>
  </conditionalFormatting>
  <conditionalFormatting sqref="F289:P289">
    <cfRule type="containsBlanks" dxfId="2210" priority="3791" stopIfTrue="1">
      <formula>LEN(TRIM(F289))=0</formula>
    </cfRule>
    <cfRule type="cellIs" dxfId="2209" priority="3792" stopIfTrue="1" operator="between">
      <formula>79.1</formula>
      <formula>100</formula>
    </cfRule>
    <cfRule type="cellIs" dxfId="2208" priority="3793" stopIfTrue="1" operator="between">
      <formula>34.1</formula>
      <formula>79</formula>
    </cfRule>
    <cfRule type="cellIs" dxfId="2207" priority="3794" stopIfTrue="1" operator="between">
      <formula>13.1</formula>
      <formula>34</formula>
    </cfRule>
    <cfRule type="cellIs" dxfId="2206" priority="3795" stopIfTrue="1" operator="between">
      <formula>5.1</formula>
      <formula>13</formula>
    </cfRule>
    <cfRule type="cellIs" dxfId="2205" priority="3796" stopIfTrue="1" operator="between">
      <formula>0</formula>
      <formula>5</formula>
    </cfRule>
    <cfRule type="containsBlanks" dxfId="2204" priority="3797" stopIfTrue="1">
      <formula>LEN(TRIM(F289))=0</formula>
    </cfRule>
  </conditionalFormatting>
  <conditionalFormatting sqref="E311:P311">
    <cfRule type="containsBlanks" dxfId="2203" priority="3784" stopIfTrue="1">
      <formula>LEN(TRIM(E311))=0</formula>
    </cfRule>
    <cfRule type="cellIs" dxfId="2202" priority="3785" stopIfTrue="1" operator="between">
      <formula>79.1</formula>
      <formula>100</formula>
    </cfRule>
    <cfRule type="cellIs" dxfId="2201" priority="3786" stopIfTrue="1" operator="between">
      <formula>34.1</formula>
      <formula>79</formula>
    </cfRule>
    <cfRule type="cellIs" dxfId="2200" priority="3787" stopIfTrue="1" operator="between">
      <formula>13.1</formula>
      <formula>34</formula>
    </cfRule>
    <cfRule type="cellIs" dxfId="2199" priority="3788" stopIfTrue="1" operator="between">
      <formula>5.1</formula>
      <formula>13</formula>
    </cfRule>
    <cfRule type="cellIs" dxfId="2198" priority="3789" stopIfTrue="1" operator="between">
      <formula>0</formula>
      <formula>5</formula>
    </cfRule>
    <cfRule type="containsBlanks" dxfId="2197" priority="3790" stopIfTrue="1">
      <formula>LEN(TRIM(E311))=0</formula>
    </cfRule>
  </conditionalFormatting>
  <conditionalFormatting sqref="E312:P316">
    <cfRule type="containsBlanks" dxfId="2196" priority="3770" stopIfTrue="1">
      <formula>LEN(TRIM(E312))=0</formula>
    </cfRule>
    <cfRule type="cellIs" dxfId="2195" priority="3771" stopIfTrue="1" operator="between">
      <formula>79.1</formula>
      <formula>100</formula>
    </cfRule>
    <cfRule type="cellIs" dxfId="2194" priority="3772" stopIfTrue="1" operator="between">
      <formula>34.1</formula>
      <formula>79</formula>
    </cfRule>
    <cfRule type="cellIs" dxfId="2193" priority="3773" stopIfTrue="1" operator="between">
      <formula>13.1</formula>
      <formula>34</formula>
    </cfRule>
    <cfRule type="cellIs" dxfId="2192" priority="3774" stopIfTrue="1" operator="between">
      <formula>5.1</formula>
      <formula>13</formula>
    </cfRule>
    <cfRule type="cellIs" dxfId="2191" priority="3775" stopIfTrue="1" operator="between">
      <formula>0</formula>
      <formula>5</formula>
    </cfRule>
    <cfRule type="containsBlanks" dxfId="2190" priority="3776" stopIfTrue="1">
      <formula>LEN(TRIM(E312))=0</formula>
    </cfRule>
  </conditionalFormatting>
  <conditionalFormatting sqref="E318:P318">
    <cfRule type="containsBlanks" dxfId="2189" priority="3763" stopIfTrue="1">
      <formula>LEN(TRIM(E318))=0</formula>
    </cfRule>
    <cfRule type="cellIs" dxfId="2188" priority="3764" stopIfTrue="1" operator="between">
      <formula>79.1</formula>
      <formula>100</formula>
    </cfRule>
    <cfRule type="cellIs" dxfId="2187" priority="3765" stopIfTrue="1" operator="between">
      <formula>34.1</formula>
      <formula>79</formula>
    </cfRule>
    <cfRule type="cellIs" dxfId="2186" priority="3766" stopIfTrue="1" operator="between">
      <formula>13.1</formula>
      <formula>34</formula>
    </cfRule>
    <cfRule type="cellIs" dxfId="2185" priority="3767" stopIfTrue="1" operator="between">
      <formula>5.1</formula>
      <formula>13</formula>
    </cfRule>
    <cfRule type="cellIs" dxfId="2184" priority="3768" stopIfTrue="1" operator="between">
      <formula>0</formula>
      <formula>5</formula>
    </cfRule>
    <cfRule type="containsBlanks" dxfId="2183" priority="3769" stopIfTrue="1">
      <formula>LEN(TRIM(E318))=0</formula>
    </cfRule>
  </conditionalFormatting>
  <conditionalFormatting sqref="E317:P317">
    <cfRule type="containsBlanks" dxfId="2182" priority="3756" stopIfTrue="1">
      <formula>LEN(TRIM(E317))=0</formula>
    </cfRule>
    <cfRule type="cellIs" dxfId="2181" priority="3757" stopIfTrue="1" operator="between">
      <formula>79.1</formula>
      <formula>100</formula>
    </cfRule>
    <cfRule type="cellIs" dxfId="2180" priority="3758" stopIfTrue="1" operator="between">
      <formula>34.1</formula>
      <formula>79</formula>
    </cfRule>
    <cfRule type="cellIs" dxfId="2179" priority="3759" stopIfTrue="1" operator="between">
      <formula>13.1</formula>
      <formula>34</formula>
    </cfRule>
    <cfRule type="cellIs" dxfId="2178" priority="3760" stopIfTrue="1" operator="between">
      <formula>5.1</formula>
      <formula>13</formula>
    </cfRule>
    <cfRule type="cellIs" dxfId="2177" priority="3761" stopIfTrue="1" operator="between">
      <formula>0</formula>
      <formula>5</formula>
    </cfRule>
    <cfRule type="containsBlanks" dxfId="2176" priority="3762" stopIfTrue="1">
      <formula>LEN(TRIM(E317))=0</formula>
    </cfRule>
  </conditionalFormatting>
  <conditionalFormatting sqref="E319:P322">
    <cfRule type="containsBlanks" dxfId="2175" priority="3749" stopIfTrue="1">
      <formula>LEN(TRIM(E319))=0</formula>
    </cfRule>
    <cfRule type="cellIs" dxfId="2174" priority="3750" stopIfTrue="1" operator="between">
      <formula>79.1</formula>
      <formula>100</formula>
    </cfRule>
    <cfRule type="cellIs" dxfId="2173" priority="3751" stopIfTrue="1" operator="between">
      <formula>34.1</formula>
      <formula>79</formula>
    </cfRule>
    <cfRule type="cellIs" dxfId="2172" priority="3752" stopIfTrue="1" operator="between">
      <formula>13.1</formula>
      <formula>34</formula>
    </cfRule>
    <cfRule type="cellIs" dxfId="2171" priority="3753" stopIfTrue="1" operator="between">
      <formula>5.1</formula>
      <formula>13</formula>
    </cfRule>
    <cfRule type="cellIs" dxfId="2170" priority="3754" stopIfTrue="1" operator="between">
      <formula>0</formula>
      <formula>5</formula>
    </cfRule>
    <cfRule type="containsBlanks" dxfId="2169" priority="3755" stopIfTrue="1">
      <formula>LEN(TRIM(E319))=0</formula>
    </cfRule>
  </conditionalFormatting>
  <conditionalFormatting sqref="E323:P326">
    <cfRule type="containsBlanks" dxfId="2168" priority="3742" stopIfTrue="1">
      <formula>LEN(TRIM(E323))=0</formula>
    </cfRule>
    <cfRule type="cellIs" dxfId="2167" priority="3743" stopIfTrue="1" operator="between">
      <formula>79.1</formula>
      <formula>100</formula>
    </cfRule>
    <cfRule type="cellIs" dxfId="2166" priority="3744" stopIfTrue="1" operator="between">
      <formula>34.1</formula>
      <formula>79</formula>
    </cfRule>
    <cfRule type="cellIs" dxfId="2165" priority="3745" stopIfTrue="1" operator="between">
      <formula>13.1</formula>
      <formula>34</formula>
    </cfRule>
    <cfRule type="cellIs" dxfId="2164" priority="3746" stopIfTrue="1" operator="between">
      <formula>5.1</formula>
      <formula>13</formula>
    </cfRule>
    <cfRule type="cellIs" dxfId="2163" priority="3747" stopIfTrue="1" operator="between">
      <formula>0</formula>
      <formula>5</formula>
    </cfRule>
    <cfRule type="containsBlanks" dxfId="2162" priority="3748" stopIfTrue="1">
      <formula>LEN(TRIM(E323))=0</formula>
    </cfRule>
  </conditionalFormatting>
  <conditionalFormatting sqref="E330:Q332">
    <cfRule type="containsBlanks" dxfId="2161" priority="3735" stopIfTrue="1">
      <formula>LEN(TRIM(E330))=0</formula>
    </cfRule>
    <cfRule type="cellIs" dxfId="2160" priority="3736" stopIfTrue="1" operator="between">
      <formula>80.1</formula>
      <formula>100</formula>
    </cfRule>
    <cfRule type="cellIs" dxfId="2159" priority="3737" stopIfTrue="1" operator="between">
      <formula>35.1</formula>
      <formula>80</formula>
    </cfRule>
    <cfRule type="cellIs" dxfId="2158" priority="3738" stopIfTrue="1" operator="between">
      <formula>14.1</formula>
      <formula>35</formula>
    </cfRule>
    <cfRule type="cellIs" dxfId="2157" priority="3739" stopIfTrue="1" operator="between">
      <formula>5.1</formula>
      <formula>14</formula>
    </cfRule>
    <cfRule type="cellIs" dxfId="2156" priority="3740" stopIfTrue="1" operator="between">
      <formula>0</formula>
      <formula>5</formula>
    </cfRule>
    <cfRule type="containsBlanks" dxfId="2155" priority="3741" stopIfTrue="1">
      <formula>LEN(TRIM(E330))=0</formula>
    </cfRule>
  </conditionalFormatting>
  <conditionalFormatting sqref="E333:Q337">
    <cfRule type="containsBlanks" dxfId="2154" priority="3728" stopIfTrue="1">
      <formula>LEN(TRIM(E333))=0</formula>
    </cfRule>
    <cfRule type="cellIs" dxfId="2153" priority="3729" stopIfTrue="1" operator="between">
      <formula>80.1</formula>
      <formula>100</formula>
    </cfRule>
    <cfRule type="cellIs" dxfId="2152" priority="3730" stopIfTrue="1" operator="between">
      <formula>35.1</formula>
      <formula>80</formula>
    </cfRule>
    <cfRule type="cellIs" dxfId="2151" priority="3731" stopIfTrue="1" operator="between">
      <formula>14.1</formula>
      <formula>35</formula>
    </cfRule>
    <cfRule type="cellIs" dxfId="2150" priority="3732" stopIfTrue="1" operator="between">
      <formula>5.1</formula>
      <formula>14</formula>
    </cfRule>
    <cfRule type="cellIs" dxfId="2149" priority="3733" stopIfTrue="1" operator="between">
      <formula>0</formula>
      <formula>5</formula>
    </cfRule>
    <cfRule type="containsBlanks" dxfId="2148" priority="3734" stopIfTrue="1">
      <formula>LEN(TRIM(E333))=0</formula>
    </cfRule>
  </conditionalFormatting>
  <conditionalFormatting sqref="E338:Q341">
    <cfRule type="containsBlanks" dxfId="2147" priority="3721" stopIfTrue="1">
      <formula>LEN(TRIM(E338))=0</formula>
    </cfRule>
    <cfRule type="cellIs" dxfId="2146" priority="3722" stopIfTrue="1" operator="between">
      <formula>80.1</formula>
      <formula>100</formula>
    </cfRule>
    <cfRule type="cellIs" dxfId="2145" priority="3723" stopIfTrue="1" operator="between">
      <formula>35.1</formula>
      <formula>80</formula>
    </cfRule>
    <cfRule type="cellIs" dxfId="2144" priority="3724" stopIfTrue="1" operator="between">
      <formula>14.1</formula>
      <formula>35</formula>
    </cfRule>
    <cfRule type="cellIs" dxfId="2143" priority="3725" stopIfTrue="1" operator="between">
      <formula>5.1</formula>
      <formula>14</formula>
    </cfRule>
    <cfRule type="cellIs" dxfId="2142" priority="3726" stopIfTrue="1" operator="between">
      <formula>0</formula>
      <formula>5</formula>
    </cfRule>
    <cfRule type="containsBlanks" dxfId="2141" priority="3727" stopIfTrue="1">
      <formula>LEN(TRIM(E338))=0</formula>
    </cfRule>
  </conditionalFormatting>
  <conditionalFormatting sqref="E342:Q345 E348:Q352">
    <cfRule type="containsBlanks" dxfId="2140" priority="3714" stopIfTrue="1">
      <formula>LEN(TRIM(E342))=0</formula>
    </cfRule>
    <cfRule type="cellIs" dxfId="2139" priority="3715" stopIfTrue="1" operator="between">
      <formula>80.1</formula>
      <formula>100</formula>
    </cfRule>
    <cfRule type="cellIs" dxfId="2138" priority="3716" stopIfTrue="1" operator="between">
      <formula>35.1</formula>
      <formula>80</formula>
    </cfRule>
    <cfRule type="cellIs" dxfId="2137" priority="3717" stopIfTrue="1" operator="between">
      <formula>14.1</formula>
      <formula>35</formula>
    </cfRule>
    <cfRule type="cellIs" dxfId="2136" priority="3718" stopIfTrue="1" operator="between">
      <formula>5.1</formula>
      <formula>14</formula>
    </cfRule>
    <cfRule type="cellIs" dxfId="2135" priority="3719" stopIfTrue="1" operator="between">
      <formula>0</formula>
      <formula>5</formula>
    </cfRule>
    <cfRule type="containsBlanks" dxfId="2134" priority="3720" stopIfTrue="1">
      <formula>LEN(TRIM(E342))=0</formula>
    </cfRule>
  </conditionalFormatting>
  <conditionalFormatting sqref="E353:Q359 E361:Q362">
    <cfRule type="containsBlanks" dxfId="2133" priority="3707" stopIfTrue="1">
      <formula>LEN(TRIM(E353))=0</formula>
    </cfRule>
    <cfRule type="cellIs" dxfId="2132" priority="3708" stopIfTrue="1" operator="between">
      <formula>80.1</formula>
      <formula>100</formula>
    </cfRule>
    <cfRule type="cellIs" dxfId="2131" priority="3709" stopIfTrue="1" operator="between">
      <formula>35.1</formula>
      <formula>80</formula>
    </cfRule>
    <cfRule type="cellIs" dxfId="2130" priority="3710" stopIfTrue="1" operator="between">
      <formula>14.1</formula>
      <formula>35</formula>
    </cfRule>
    <cfRule type="cellIs" dxfId="2129" priority="3711" stopIfTrue="1" operator="between">
      <formula>5.1</formula>
      <formula>14</formula>
    </cfRule>
    <cfRule type="cellIs" dxfId="2128" priority="3712" stopIfTrue="1" operator="between">
      <formula>0</formula>
      <formula>5</formula>
    </cfRule>
    <cfRule type="containsBlanks" dxfId="2127" priority="3713" stopIfTrue="1">
      <formula>LEN(TRIM(E353))=0</formula>
    </cfRule>
  </conditionalFormatting>
  <conditionalFormatting sqref="E360:Q360">
    <cfRule type="containsBlanks" dxfId="2126" priority="3700" stopIfTrue="1">
      <formula>LEN(TRIM(E360))=0</formula>
    </cfRule>
    <cfRule type="cellIs" dxfId="2125" priority="3701" stopIfTrue="1" operator="between">
      <formula>80.1</formula>
      <formula>100</formula>
    </cfRule>
    <cfRule type="cellIs" dxfId="2124" priority="3702" stopIfTrue="1" operator="between">
      <formula>35.1</formula>
      <formula>80</formula>
    </cfRule>
    <cfRule type="cellIs" dxfId="2123" priority="3703" stopIfTrue="1" operator="between">
      <formula>14.1</formula>
      <formula>35</formula>
    </cfRule>
    <cfRule type="cellIs" dxfId="2122" priority="3704" stopIfTrue="1" operator="between">
      <formula>5.1</formula>
      <formula>14</formula>
    </cfRule>
    <cfRule type="cellIs" dxfId="2121" priority="3705" stopIfTrue="1" operator="between">
      <formula>0</formula>
      <formula>5</formula>
    </cfRule>
    <cfRule type="containsBlanks" dxfId="2120" priority="3706" stopIfTrue="1">
      <formula>LEN(TRIM(E360))=0</formula>
    </cfRule>
  </conditionalFormatting>
  <conditionalFormatting sqref="E363:Q368">
    <cfRule type="containsBlanks" dxfId="2119" priority="3693" stopIfTrue="1">
      <formula>LEN(TRIM(E363))=0</formula>
    </cfRule>
    <cfRule type="cellIs" dxfId="2118" priority="3694" stopIfTrue="1" operator="between">
      <formula>80.1</formula>
      <formula>100</formula>
    </cfRule>
    <cfRule type="cellIs" dxfId="2117" priority="3695" stopIfTrue="1" operator="between">
      <formula>35.1</formula>
      <formula>80</formula>
    </cfRule>
    <cfRule type="cellIs" dxfId="2116" priority="3696" stopIfTrue="1" operator="between">
      <formula>14.1</formula>
      <formula>35</formula>
    </cfRule>
    <cfRule type="cellIs" dxfId="2115" priority="3697" stopIfTrue="1" operator="between">
      <formula>5.1</formula>
      <formula>14</formula>
    </cfRule>
    <cfRule type="cellIs" dxfId="2114" priority="3698" stopIfTrue="1" operator="between">
      <formula>0</formula>
      <formula>5</formula>
    </cfRule>
    <cfRule type="containsBlanks" dxfId="2113" priority="3699" stopIfTrue="1">
      <formula>LEN(TRIM(E363))=0</formula>
    </cfRule>
  </conditionalFormatting>
  <conditionalFormatting sqref="E377:J377">
    <cfRule type="containsBlanks" dxfId="2112" priority="3686" stopIfTrue="1">
      <formula>LEN(TRIM(E377))=0</formula>
    </cfRule>
    <cfRule type="cellIs" dxfId="2111" priority="3687" stopIfTrue="1" operator="between">
      <formula>79.1</formula>
      <formula>100</formula>
    </cfRule>
    <cfRule type="cellIs" dxfId="2110" priority="3688" stopIfTrue="1" operator="between">
      <formula>34.1</formula>
      <formula>79</formula>
    </cfRule>
    <cfRule type="cellIs" dxfId="2109" priority="3689" stopIfTrue="1" operator="between">
      <formula>13.1</formula>
      <formula>34</formula>
    </cfRule>
    <cfRule type="cellIs" dxfId="2108" priority="3690" stopIfTrue="1" operator="between">
      <formula>5.1</formula>
      <formula>13</formula>
    </cfRule>
    <cfRule type="cellIs" dxfId="2107" priority="3691" stopIfTrue="1" operator="between">
      <formula>0</formula>
      <formula>5</formula>
    </cfRule>
    <cfRule type="containsBlanks" dxfId="2106" priority="3692" stopIfTrue="1">
      <formula>LEN(TRIM(E377))=0</formula>
    </cfRule>
  </conditionalFormatting>
  <conditionalFormatting sqref="E376:I376">
    <cfRule type="containsBlanks" dxfId="2105" priority="3679" stopIfTrue="1">
      <formula>LEN(TRIM(E376))=0</formula>
    </cfRule>
    <cfRule type="cellIs" dxfId="2104" priority="3680" stopIfTrue="1" operator="between">
      <formula>79.1</formula>
      <formula>100</formula>
    </cfRule>
    <cfRule type="cellIs" dxfId="2103" priority="3681" stopIfTrue="1" operator="between">
      <formula>34.1</formula>
      <formula>79</formula>
    </cfRule>
    <cfRule type="cellIs" dxfId="2102" priority="3682" stopIfTrue="1" operator="between">
      <formula>13.1</formula>
      <formula>34</formula>
    </cfRule>
    <cfRule type="cellIs" dxfId="2101" priority="3683" stopIfTrue="1" operator="between">
      <formula>5.1</formula>
      <formula>13</formula>
    </cfRule>
    <cfRule type="cellIs" dxfId="2100" priority="3684" stopIfTrue="1" operator="between">
      <formula>0</formula>
      <formula>5</formula>
    </cfRule>
    <cfRule type="containsBlanks" dxfId="2099" priority="3685" stopIfTrue="1">
      <formula>LEN(TRIM(E376))=0</formula>
    </cfRule>
  </conditionalFormatting>
  <conditionalFormatting sqref="E378:I378">
    <cfRule type="containsBlanks" dxfId="2098" priority="3672" stopIfTrue="1">
      <formula>LEN(TRIM(E378))=0</formula>
    </cfRule>
    <cfRule type="cellIs" dxfId="2097" priority="3673" stopIfTrue="1" operator="between">
      <formula>79.1</formula>
      <formula>100</formula>
    </cfRule>
    <cfRule type="cellIs" dxfId="2096" priority="3674" stopIfTrue="1" operator="between">
      <formula>34.1</formula>
      <formula>79</formula>
    </cfRule>
    <cfRule type="cellIs" dxfId="2095" priority="3675" stopIfTrue="1" operator="between">
      <formula>13.1</formula>
      <formula>34</formula>
    </cfRule>
    <cfRule type="cellIs" dxfId="2094" priority="3676" stopIfTrue="1" operator="between">
      <formula>5.1</formula>
      <formula>13</formula>
    </cfRule>
    <cfRule type="cellIs" dxfId="2093" priority="3677" stopIfTrue="1" operator="between">
      <formula>0</formula>
      <formula>5</formula>
    </cfRule>
    <cfRule type="containsBlanks" dxfId="2092" priority="3678" stopIfTrue="1">
      <formula>LEN(TRIM(E378))=0</formula>
    </cfRule>
  </conditionalFormatting>
  <conditionalFormatting sqref="E373:K373">
    <cfRule type="containsBlanks" dxfId="2091" priority="3665" stopIfTrue="1">
      <formula>LEN(TRIM(E373))=0</formula>
    </cfRule>
    <cfRule type="cellIs" dxfId="2090" priority="3666" stopIfTrue="1" operator="between">
      <formula>79.1</formula>
      <formula>100</formula>
    </cfRule>
    <cfRule type="cellIs" dxfId="2089" priority="3667" stopIfTrue="1" operator="between">
      <formula>34.1</formula>
      <formula>79</formula>
    </cfRule>
    <cfRule type="cellIs" dxfId="2088" priority="3668" stopIfTrue="1" operator="between">
      <formula>13.1</formula>
      <formula>34</formula>
    </cfRule>
    <cfRule type="cellIs" dxfId="2087" priority="3669" stopIfTrue="1" operator="between">
      <formula>5.1</formula>
      <formula>13</formula>
    </cfRule>
    <cfRule type="cellIs" dxfId="2086" priority="3670" stopIfTrue="1" operator="between">
      <formula>0</formula>
      <formula>5</formula>
    </cfRule>
    <cfRule type="containsBlanks" dxfId="2085" priority="3671" stopIfTrue="1">
      <formula>LEN(TRIM(E373))=0</formula>
    </cfRule>
  </conditionalFormatting>
  <conditionalFormatting sqref="E370:K370">
    <cfRule type="containsBlanks" dxfId="2084" priority="3658" stopIfTrue="1">
      <formula>LEN(TRIM(E370))=0</formula>
    </cfRule>
    <cfRule type="cellIs" dxfId="2083" priority="3659" stopIfTrue="1" operator="between">
      <formula>79.1</formula>
      <formula>100</formula>
    </cfRule>
    <cfRule type="cellIs" dxfId="2082" priority="3660" stopIfTrue="1" operator="between">
      <formula>34.1</formula>
      <formula>79</formula>
    </cfRule>
    <cfRule type="cellIs" dxfId="2081" priority="3661" stopIfTrue="1" operator="between">
      <formula>13.1</formula>
      <formula>34</formula>
    </cfRule>
    <cfRule type="cellIs" dxfId="2080" priority="3662" stopIfTrue="1" operator="between">
      <formula>5.1</formula>
      <formula>13</formula>
    </cfRule>
    <cfRule type="cellIs" dxfId="2079" priority="3663" stopIfTrue="1" operator="between">
      <formula>0</formula>
      <formula>5</formula>
    </cfRule>
    <cfRule type="containsBlanks" dxfId="2078" priority="3664" stopIfTrue="1">
      <formula>LEN(TRIM(E370))=0</formula>
    </cfRule>
  </conditionalFormatting>
  <conditionalFormatting sqref="E375:J375">
    <cfRule type="containsBlanks" dxfId="2077" priority="3651" stopIfTrue="1">
      <formula>LEN(TRIM(E375))=0</formula>
    </cfRule>
    <cfRule type="cellIs" dxfId="2076" priority="3652" stopIfTrue="1" operator="between">
      <formula>79.1</formula>
      <formula>100</formula>
    </cfRule>
    <cfRule type="cellIs" dxfId="2075" priority="3653" stopIfTrue="1" operator="between">
      <formula>34.1</formula>
      <formula>79</formula>
    </cfRule>
    <cfRule type="cellIs" dxfId="2074" priority="3654" stopIfTrue="1" operator="between">
      <formula>13.1</formula>
      <formula>34</formula>
    </cfRule>
    <cfRule type="cellIs" dxfId="2073" priority="3655" stopIfTrue="1" operator="between">
      <formula>5.1</formula>
      <formula>13</formula>
    </cfRule>
    <cfRule type="cellIs" dxfId="2072" priority="3656" stopIfTrue="1" operator="between">
      <formula>0</formula>
      <formula>5</formula>
    </cfRule>
    <cfRule type="containsBlanks" dxfId="2071" priority="3657" stopIfTrue="1">
      <formula>LEN(TRIM(E375))=0</formula>
    </cfRule>
  </conditionalFormatting>
  <conditionalFormatting sqref="E380:M380">
    <cfRule type="containsBlanks" dxfId="2070" priority="3644" stopIfTrue="1">
      <formula>LEN(TRIM(E380))=0</formula>
    </cfRule>
    <cfRule type="cellIs" dxfId="2069" priority="3645" stopIfTrue="1" operator="between">
      <formula>79.1</formula>
      <formula>100</formula>
    </cfRule>
    <cfRule type="cellIs" dxfId="2068" priority="3646" stopIfTrue="1" operator="between">
      <formula>34.1</formula>
      <formula>79</formula>
    </cfRule>
    <cfRule type="cellIs" dxfId="2067" priority="3647" stopIfTrue="1" operator="between">
      <formula>13.1</formula>
      <formula>34</formula>
    </cfRule>
    <cfRule type="cellIs" dxfId="2066" priority="3648" stopIfTrue="1" operator="between">
      <formula>5.1</formula>
      <formula>13</formula>
    </cfRule>
    <cfRule type="cellIs" dxfId="2065" priority="3649" stopIfTrue="1" operator="between">
      <formula>0</formula>
      <formula>5</formula>
    </cfRule>
    <cfRule type="containsBlanks" dxfId="2064" priority="3650" stopIfTrue="1">
      <formula>LEN(TRIM(E380))=0</formula>
    </cfRule>
  </conditionalFormatting>
  <conditionalFormatting sqref="E374:N374">
    <cfRule type="containsBlanks" dxfId="2063" priority="3637" stopIfTrue="1">
      <formula>LEN(TRIM(E374))=0</formula>
    </cfRule>
    <cfRule type="cellIs" dxfId="2062" priority="3638" stopIfTrue="1" operator="between">
      <formula>79.1</formula>
      <formula>100</formula>
    </cfRule>
    <cfRule type="cellIs" dxfId="2061" priority="3639" stopIfTrue="1" operator="between">
      <formula>34.1</formula>
      <formula>79</formula>
    </cfRule>
    <cfRule type="cellIs" dxfId="2060" priority="3640" stopIfTrue="1" operator="between">
      <formula>13.1</formula>
      <formula>34</formula>
    </cfRule>
    <cfRule type="cellIs" dxfId="2059" priority="3641" stopIfTrue="1" operator="between">
      <formula>5.1</formula>
      <formula>13</formula>
    </cfRule>
    <cfRule type="cellIs" dxfId="2058" priority="3642" stopIfTrue="1" operator="between">
      <formula>0</formula>
      <formula>5</formula>
    </cfRule>
    <cfRule type="containsBlanks" dxfId="2057" priority="3643" stopIfTrue="1">
      <formula>LEN(TRIM(E374))=0</formula>
    </cfRule>
  </conditionalFormatting>
  <conditionalFormatting sqref="E372:K372">
    <cfRule type="containsBlanks" dxfId="2056" priority="3630" stopIfTrue="1">
      <formula>LEN(TRIM(E372))=0</formula>
    </cfRule>
    <cfRule type="cellIs" dxfId="2055" priority="3631" stopIfTrue="1" operator="between">
      <formula>79.1</formula>
      <formula>100</formula>
    </cfRule>
    <cfRule type="cellIs" dxfId="2054" priority="3632" stopIfTrue="1" operator="between">
      <formula>34.1</formula>
      <formula>79</formula>
    </cfRule>
    <cfRule type="cellIs" dxfId="2053" priority="3633" stopIfTrue="1" operator="between">
      <formula>13.1</formula>
      <formula>34</formula>
    </cfRule>
    <cfRule type="cellIs" dxfId="2052" priority="3634" stopIfTrue="1" operator="between">
      <formula>5.1</formula>
      <formula>13</formula>
    </cfRule>
    <cfRule type="cellIs" dxfId="2051" priority="3635" stopIfTrue="1" operator="between">
      <formula>0</formula>
      <formula>5</formula>
    </cfRule>
    <cfRule type="containsBlanks" dxfId="2050" priority="3636" stopIfTrue="1">
      <formula>LEN(TRIM(E372))=0</formula>
    </cfRule>
  </conditionalFormatting>
  <conditionalFormatting sqref="E379:L379">
    <cfRule type="containsBlanks" dxfId="2049" priority="3623" stopIfTrue="1">
      <formula>LEN(TRIM(E379))=0</formula>
    </cfRule>
    <cfRule type="cellIs" dxfId="2048" priority="3624" stopIfTrue="1" operator="between">
      <formula>79.1</formula>
      <formula>100</formula>
    </cfRule>
    <cfRule type="cellIs" dxfId="2047" priority="3625" stopIfTrue="1" operator="between">
      <formula>34.1</formula>
      <formula>79</formula>
    </cfRule>
    <cfRule type="cellIs" dxfId="2046" priority="3626" stopIfTrue="1" operator="between">
      <formula>13.1</formula>
      <formula>34</formula>
    </cfRule>
    <cfRule type="cellIs" dxfId="2045" priority="3627" stopIfTrue="1" operator="between">
      <formula>5.1</formula>
      <formula>13</formula>
    </cfRule>
    <cfRule type="cellIs" dxfId="2044" priority="3628" stopIfTrue="1" operator="between">
      <formula>0</formula>
      <formula>5</formula>
    </cfRule>
    <cfRule type="containsBlanks" dxfId="2043" priority="3629" stopIfTrue="1">
      <formula>LEN(TRIM(E379))=0</formula>
    </cfRule>
  </conditionalFormatting>
  <conditionalFormatting sqref="E371:K371">
    <cfRule type="containsBlanks" dxfId="2042" priority="3616" stopIfTrue="1">
      <formula>LEN(TRIM(E371))=0</formula>
    </cfRule>
    <cfRule type="cellIs" dxfId="2041" priority="3617" stopIfTrue="1" operator="between">
      <formula>79.1</formula>
      <formula>100</formula>
    </cfRule>
    <cfRule type="cellIs" dxfId="2040" priority="3618" stopIfTrue="1" operator="between">
      <formula>34.1</formula>
      <formula>79</formula>
    </cfRule>
    <cfRule type="cellIs" dxfId="2039" priority="3619" stopIfTrue="1" operator="between">
      <formula>13.1</formula>
      <formula>34</formula>
    </cfRule>
    <cfRule type="cellIs" dxfId="2038" priority="3620" stopIfTrue="1" operator="between">
      <formula>5.1</formula>
      <formula>13</formula>
    </cfRule>
    <cfRule type="cellIs" dxfId="2037" priority="3621" stopIfTrue="1" operator="between">
      <formula>0</formula>
      <formula>5</formula>
    </cfRule>
    <cfRule type="containsBlanks" dxfId="2036" priority="3622" stopIfTrue="1">
      <formula>LEN(TRIM(E371))=0</formula>
    </cfRule>
  </conditionalFormatting>
  <conditionalFormatting sqref="E381:G381 K381:Q381">
    <cfRule type="containsBlanks" dxfId="2035" priority="3609" stopIfTrue="1">
      <formula>LEN(TRIM(E381))=0</formula>
    </cfRule>
    <cfRule type="cellIs" dxfId="2034" priority="3610" stopIfTrue="1" operator="between">
      <formula>80.1</formula>
      <formula>100</formula>
    </cfRule>
    <cfRule type="cellIs" dxfId="2033" priority="3611" stopIfTrue="1" operator="between">
      <formula>35.1</formula>
      <formula>80</formula>
    </cfRule>
    <cfRule type="cellIs" dxfId="2032" priority="3612" stopIfTrue="1" operator="between">
      <formula>14.1</formula>
      <formula>35</formula>
    </cfRule>
    <cfRule type="cellIs" dxfId="2031" priority="3613" stopIfTrue="1" operator="between">
      <formula>5.1</formula>
      <formula>14</formula>
    </cfRule>
    <cfRule type="cellIs" dxfId="2030" priority="3614" stopIfTrue="1" operator="between">
      <formula>0</formula>
      <formula>5</formula>
    </cfRule>
    <cfRule type="containsBlanks" dxfId="2029" priority="3615" stopIfTrue="1">
      <formula>LEN(TRIM(E381))=0</formula>
    </cfRule>
  </conditionalFormatting>
  <conditionalFormatting sqref="H381:J381">
    <cfRule type="containsBlanks" dxfId="2028" priority="3602" stopIfTrue="1">
      <formula>LEN(TRIM(H381))=0</formula>
    </cfRule>
    <cfRule type="cellIs" dxfId="2027" priority="3603" stopIfTrue="1" operator="between">
      <formula>80.1</formula>
      <formula>100</formula>
    </cfRule>
    <cfRule type="cellIs" dxfId="2026" priority="3604" stopIfTrue="1" operator="between">
      <formula>35.1</formula>
      <formula>80</formula>
    </cfRule>
    <cfRule type="cellIs" dxfId="2025" priority="3605" stopIfTrue="1" operator="between">
      <formula>14.1</formula>
      <formula>35</formula>
    </cfRule>
    <cfRule type="cellIs" dxfId="2024" priority="3606" stopIfTrue="1" operator="between">
      <formula>5.1</formula>
      <formula>14</formula>
    </cfRule>
    <cfRule type="cellIs" dxfId="2023" priority="3607" stopIfTrue="1" operator="between">
      <formula>0</formula>
      <formula>5</formula>
    </cfRule>
    <cfRule type="containsBlanks" dxfId="2022" priority="3608" stopIfTrue="1">
      <formula>LEN(TRIM(H381))=0</formula>
    </cfRule>
  </conditionalFormatting>
  <conditionalFormatting sqref="E387:G387 K387:Q387">
    <cfRule type="containsBlanks" dxfId="2021" priority="3595" stopIfTrue="1">
      <formula>LEN(TRIM(E387))=0</formula>
    </cfRule>
    <cfRule type="cellIs" dxfId="2020" priority="3596" stopIfTrue="1" operator="between">
      <formula>80.1</formula>
      <formula>100</formula>
    </cfRule>
    <cfRule type="cellIs" dxfId="2019" priority="3597" stopIfTrue="1" operator="between">
      <formula>35.1</formula>
      <formula>80</formula>
    </cfRule>
    <cfRule type="cellIs" dxfId="2018" priority="3598" stopIfTrue="1" operator="between">
      <formula>14.1</formula>
      <formula>35</formula>
    </cfRule>
    <cfRule type="cellIs" dxfId="2017" priority="3599" stopIfTrue="1" operator="between">
      <formula>5.1</formula>
      <formula>14</formula>
    </cfRule>
    <cfRule type="cellIs" dxfId="2016" priority="3600" stopIfTrue="1" operator="between">
      <formula>0</formula>
      <formula>5</formula>
    </cfRule>
    <cfRule type="containsBlanks" dxfId="2015" priority="3601" stopIfTrue="1">
      <formula>LEN(TRIM(E387))=0</formula>
    </cfRule>
  </conditionalFormatting>
  <conditionalFormatting sqref="H387:J387">
    <cfRule type="containsBlanks" dxfId="2014" priority="3588" stopIfTrue="1">
      <formula>LEN(TRIM(H387))=0</formula>
    </cfRule>
    <cfRule type="cellIs" dxfId="2013" priority="3589" stopIfTrue="1" operator="between">
      <formula>80.1</formula>
      <formula>100</formula>
    </cfRule>
    <cfRule type="cellIs" dxfId="2012" priority="3590" stopIfTrue="1" operator="between">
      <formula>35.1</formula>
      <formula>80</formula>
    </cfRule>
    <cfRule type="cellIs" dxfId="2011" priority="3591" stopIfTrue="1" operator="between">
      <formula>14.1</formula>
      <formula>35</formula>
    </cfRule>
    <cfRule type="cellIs" dxfId="2010" priority="3592" stopIfTrue="1" operator="between">
      <formula>5.1</formula>
      <formula>14</formula>
    </cfRule>
    <cfRule type="cellIs" dxfId="2009" priority="3593" stopIfTrue="1" operator="between">
      <formula>0</formula>
      <formula>5</formula>
    </cfRule>
    <cfRule type="containsBlanks" dxfId="2008" priority="3594" stopIfTrue="1">
      <formula>LEN(TRIM(H387))=0</formula>
    </cfRule>
  </conditionalFormatting>
  <conditionalFormatting sqref="E396:G396 K396:Q396">
    <cfRule type="containsBlanks" dxfId="2007" priority="3581" stopIfTrue="1">
      <formula>LEN(TRIM(E396))=0</formula>
    </cfRule>
    <cfRule type="cellIs" dxfId="2006" priority="3582" stopIfTrue="1" operator="between">
      <formula>80.1</formula>
      <formula>100</formula>
    </cfRule>
    <cfRule type="cellIs" dxfId="2005" priority="3583" stopIfTrue="1" operator="between">
      <formula>35.1</formula>
      <formula>80</formula>
    </cfRule>
    <cfRule type="cellIs" dxfId="2004" priority="3584" stopIfTrue="1" operator="between">
      <formula>14.1</formula>
      <formula>35</formula>
    </cfRule>
    <cfRule type="cellIs" dxfId="2003" priority="3585" stopIfTrue="1" operator="between">
      <formula>5.1</formula>
      <formula>14</formula>
    </cfRule>
    <cfRule type="cellIs" dxfId="2002" priority="3586" stopIfTrue="1" operator="between">
      <formula>0</formula>
      <formula>5</formula>
    </cfRule>
    <cfRule type="containsBlanks" dxfId="2001" priority="3587" stopIfTrue="1">
      <formula>LEN(TRIM(E396))=0</formula>
    </cfRule>
  </conditionalFormatting>
  <conditionalFormatting sqref="H396:J396">
    <cfRule type="containsBlanks" dxfId="2000" priority="3574" stopIfTrue="1">
      <formula>LEN(TRIM(H396))=0</formula>
    </cfRule>
    <cfRule type="cellIs" dxfId="1999" priority="3575" stopIfTrue="1" operator="between">
      <formula>80.1</formula>
      <formula>100</formula>
    </cfRule>
    <cfRule type="cellIs" dxfId="1998" priority="3576" stopIfTrue="1" operator="between">
      <formula>35.1</formula>
      <formula>80</formula>
    </cfRule>
    <cfRule type="cellIs" dxfId="1997" priority="3577" stopIfTrue="1" operator="between">
      <formula>14.1</formula>
      <formula>35</formula>
    </cfRule>
    <cfRule type="cellIs" dxfId="1996" priority="3578" stopIfTrue="1" operator="between">
      <formula>5.1</formula>
      <formula>14</formula>
    </cfRule>
    <cfRule type="cellIs" dxfId="1995" priority="3579" stopIfTrue="1" operator="between">
      <formula>0</formula>
      <formula>5</formula>
    </cfRule>
    <cfRule type="containsBlanks" dxfId="1994" priority="3580" stopIfTrue="1">
      <formula>LEN(TRIM(H396))=0</formula>
    </cfRule>
  </conditionalFormatting>
  <conditionalFormatting sqref="E388:G388 K388:Q388">
    <cfRule type="containsBlanks" dxfId="1993" priority="3567" stopIfTrue="1">
      <formula>LEN(TRIM(E388))=0</formula>
    </cfRule>
    <cfRule type="cellIs" dxfId="1992" priority="3568" stopIfTrue="1" operator="between">
      <formula>80.1</formula>
      <formula>100</formula>
    </cfRule>
    <cfRule type="cellIs" dxfId="1991" priority="3569" stopIfTrue="1" operator="between">
      <formula>35.1</formula>
      <formula>80</formula>
    </cfRule>
    <cfRule type="cellIs" dxfId="1990" priority="3570" stopIfTrue="1" operator="between">
      <formula>14.1</formula>
      <formula>35</formula>
    </cfRule>
    <cfRule type="cellIs" dxfId="1989" priority="3571" stopIfTrue="1" operator="between">
      <formula>5.1</formula>
      <formula>14</formula>
    </cfRule>
    <cfRule type="cellIs" dxfId="1988" priority="3572" stopIfTrue="1" operator="between">
      <formula>0</formula>
      <formula>5</formula>
    </cfRule>
    <cfRule type="containsBlanks" dxfId="1987" priority="3573" stopIfTrue="1">
      <formula>LEN(TRIM(E388))=0</formula>
    </cfRule>
  </conditionalFormatting>
  <conditionalFormatting sqref="H388:J388">
    <cfRule type="containsBlanks" dxfId="1986" priority="3560" stopIfTrue="1">
      <formula>LEN(TRIM(H388))=0</formula>
    </cfRule>
    <cfRule type="cellIs" dxfId="1985" priority="3561" stopIfTrue="1" operator="between">
      <formula>80.1</formula>
      <formula>100</formula>
    </cfRule>
    <cfRule type="cellIs" dxfId="1984" priority="3562" stopIfTrue="1" operator="between">
      <formula>35.1</formula>
      <formula>80</formula>
    </cfRule>
    <cfRule type="cellIs" dxfId="1983" priority="3563" stopIfTrue="1" operator="between">
      <formula>14.1</formula>
      <formula>35</formula>
    </cfRule>
    <cfRule type="cellIs" dxfId="1982" priority="3564" stopIfTrue="1" operator="between">
      <formula>5.1</formula>
      <formula>14</formula>
    </cfRule>
    <cfRule type="cellIs" dxfId="1981" priority="3565" stopIfTrue="1" operator="between">
      <formula>0</formula>
      <formula>5</formula>
    </cfRule>
    <cfRule type="containsBlanks" dxfId="1980" priority="3566" stopIfTrue="1">
      <formula>LEN(TRIM(H388))=0</formula>
    </cfRule>
  </conditionalFormatting>
  <conditionalFormatting sqref="E403:G403 K403:Q403">
    <cfRule type="containsBlanks" dxfId="1979" priority="3553" stopIfTrue="1">
      <formula>LEN(TRIM(E403))=0</formula>
    </cfRule>
    <cfRule type="cellIs" dxfId="1978" priority="3554" stopIfTrue="1" operator="between">
      <formula>80.1</formula>
      <formula>100</formula>
    </cfRule>
    <cfRule type="cellIs" dxfId="1977" priority="3555" stopIfTrue="1" operator="between">
      <formula>35.1</formula>
      <formula>80</formula>
    </cfRule>
    <cfRule type="cellIs" dxfId="1976" priority="3556" stopIfTrue="1" operator="between">
      <formula>14.1</formula>
      <formula>35</formula>
    </cfRule>
    <cfRule type="cellIs" dxfId="1975" priority="3557" stopIfTrue="1" operator="between">
      <formula>5.1</formula>
      <formula>14</formula>
    </cfRule>
    <cfRule type="cellIs" dxfId="1974" priority="3558" stopIfTrue="1" operator="between">
      <formula>0</formula>
      <formula>5</formula>
    </cfRule>
    <cfRule type="containsBlanks" dxfId="1973" priority="3559" stopIfTrue="1">
      <formula>LEN(TRIM(E403))=0</formula>
    </cfRule>
  </conditionalFormatting>
  <conditionalFormatting sqref="H403:J403">
    <cfRule type="containsBlanks" dxfId="1972" priority="3546" stopIfTrue="1">
      <formula>LEN(TRIM(H403))=0</formula>
    </cfRule>
    <cfRule type="cellIs" dxfId="1971" priority="3547" stopIfTrue="1" operator="between">
      <formula>80.1</formula>
      <formula>100</formula>
    </cfRule>
    <cfRule type="cellIs" dxfId="1970" priority="3548" stopIfTrue="1" operator="between">
      <formula>35.1</formula>
      <formula>80</formula>
    </cfRule>
    <cfRule type="cellIs" dxfId="1969" priority="3549" stopIfTrue="1" operator="between">
      <formula>14.1</formula>
      <formula>35</formula>
    </cfRule>
    <cfRule type="cellIs" dxfId="1968" priority="3550" stopIfTrue="1" operator="between">
      <formula>5.1</formula>
      <formula>14</formula>
    </cfRule>
    <cfRule type="cellIs" dxfId="1967" priority="3551" stopIfTrue="1" operator="between">
      <formula>0</formula>
      <formula>5</formula>
    </cfRule>
    <cfRule type="containsBlanks" dxfId="1966" priority="3552" stopIfTrue="1">
      <formula>LEN(TRIM(H403))=0</formula>
    </cfRule>
  </conditionalFormatting>
  <conditionalFormatting sqref="E384:G384 K384:N384">
    <cfRule type="containsBlanks" dxfId="1965" priority="3539" stopIfTrue="1">
      <formula>LEN(TRIM(E384))=0</formula>
    </cfRule>
    <cfRule type="cellIs" dxfId="1964" priority="3540" stopIfTrue="1" operator="between">
      <formula>80.1</formula>
      <formula>100</formula>
    </cfRule>
    <cfRule type="cellIs" dxfId="1963" priority="3541" stopIfTrue="1" operator="between">
      <formula>35.1</formula>
      <formula>80</formula>
    </cfRule>
    <cfRule type="cellIs" dxfId="1962" priority="3542" stopIfTrue="1" operator="between">
      <formula>14.1</formula>
      <formula>35</formula>
    </cfRule>
    <cfRule type="cellIs" dxfId="1961" priority="3543" stopIfTrue="1" operator="between">
      <formula>5.1</formula>
      <formula>14</formula>
    </cfRule>
    <cfRule type="cellIs" dxfId="1960" priority="3544" stopIfTrue="1" operator="between">
      <formula>0</formula>
      <formula>5</formula>
    </cfRule>
    <cfRule type="containsBlanks" dxfId="1959" priority="3545" stopIfTrue="1">
      <formula>LEN(TRIM(E384))=0</formula>
    </cfRule>
  </conditionalFormatting>
  <conditionalFormatting sqref="H384:J384">
    <cfRule type="containsBlanks" dxfId="1958" priority="3532" stopIfTrue="1">
      <formula>LEN(TRIM(H384))=0</formula>
    </cfRule>
    <cfRule type="cellIs" dxfId="1957" priority="3533" stopIfTrue="1" operator="between">
      <formula>80.1</formula>
      <formula>100</formula>
    </cfRule>
    <cfRule type="cellIs" dxfId="1956" priority="3534" stopIfTrue="1" operator="between">
      <formula>35.1</formula>
      <formula>80</formula>
    </cfRule>
    <cfRule type="cellIs" dxfId="1955" priority="3535" stopIfTrue="1" operator="between">
      <formula>14.1</formula>
      <formula>35</formula>
    </cfRule>
    <cfRule type="cellIs" dxfId="1954" priority="3536" stopIfTrue="1" operator="between">
      <formula>5.1</formula>
      <formula>14</formula>
    </cfRule>
    <cfRule type="cellIs" dxfId="1953" priority="3537" stopIfTrue="1" operator="between">
      <formula>0</formula>
      <formula>5</formula>
    </cfRule>
    <cfRule type="containsBlanks" dxfId="1952" priority="3538" stopIfTrue="1">
      <formula>LEN(TRIM(H384))=0</formula>
    </cfRule>
  </conditionalFormatting>
  <conditionalFormatting sqref="E399:G399 K399:Q399">
    <cfRule type="containsBlanks" dxfId="1951" priority="3525" stopIfTrue="1">
      <formula>LEN(TRIM(E399))=0</formula>
    </cfRule>
    <cfRule type="cellIs" dxfId="1950" priority="3526" stopIfTrue="1" operator="between">
      <formula>80.1</formula>
      <formula>100</formula>
    </cfRule>
    <cfRule type="cellIs" dxfId="1949" priority="3527" stopIfTrue="1" operator="between">
      <formula>35.1</formula>
      <formula>80</formula>
    </cfRule>
    <cfRule type="cellIs" dxfId="1948" priority="3528" stopIfTrue="1" operator="between">
      <formula>14.1</formula>
      <formula>35</formula>
    </cfRule>
    <cfRule type="cellIs" dxfId="1947" priority="3529" stopIfTrue="1" operator="between">
      <formula>5.1</formula>
      <formula>14</formula>
    </cfRule>
    <cfRule type="cellIs" dxfId="1946" priority="3530" stopIfTrue="1" operator="between">
      <formula>0</formula>
      <formula>5</formula>
    </cfRule>
    <cfRule type="containsBlanks" dxfId="1945" priority="3531" stopIfTrue="1">
      <formula>LEN(TRIM(E399))=0</formula>
    </cfRule>
  </conditionalFormatting>
  <conditionalFormatting sqref="H399:J399">
    <cfRule type="containsBlanks" dxfId="1944" priority="3518" stopIfTrue="1">
      <formula>LEN(TRIM(H399))=0</formula>
    </cfRule>
    <cfRule type="cellIs" dxfId="1943" priority="3519" stopIfTrue="1" operator="between">
      <formula>80.1</formula>
      <formula>100</formula>
    </cfRule>
    <cfRule type="cellIs" dxfId="1942" priority="3520" stopIfTrue="1" operator="between">
      <formula>35.1</formula>
      <formula>80</formula>
    </cfRule>
    <cfRule type="cellIs" dxfId="1941" priority="3521" stopIfTrue="1" operator="between">
      <formula>14.1</formula>
      <formula>35</formula>
    </cfRule>
    <cfRule type="cellIs" dxfId="1940" priority="3522" stopIfTrue="1" operator="between">
      <formula>5.1</formula>
      <formula>14</formula>
    </cfRule>
    <cfRule type="cellIs" dxfId="1939" priority="3523" stopIfTrue="1" operator="between">
      <formula>0</formula>
      <formula>5</formula>
    </cfRule>
    <cfRule type="containsBlanks" dxfId="1938" priority="3524" stopIfTrue="1">
      <formula>LEN(TRIM(H399))=0</formula>
    </cfRule>
  </conditionalFormatting>
  <conditionalFormatting sqref="E390:G390 K390:Q390">
    <cfRule type="containsBlanks" dxfId="1937" priority="3511" stopIfTrue="1">
      <formula>LEN(TRIM(E390))=0</formula>
    </cfRule>
    <cfRule type="cellIs" dxfId="1936" priority="3512" stopIfTrue="1" operator="between">
      <formula>80.1</formula>
      <formula>100</formula>
    </cfRule>
    <cfRule type="cellIs" dxfId="1935" priority="3513" stopIfTrue="1" operator="between">
      <formula>35.1</formula>
      <formula>80</formula>
    </cfRule>
    <cfRule type="cellIs" dxfId="1934" priority="3514" stopIfTrue="1" operator="between">
      <formula>14.1</formula>
      <formula>35</formula>
    </cfRule>
    <cfRule type="cellIs" dxfId="1933" priority="3515" stopIfTrue="1" operator="between">
      <formula>5.1</formula>
      <formula>14</formula>
    </cfRule>
    <cfRule type="cellIs" dxfId="1932" priority="3516" stopIfTrue="1" operator="between">
      <formula>0</formula>
      <formula>5</formula>
    </cfRule>
    <cfRule type="containsBlanks" dxfId="1931" priority="3517" stopIfTrue="1">
      <formula>LEN(TRIM(E390))=0</formula>
    </cfRule>
  </conditionalFormatting>
  <conditionalFormatting sqref="H390:J390">
    <cfRule type="containsBlanks" dxfId="1930" priority="3504" stopIfTrue="1">
      <formula>LEN(TRIM(H390))=0</formula>
    </cfRule>
    <cfRule type="cellIs" dxfId="1929" priority="3505" stopIfTrue="1" operator="between">
      <formula>80.1</formula>
      <formula>100</formula>
    </cfRule>
    <cfRule type="cellIs" dxfId="1928" priority="3506" stopIfTrue="1" operator="between">
      <formula>35.1</formula>
      <formula>80</formula>
    </cfRule>
    <cfRule type="cellIs" dxfId="1927" priority="3507" stopIfTrue="1" operator="between">
      <formula>14.1</formula>
      <formula>35</formula>
    </cfRule>
    <cfRule type="cellIs" dxfId="1926" priority="3508" stopIfTrue="1" operator="between">
      <formula>5.1</formula>
      <formula>14</formula>
    </cfRule>
    <cfRule type="cellIs" dxfId="1925" priority="3509" stopIfTrue="1" operator="between">
      <formula>0</formula>
      <formula>5</formula>
    </cfRule>
    <cfRule type="containsBlanks" dxfId="1924" priority="3510" stopIfTrue="1">
      <formula>LEN(TRIM(H390))=0</formula>
    </cfRule>
  </conditionalFormatting>
  <conditionalFormatting sqref="E394:G394 K394:Q394">
    <cfRule type="containsBlanks" dxfId="1923" priority="3497" stopIfTrue="1">
      <formula>LEN(TRIM(E394))=0</formula>
    </cfRule>
    <cfRule type="cellIs" dxfId="1922" priority="3498" stopIfTrue="1" operator="between">
      <formula>80.1</formula>
      <formula>100</formula>
    </cfRule>
    <cfRule type="cellIs" dxfId="1921" priority="3499" stopIfTrue="1" operator="between">
      <formula>35.1</formula>
      <formula>80</formula>
    </cfRule>
    <cfRule type="cellIs" dxfId="1920" priority="3500" stopIfTrue="1" operator="between">
      <formula>14.1</formula>
      <formula>35</formula>
    </cfRule>
    <cfRule type="cellIs" dxfId="1919" priority="3501" stopIfTrue="1" operator="between">
      <formula>5.1</formula>
      <formula>14</formula>
    </cfRule>
    <cfRule type="cellIs" dxfId="1918" priority="3502" stopIfTrue="1" operator="between">
      <formula>0</formula>
      <formula>5</formula>
    </cfRule>
    <cfRule type="containsBlanks" dxfId="1917" priority="3503" stopIfTrue="1">
      <formula>LEN(TRIM(E394))=0</formula>
    </cfRule>
  </conditionalFormatting>
  <conditionalFormatting sqref="H394:J394">
    <cfRule type="containsBlanks" dxfId="1916" priority="3490" stopIfTrue="1">
      <formula>LEN(TRIM(H394))=0</formula>
    </cfRule>
    <cfRule type="cellIs" dxfId="1915" priority="3491" stopIfTrue="1" operator="between">
      <formula>80.1</formula>
      <formula>100</formula>
    </cfRule>
    <cfRule type="cellIs" dxfId="1914" priority="3492" stopIfTrue="1" operator="between">
      <formula>35.1</formula>
      <formula>80</formula>
    </cfRule>
    <cfRule type="cellIs" dxfId="1913" priority="3493" stopIfTrue="1" operator="between">
      <formula>14.1</formula>
      <formula>35</formula>
    </cfRule>
    <cfRule type="cellIs" dxfId="1912" priority="3494" stopIfTrue="1" operator="between">
      <formula>5.1</formula>
      <formula>14</formula>
    </cfRule>
    <cfRule type="cellIs" dxfId="1911" priority="3495" stopIfTrue="1" operator="between">
      <formula>0</formula>
      <formula>5</formula>
    </cfRule>
    <cfRule type="containsBlanks" dxfId="1910" priority="3496" stopIfTrue="1">
      <formula>LEN(TRIM(H394))=0</formula>
    </cfRule>
  </conditionalFormatting>
  <conditionalFormatting sqref="E395:G395 K395:Q395">
    <cfRule type="containsBlanks" dxfId="1909" priority="3483" stopIfTrue="1">
      <formula>LEN(TRIM(E395))=0</formula>
    </cfRule>
    <cfRule type="cellIs" dxfId="1908" priority="3484" stopIfTrue="1" operator="between">
      <formula>80.1</formula>
      <formula>100</formula>
    </cfRule>
    <cfRule type="cellIs" dxfId="1907" priority="3485" stopIfTrue="1" operator="between">
      <formula>35.1</formula>
      <formula>80</formula>
    </cfRule>
    <cfRule type="cellIs" dxfId="1906" priority="3486" stopIfTrue="1" operator="between">
      <formula>14.1</formula>
      <formula>35</formula>
    </cfRule>
    <cfRule type="cellIs" dxfId="1905" priority="3487" stopIfTrue="1" operator="between">
      <formula>5.1</formula>
      <formula>14</formula>
    </cfRule>
    <cfRule type="cellIs" dxfId="1904" priority="3488" stopIfTrue="1" operator="between">
      <formula>0</formula>
      <formula>5</formula>
    </cfRule>
    <cfRule type="containsBlanks" dxfId="1903" priority="3489" stopIfTrue="1">
      <formula>LEN(TRIM(E395))=0</formula>
    </cfRule>
  </conditionalFormatting>
  <conditionalFormatting sqref="H395:J395">
    <cfRule type="containsBlanks" dxfId="1902" priority="3476" stopIfTrue="1">
      <formula>LEN(TRIM(H395))=0</formula>
    </cfRule>
    <cfRule type="cellIs" dxfId="1901" priority="3477" stopIfTrue="1" operator="between">
      <formula>80.1</formula>
      <formula>100</formula>
    </cfRule>
    <cfRule type="cellIs" dxfId="1900" priority="3478" stopIfTrue="1" operator="between">
      <formula>35.1</formula>
      <formula>80</formula>
    </cfRule>
    <cfRule type="cellIs" dxfId="1899" priority="3479" stopIfTrue="1" operator="between">
      <formula>14.1</formula>
      <formula>35</formula>
    </cfRule>
    <cfRule type="cellIs" dxfId="1898" priority="3480" stopIfTrue="1" operator="between">
      <formula>5.1</formula>
      <formula>14</formula>
    </cfRule>
    <cfRule type="cellIs" dxfId="1897" priority="3481" stopIfTrue="1" operator="between">
      <formula>0</formula>
      <formula>5</formula>
    </cfRule>
    <cfRule type="containsBlanks" dxfId="1896" priority="3482" stopIfTrue="1">
      <formula>LEN(TRIM(H395))=0</formula>
    </cfRule>
  </conditionalFormatting>
  <conditionalFormatting sqref="E397:G397 K397:Q397">
    <cfRule type="containsBlanks" dxfId="1895" priority="3469" stopIfTrue="1">
      <formula>LEN(TRIM(E397))=0</formula>
    </cfRule>
    <cfRule type="cellIs" dxfId="1894" priority="3470" stopIfTrue="1" operator="between">
      <formula>80.1</formula>
      <formula>100</formula>
    </cfRule>
    <cfRule type="cellIs" dxfId="1893" priority="3471" stopIfTrue="1" operator="between">
      <formula>35.1</formula>
      <formula>80</formula>
    </cfRule>
    <cfRule type="cellIs" dxfId="1892" priority="3472" stopIfTrue="1" operator="between">
      <formula>14.1</formula>
      <formula>35</formula>
    </cfRule>
    <cfRule type="cellIs" dxfId="1891" priority="3473" stopIfTrue="1" operator="between">
      <formula>5.1</formula>
      <formula>14</formula>
    </cfRule>
    <cfRule type="cellIs" dxfId="1890" priority="3474" stopIfTrue="1" operator="between">
      <formula>0</formula>
      <formula>5</formula>
    </cfRule>
    <cfRule type="containsBlanks" dxfId="1889" priority="3475" stopIfTrue="1">
      <formula>LEN(TRIM(E397))=0</formula>
    </cfRule>
  </conditionalFormatting>
  <conditionalFormatting sqref="H397:J397">
    <cfRule type="containsBlanks" dxfId="1888" priority="3462" stopIfTrue="1">
      <formula>LEN(TRIM(H397))=0</formula>
    </cfRule>
    <cfRule type="cellIs" dxfId="1887" priority="3463" stopIfTrue="1" operator="between">
      <formula>80.1</formula>
      <formula>100</formula>
    </cfRule>
    <cfRule type="cellIs" dxfId="1886" priority="3464" stopIfTrue="1" operator="between">
      <formula>35.1</formula>
      <formula>80</formula>
    </cfRule>
    <cfRule type="cellIs" dxfId="1885" priority="3465" stopIfTrue="1" operator="between">
      <formula>14.1</formula>
      <formula>35</formula>
    </cfRule>
    <cfRule type="cellIs" dxfId="1884" priority="3466" stopIfTrue="1" operator="between">
      <formula>5.1</formula>
      <formula>14</formula>
    </cfRule>
    <cfRule type="cellIs" dxfId="1883" priority="3467" stopIfTrue="1" operator="between">
      <formula>0</formula>
      <formula>5</formula>
    </cfRule>
    <cfRule type="containsBlanks" dxfId="1882" priority="3468" stopIfTrue="1">
      <formula>LEN(TRIM(H397))=0</formula>
    </cfRule>
  </conditionalFormatting>
  <conditionalFormatting sqref="E401:G401 K401:Q401">
    <cfRule type="containsBlanks" dxfId="1881" priority="3455" stopIfTrue="1">
      <formula>LEN(TRIM(E401))=0</formula>
    </cfRule>
    <cfRule type="cellIs" dxfId="1880" priority="3456" stopIfTrue="1" operator="between">
      <formula>80.1</formula>
      <formula>100</formula>
    </cfRule>
    <cfRule type="cellIs" dxfId="1879" priority="3457" stopIfTrue="1" operator="between">
      <formula>35.1</formula>
      <formula>80</formula>
    </cfRule>
    <cfRule type="cellIs" dxfId="1878" priority="3458" stopIfTrue="1" operator="between">
      <formula>14.1</formula>
      <formula>35</formula>
    </cfRule>
    <cfRule type="cellIs" dxfId="1877" priority="3459" stopIfTrue="1" operator="between">
      <formula>5.1</formula>
      <formula>14</formula>
    </cfRule>
    <cfRule type="cellIs" dxfId="1876" priority="3460" stopIfTrue="1" operator="between">
      <formula>0</formula>
      <formula>5</formula>
    </cfRule>
    <cfRule type="containsBlanks" dxfId="1875" priority="3461" stopIfTrue="1">
      <formula>LEN(TRIM(E401))=0</formula>
    </cfRule>
  </conditionalFormatting>
  <conditionalFormatting sqref="H401:J401">
    <cfRule type="containsBlanks" dxfId="1874" priority="3448" stopIfTrue="1">
      <formula>LEN(TRIM(H401))=0</formula>
    </cfRule>
    <cfRule type="cellIs" dxfId="1873" priority="3449" stopIfTrue="1" operator="between">
      <formula>80.1</formula>
      <formula>100</formula>
    </cfRule>
    <cfRule type="cellIs" dxfId="1872" priority="3450" stopIfTrue="1" operator="between">
      <formula>35.1</formula>
      <formula>80</formula>
    </cfRule>
    <cfRule type="cellIs" dxfId="1871" priority="3451" stopIfTrue="1" operator="between">
      <formula>14.1</formula>
      <formula>35</formula>
    </cfRule>
    <cfRule type="cellIs" dxfId="1870" priority="3452" stopIfTrue="1" operator="between">
      <formula>5.1</formula>
      <formula>14</formula>
    </cfRule>
    <cfRule type="cellIs" dxfId="1869" priority="3453" stopIfTrue="1" operator="between">
      <formula>0</formula>
      <formula>5</formula>
    </cfRule>
    <cfRule type="containsBlanks" dxfId="1868" priority="3454" stopIfTrue="1">
      <formula>LEN(TRIM(H401))=0</formula>
    </cfRule>
  </conditionalFormatting>
  <conditionalFormatting sqref="E389:G389 K389:Q389">
    <cfRule type="containsBlanks" dxfId="1867" priority="3441" stopIfTrue="1">
      <formula>LEN(TRIM(E389))=0</formula>
    </cfRule>
    <cfRule type="cellIs" dxfId="1866" priority="3442" stopIfTrue="1" operator="between">
      <formula>80.1</formula>
      <formula>100</formula>
    </cfRule>
    <cfRule type="cellIs" dxfId="1865" priority="3443" stopIfTrue="1" operator="between">
      <formula>35.1</formula>
      <formula>80</formula>
    </cfRule>
    <cfRule type="cellIs" dxfId="1864" priority="3444" stopIfTrue="1" operator="between">
      <formula>14.1</formula>
      <formula>35</formula>
    </cfRule>
    <cfRule type="cellIs" dxfId="1863" priority="3445" stopIfTrue="1" operator="between">
      <formula>5.1</formula>
      <formula>14</formula>
    </cfRule>
    <cfRule type="cellIs" dxfId="1862" priority="3446" stopIfTrue="1" operator="between">
      <formula>0</formula>
      <formula>5</formula>
    </cfRule>
    <cfRule type="containsBlanks" dxfId="1861" priority="3447" stopIfTrue="1">
      <formula>LEN(TRIM(E389))=0</formula>
    </cfRule>
  </conditionalFormatting>
  <conditionalFormatting sqref="H389:J389">
    <cfRule type="containsBlanks" dxfId="1860" priority="3434" stopIfTrue="1">
      <formula>LEN(TRIM(H389))=0</formula>
    </cfRule>
    <cfRule type="cellIs" dxfId="1859" priority="3435" stopIfTrue="1" operator="between">
      <formula>80.1</formula>
      <formula>100</formula>
    </cfRule>
    <cfRule type="cellIs" dxfId="1858" priority="3436" stopIfTrue="1" operator="between">
      <formula>35.1</formula>
      <formula>80</formula>
    </cfRule>
    <cfRule type="cellIs" dxfId="1857" priority="3437" stopIfTrue="1" operator="between">
      <formula>14.1</formula>
      <formula>35</formula>
    </cfRule>
    <cfRule type="cellIs" dxfId="1856" priority="3438" stopIfTrue="1" operator="between">
      <formula>5.1</formula>
      <formula>14</formula>
    </cfRule>
    <cfRule type="cellIs" dxfId="1855" priority="3439" stopIfTrue="1" operator="between">
      <formula>0</formula>
      <formula>5</formula>
    </cfRule>
    <cfRule type="containsBlanks" dxfId="1854" priority="3440" stopIfTrue="1">
      <formula>LEN(TRIM(H389))=0</formula>
    </cfRule>
  </conditionalFormatting>
  <conditionalFormatting sqref="E404:G404 K404:Q404">
    <cfRule type="containsBlanks" dxfId="1853" priority="3427" stopIfTrue="1">
      <formula>LEN(TRIM(E404))=0</formula>
    </cfRule>
    <cfRule type="cellIs" dxfId="1852" priority="3428" stopIfTrue="1" operator="between">
      <formula>80.1</formula>
      <formula>100</formula>
    </cfRule>
    <cfRule type="cellIs" dxfId="1851" priority="3429" stopIfTrue="1" operator="between">
      <formula>35.1</formula>
      <formula>80</formula>
    </cfRule>
    <cfRule type="cellIs" dxfId="1850" priority="3430" stopIfTrue="1" operator="between">
      <formula>14.1</formula>
      <formula>35</formula>
    </cfRule>
    <cfRule type="cellIs" dxfId="1849" priority="3431" stopIfTrue="1" operator="between">
      <formula>5.1</formula>
      <formula>14</formula>
    </cfRule>
    <cfRule type="cellIs" dxfId="1848" priority="3432" stopIfTrue="1" operator="between">
      <formula>0</formula>
      <formula>5</formula>
    </cfRule>
    <cfRule type="containsBlanks" dxfId="1847" priority="3433" stopIfTrue="1">
      <formula>LEN(TRIM(E404))=0</formula>
    </cfRule>
  </conditionalFormatting>
  <conditionalFormatting sqref="H404:J404">
    <cfRule type="containsBlanks" dxfId="1846" priority="3420" stopIfTrue="1">
      <formula>LEN(TRIM(H404))=0</formula>
    </cfRule>
    <cfRule type="cellIs" dxfId="1845" priority="3421" stopIfTrue="1" operator="between">
      <formula>80.1</formula>
      <formula>100</formula>
    </cfRule>
    <cfRule type="cellIs" dxfId="1844" priority="3422" stopIfTrue="1" operator="between">
      <formula>35.1</formula>
      <formula>80</formula>
    </cfRule>
    <cfRule type="cellIs" dxfId="1843" priority="3423" stopIfTrue="1" operator="between">
      <formula>14.1</formula>
      <formula>35</formula>
    </cfRule>
    <cfRule type="cellIs" dxfId="1842" priority="3424" stopIfTrue="1" operator="between">
      <formula>5.1</formula>
      <formula>14</formula>
    </cfRule>
    <cfRule type="cellIs" dxfId="1841" priority="3425" stopIfTrue="1" operator="between">
      <formula>0</formula>
      <formula>5</formula>
    </cfRule>
    <cfRule type="containsBlanks" dxfId="1840" priority="3426" stopIfTrue="1">
      <formula>LEN(TRIM(H404))=0</formula>
    </cfRule>
  </conditionalFormatting>
  <conditionalFormatting sqref="E385:G385 K385:Q385">
    <cfRule type="containsBlanks" dxfId="1839" priority="3413" stopIfTrue="1">
      <formula>LEN(TRIM(E385))=0</formula>
    </cfRule>
    <cfRule type="cellIs" dxfId="1838" priority="3414" stopIfTrue="1" operator="between">
      <formula>80.1</formula>
      <formula>100</formula>
    </cfRule>
    <cfRule type="cellIs" dxfId="1837" priority="3415" stopIfTrue="1" operator="between">
      <formula>35.1</formula>
      <formula>80</formula>
    </cfRule>
    <cfRule type="cellIs" dxfId="1836" priority="3416" stopIfTrue="1" operator="between">
      <formula>14.1</formula>
      <formula>35</formula>
    </cfRule>
    <cfRule type="cellIs" dxfId="1835" priority="3417" stopIfTrue="1" operator="between">
      <formula>5.1</formula>
      <formula>14</formula>
    </cfRule>
    <cfRule type="cellIs" dxfId="1834" priority="3418" stopIfTrue="1" operator="between">
      <formula>0</formula>
      <formula>5</formula>
    </cfRule>
    <cfRule type="containsBlanks" dxfId="1833" priority="3419" stopIfTrue="1">
      <formula>LEN(TRIM(E385))=0</formula>
    </cfRule>
  </conditionalFormatting>
  <conditionalFormatting sqref="H385:J385">
    <cfRule type="containsBlanks" dxfId="1832" priority="3406" stopIfTrue="1">
      <formula>LEN(TRIM(H385))=0</formula>
    </cfRule>
    <cfRule type="cellIs" dxfId="1831" priority="3407" stopIfTrue="1" operator="between">
      <formula>80.1</formula>
      <formula>100</formula>
    </cfRule>
    <cfRule type="cellIs" dxfId="1830" priority="3408" stopIfTrue="1" operator="between">
      <formula>35.1</formula>
      <formula>80</formula>
    </cfRule>
    <cfRule type="cellIs" dxfId="1829" priority="3409" stopIfTrue="1" operator="between">
      <formula>14.1</formula>
      <formula>35</formula>
    </cfRule>
    <cfRule type="cellIs" dxfId="1828" priority="3410" stopIfTrue="1" operator="between">
      <formula>5.1</formula>
      <formula>14</formula>
    </cfRule>
    <cfRule type="cellIs" dxfId="1827" priority="3411" stopIfTrue="1" operator="between">
      <formula>0</formula>
      <formula>5</formula>
    </cfRule>
    <cfRule type="containsBlanks" dxfId="1826" priority="3412" stopIfTrue="1">
      <formula>LEN(TRIM(H385))=0</formula>
    </cfRule>
  </conditionalFormatting>
  <conditionalFormatting sqref="E400:G400 K400:Q400">
    <cfRule type="containsBlanks" dxfId="1825" priority="3399" stopIfTrue="1">
      <formula>LEN(TRIM(E400))=0</formula>
    </cfRule>
    <cfRule type="cellIs" dxfId="1824" priority="3400" stopIfTrue="1" operator="between">
      <formula>80.1</formula>
      <formula>100</formula>
    </cfRule>
    <cfRule type="cellIs" dxfId="1823" priority="3401" stopIfTrue="1" operator="between">
      <formula>35.1</formula>
      <formula>80</formula>
    </cfRule>
    <cfRule type="cellIs" dxfId="1822" priority="3402" stopIfTrue="1" operator="between">
      <formula>14.1</formula>
      <formula>35</formula>
    </cfRule>
    <cfRule type="cellIs" dxfId="1821" priority="3403" stopIfTrue="1" operator="between">
      <formula>5.1</formula>
      <formula>14</formula>
    </cfRule>
    <cfRule type="cellIs" dxfId="1820" priority="3404" stopIfTrue="1" operator="between">
      <formula>0</formula>
      <formula>5</formula>
    </cfRule>
    <cfRule type="containsBlanks" dxfId="1819" priority="3405" stopIfTrue="1">
      <formula>LEN(TRIM(E400))=0</formula>
    </cfRule>
  </conditionalFormatting>
  <conditionalFormatting sqref="H400:J400">
    <cfRule type="containsBlanks" dxfId="1818" priority="3392" stopIfTrue="1">
      <formula>LEN(TRIM(H400))=0</formula>
    </cfRule>
    <cfRule type="cellIs" dxfId="1817" priority="3393" stopIfTrue="1" operator="between">
      <formula>80.1</formula>
      <formula>100</formula>
    </cfRule>
    <cfRule type="cellIs" dxfId="1816" priority="3394" stopIfTrue="1" operator="between">
      <formula>35.1</formula>
      <formula>80</formula>
    </cfRule>
    <cfRule type="cellIs" dxfId="1815" priority="3395" stopIfTrue="1" operator="between">
      <formula>14.1</formula>
      <formula>35</formula>
    </cfRule>
    <cfRule type="cellIs" dxfId="1814" priority="3396" stopIfTrue="1" operator="between">
      <formula>5.1</formula>
      <formula>14</formula>
    </cfRule>
    <cfRule type="cellIs" dxfId="1813" priority="3397" stopIfTrue="1" operator="between">
      <formula>0</formula>
      <formula>5</formula>
    </cfRule>
    <cfRule type="containsBlanks" dxfId="1812" priority="3398" stopIfTrue="1">
      <formula>LEN(TRIM(H400))=0</formula>
    </cfRule>
  </conditionalFormatting>
  <conditionalFormatting sqref="E382:G382 K382:Q382">
    <cfRule type="containsBlanks" dxfId="1811" priority="3385" stopIfTrue="1">
      <formula>LEN(TRIM(E382))=0</formula>
    </cfRule>
    <cfRule type="cellIs" dxfId="1810" priority="3386" stopIfTrue="1" operator="between">
      <formula>80.1</formula>
      <formula>100</formula>
    </cfRule>
    <cfRule type="cellIs" dxfId="1809" priority="3387" stopIfTrue="1" operator="between">
      <formula>35.1</formula>
      <formula>80</formula>
    </cfRule>
    <cfRule type="cellIs" dxfId="1808" priority="3388" stopIfTrue="1" operator="between">
      <formula>14.1</formula>
      <formula>35</formula>
    </cfRule>
    <cfRule type="cellIs" dxfId="1807" priority="3389" stopIfTrue="1" operator="between">
      <formula>5.1</formula>
      <formula>14</formula>
    </cfRule>
    <cfRule type="cellIs" dxfId="1806" priority="3390" stopIfTrue="1" operator="between">
      <formula>0</formula>
      <formula>5</formula>
    </cfRule>
    <cfRule type="containsBlanks" dxfId="1805" priority="3391" stopIfTrue="1">
      <formula>LEN(TRIM(E382))=0</formula>
    </cfRule>
  </conditionalFormatting>
  <conditionalFormatting sqref="H382:J382">
    <cfRule type="containsBlanks" dxfId="1804" priority="3378" stopIfTrue="1">
      <formula>LEN(TRIM(H382))=0</formula>
    </cfRule>
    <cfRule type="cellIs" dxfId="1803" priority="3379" stopIfTrue="1" operator="between">
      <formula>80.1</formula>
      <formula>100</formula>
    </cfRule>
    <cfRule type="cellIs" dxfId="1802" priority="3380" stopIfTrue="1" operator="between">
      <formula>35.1</formula>
      <formula>80</formula>
    </cfRule>
    <cfRule type="cellIs" dxfId="1801" priority="3381" stopIfTrue="1" operator="between">
      <formula>14.1</formula>
      <formula>35</formula>
    </cfRule>
    <cfRule type="cellIs" dxfId="1800" priority="3382" stopIfTrue="1" operator="between">
      <formula>5.1</formula>
      <formula>14</formula>
    </cfRule>
    <cfRule type="cellIs" dxfId="1799" priority="3383" stopIfTrue="1" operator="between">
      <formula>0</formula>
      <formula>5</formula>
    </cfRule>
    <cfRule type="containsBlanks" dxfId="1798" priority="3384" stopIfTrue="1">
      <formula>LEN(TRIM(H382))=0</formula>
    </cfRule>
  </conditionalFormatting>
  <conditionalFormatting sqref="E398:G398 K398:Q398">
    <cfRule type="containsBlanks" dxfId="1797" priority="3371" stopIfTrue="1">
      <formula>LEN(TRIM(E398))=0</formula>
    </cfRule>
    <cfRule type="cellIs" dxfId="1796" priority="3372" stopIfTrue="1" operator="between">
      <formula>80.1</formula>
      <formula>100</formula>
    </cfRule>
    <cfRule type="cellIs" dxfId="1795" priority="3373" stopIfTrue="1" operator="between">
      <formula>35.1</formula>
      <formula>80</formula>
    </cfRule>
    <cfRule type="cellIs" dxfId="1794" priority="3374" stopIfTrue="1" operator="between">
      <formula>14.1</formula>
      <formula>35</formula>
    </cfRule>
    <cfRule type="cellIs" dxfId="1793" priority="3375" stopIfTrue="1" operator="between">
      <formula>5.1</formula>
      <formula>14</formula>
    </cfRule>
    <cfRule type="cellIs" dxfId="1792" priority="3376" stopIfTrue="1" operator="between">
      <formula>0</formula>
      <formula>5</formula>
    </cfRule>
    <cfRule type="containsBlanks" dxfId="1791" priority="3377" stopIfTrue="1">
      <formula>LEN(TRIM(E398))=0</formula>
    </cfRule>
  </conditionalFormatting>
  <conditionalFormatting sqref="H398:J398">
    <cfRule type="containsBlanks" dxfId="1790" priority="3364" stopIfTrue="1">
      <formula>LEN(TRIM(H398))=0</formula>
    </cfRule>
    <cfRule type="cellIs" dxfId="1789" priority="3365" stopIfTrue="1" operator="between">
      <formula>80.1</formula>
      <formula>100</formula>
    </cfRule>
    <cfRule type="cellIs" dxfId="1788" priority="3366" stopIfTrue="1" operator="between">
      <formula>35.1</formula>
      <formula>80</formula>
    </cfRule>
    <cfRule type="cellIs" dxfId="1787" priority="3367" stopIfTrue="1" operator="between">
      <formula>14.1</formula>
      <formula>35</formula>
    </cfRule>
    <cfRule type="cellIs" dxfId="1786" priority="3368" stopIfTrue="1" operator="between">
      <formula>5.1</formula>
      <formula>14</formula>
    </cfRule>
    <cfRule type="cellIs" dxfId="1785" priority="3369" stopIfTrue="1" operator="between">
      <formula>0</formula>
      <formula>5</formula>
    </cfRule>
    <cfRule type="containsBlanks" dxfId="1784" priority="3370" stopIfTrue="1">
      <formula>LEN(TRIM(H398))=0</formula>
    </cfRule>
  </conditionalFormatting>
  <conditionalFormatting sqref="E393:G393 K393:Q393">
    <cfRule type="containsBlanks" dxfId="1783" priority="3357" stopIfTrue="1">
      <formula>LEN(TRIM(E393))=0</formula>
    </cfRule>
    <cfRule type="cellIs" dxfId="1782" priority="3358" stopIfTrue="1" operator="between">
      <formula>80.1</formula>
      <formula>100</formula>
    </cfRule>
    <cfRule type="cellIs" dxfId="1781" priority="3359" stopIfTrue="1" operator="between">
      <formula>35.1</formula>
      <formula>80</formula>
    </cfRule>
    <cfRule type="cellIs" dxfId="1780" priority="3360" stopIfTrue="1" operator="between">
      <formula>14.1</formula>
      <formula>35</formula>
    </cfRule>
    <cfRule type="cellIs" dxfId="1779" priority="3361" stopIfTrue="1" operator="between">
      <formula>5.1</formula>
      <formula>14</formula>
    </cfRule>
    <cfRule type="cellIs" dxfId="1778" priority="3362" stopIfTrue="1" operator="between">
      <formula>0</formula>
      <formula>5</formula>
    </cfRule>
    <cfRule type="containsBlanks" dxfId="1777" priority="3363" stopIfTrue="1">
      <formula>LEN(TRIM(E393))=0</formula>
    </cfRule>
  </conditionalFormatting>
  <conditionalFormatting sqref="H393:J393">
    <cfRule type="containsBlanks" dxfId="1776" priority="3350" stopIfTrue="1">
      <formula>LEN(TRIM(H393))=0</formula>
    </cfRule>
    <cfRule type="cellIs" dxfId="1775" priority="3351" stopIfTrue="1" operator="between">
      <formula>80.1</formula>
      <formula>100</formula>
    </cfRule>
    <cfRule type="cellIs" dxfId="1774" priority="3352" stopIfTrue="1" operator="between">
      <formula>35.1</formula>
      <formula>80</formula>
    </cfRule>
    <cfRule type="cellIs" dxfId="1773" priority="3353" stopIfTrue="1" operator="between">
      <formula>14.1</formula>
      <formula>35</formula>
    </cfRule>
    <cfRule type="cellIs" dxfId="1772" priority="3354" stopIfTrue="1" operator="between">
      <formula>5.1</formula>
      <formula>14</formula>
    </cfRule>
    <cfRule type="cellIs" dxfId="1771" priority="3355" stopIfTrue="1" operator="between">
      <formula>0</formula>
      <formula>5</formula>
    </cfRule>
    <cfRule type="containsBlanks" dxfId="1770" priority="3356" stopIfTrue="1">
      <formula>LEN(TRIM(H393))=0</formula>
    </cfRule>
  </conditionalFormatting>
  <conditionalFormatting sqref="E386:G386 K386:Q386">
    <cfRule type="containsBlanks" dxfId="1769" priority="3343" stopIfTrue="1">
      <formula>LEN(TRIM(E386))=0</formula>
    </cfRule>
    <cfRule type="cellIs" dxfId="1768" priority="3344" stopIfTrue="1" operator="between">
      <formula>80.1</formula>
      <formula>100</formula>
    </cfRule>
    <cfRule type="cellIs" dxfId="1767" priority="3345" stopIfTrue="1" operator="between">
      <formula>35.1</formula>
      <formula>80</formula>
    </cfRule>
    <cfRule type="cellIs" dxfId="1766" priority="3346" stopIfTrue="1" operator="between">
      <formula>14.1</formula>
      <formula>35</formula>
    </cfRule>
    <cfRule type="cellIs" dxfId="1765" priority="3347" stopIfTrue="1" operator="between">
      <formula>5.1</formula>
      <formula>14</formula>
    </cfRule>
    <cfRule type="cellIs" dxfId="1764" priority="3348" stopIfTrue="1" operator="between">
      <formula>0</formula>
      <formula>5</formula>
    </cfRule>
    <cfRule type="containsBlanks" dxfId="1763" priority="3349" stopIfTrue="1">
      <formula>LEN(TRIM(E386))=0</formula>
    </cfRule>
  </conditionalFormatting>
  <conditionalFormatting sqref="H386:J386">
    <cfRule type="containsBlanks" dxfId="1762" priority="3336" stopIfTrue="1">
      <formula>LEN(TRIM(H386))=0</formula>
    </cfRule>
    <cfRule type="cellIs" dxfId="1761" priority="3337" stopIfTrue="1" operator="between">
      <formula>80.1</formula>
      <formula>100</formula>
    </cfRule>
    <cfRule type="cellIs" dxfId="1760" priority="3338" stopIfTrue="1" operator="between">
      <formula>35.1</formula>
      <formula>80</formula>
    </cfRule>
    <cfRule type="cellIs" dxfId="1759" priority="3339" stopIfTrue="1" operator="between">
      <formula>14.1</formula>
      <formula>35</formula>
    </cfRule>
    <cfRule type="cellIs" dxfId="1758" priority="3340" stopIfTrue="1" operator="between">
      <formula>5.1</formula>
      <formula>14</formula>
    </cfRule>
    <cfRule type="cellIs" dxfId="1757" priority="3341" stopIfTrue="1" operator="between">
      <formula>0</formula>
      <formula>5</formula>
    </cfRule>
    <cfRule type="containsBlanks" dxfId="1756" priority="3342" stopIfTrue="1">
      <formula>LEN(TRIM(H386))=0</formula>
    </cfRule>
  </conditionalFormatting>
  <conditionalFormatting sqref="E402:G402 K402:Q402">
    <cfRule type="containsBlanks" dxfId="1755" priority="3329" stopIfTrue="1">
      <formula>LEN(TRIM(E402))=0</formula>
    </cfRule>
    <cfRule type="cellIs" dxfId="1754" priority="3330" stopIfTrue="1" operator="between">
      <formula>80.1</formula>
      <formula>100</formula>
    </cfRule>
    <cfRule type="cellIs" dxfId="1753" priority="3331" stopIfTrue="1" operator="between">
      <formula>35.1</formula>
      <formula>80</formula>
    </cfRule>
    <cfRule type="cellIs" dxfId="1752" priority="3332" stopIfTrue="1" operator="between">
      <formula>14.1</formula>
      <formula>35</formula>
    </cfRule>
    <cfRule type="cellIs" dxfId="1751" priority="3333" stopIfTrue="1" operator="between">
      <formula>5.1</formula>
      <formula>14</formula>
    </cfRule>
    <cfRule type="cellIs" dxfId="1750" priority="3334" stopIfTrue="1" operator="between">
      <formula>0</formula>
      <formula>5</formula>
    </cfRule>
    <cfRule type="containsBlanks" dxfId="1749" priority="3335" stopIfTrue="1">
      <formula>LEN(TRIM(E402))=0</formula>
    </cfRule>
  </conditionalFormatting>
  <conditionalFormatting sqref="H402:J402">
    <cfRule type="containsBlanks" dxfId="1748" priority="3322" stopIfTrue="1">
      <formula>LEN(TRIM(H402))=0</formula>
    </cfRule>
    <cfRule type="cellIs" dxfId="1747" priority="3323" stopIfTrue="1" operator="between">
      <formula>80.1</formula>
      <formula>100</formula>
    </cfRule>
    <cfRule type="cellIs" dxfId="1746" priority="3324" stopIfTrue="1" operator="between">
      <formula>35.1</formula>
      <formula>80</formula>
    </cfRule>
    <cfRule type="cellIs" dxfId="1745" priority="3325" stopIfTrue="1" operator="between">
      <formula>14.1</formula>
      <formula>35</formula>
    </cfRule>
    <cfRule type="cellIs" dxfId="1744" priority="3326" stopIfTrue="1" operator="between">
      <formula>5.1</formula>
      <formula>14</formula>
    </cfRule>
    <cfRule type="cellIs" dxfId="1743" priority="3327" stopIfTrue="1" operator="between">
      <formula>0</formula>
      <formula>5</formula>
    </cfRule>
    <cfRule type="containsBlanks" dxfId="1742" priority="3328" stopIfTrue="1">
      <formula>LEN(TRIM(H402))=0</formula>
    </cfRule>
  </conditionalFormatting>
  <conditionalFormatting sqref="E406:Q406">
    <cfRule type="containsBlanks" dxfId="1741" priority="3315" stopIfTrue="1">
      <formula>LEN(TRIM(E406))=0</formula>
    </cfRule>
    <cfRule type="cellIs" dxfId="1740" priority="3316" stopIfTrue="1" operator="between">
      <formula>80.1</formula>
      <formula>100</formula>
    </cfRule>
    <cfRule type="cellIs" dxfId="1739" priority="3317" stopIfTrue="1" operator="between">
      <formula>35.1</formula>
      <formula>80</formula>
    </cfRule>
    <cfRule type="cellIs" dxfId="1738" priority="3318" stopIfTrue="1" operator="between">
      <formula>14.1</formula>
      <formula>35</formula>
    </cfRule>
    <cfRule type="cellIs" dxfId="1737" priority="3319" stopIfTrue="1" operator="between">
      <formula>5.1</formula>
      <formula>14</formula>
    </cfRule>
    <cfRule type="cellIs" dxfId="1736" priority="3320" stopIfTrue="1" operator="between">
      <formula>0</formula>
      <formula>5</formula>
    </cfRule>
    <cfRule type="containsBlanks" dxfId="1735" priority="3321" stopIfTrue="1">
      <formula>LEN(TRIM(E406))=0</formula>
    </cfRule>
  </conditionalFormatting>
  <conditionalFormatting sqref="E407:Q407">
    <cfRule type="containsBlanks" dxfId="1734" priority="3308" stopIfTrue="1">
      <formula>LEN(TRIM(E407))=0</formula>
    </cfRule>
    <cfRule type="cellIs" dxfId="1733" priority="3309" stopIfTrue="1" operator="between">
      <formula>80.1</formula>
      <formula>100</formula>
    </cfRule>
    <cfRule type="cellIs" dxfId="1732" priority="3310" stopIfTrue="1" operator="between">
      <formula>35.1</formula>
      <formula>80</formula>
    </cfRule>
    <cfRule type="cellIs" dxfId="1731" priority="3311" stopIfTrue="1" operator="between">
      <formula>14.1</formula>
      <formula>35</formula>
    </cfRule>
    <cfRule type="cellIs" dxfId="1730" priority="3312" stopIfTrue="1" operator="between">
      <formula>5.1</formula>
      <formula>14</formula>
    </cfRule>
    <cfRule type="cellIs" dxfId="1729" priority="3313" stopIfTrue="1" operator="between">
      <formula>0</formula>
      <formula>5</formula>
    </cfRule>
    <cfRule type="containsBlanks" dxfId="1728" priority="3314" stopIfTrue="1">
      <formula>LEN(TRIM(E407))=0</formula>
    </cfRule>
  </conditionalFormatting>
  <conditionalFormatting sqref="E409:Q409">
    <cfRule type="containsBlanks" dxfId="1727" priority="3301" stopIfTrue="1">
      <formula>LEN(TRIM(E409))=0</formula>
    </cfRule>
    <cfRule type="cellIs" dxfId="1726" priority="3302" stopIfTrue="1" operator="between">
      <formula>80.1</formula>
      <formula>100</formula>
    </cfRule>
    <cfRule type="cellIs" dxfId="1725" priority="3303" stopIfTrue="1" operator="between">
      <formula>35.1</formula>
      <formula>80</formula>
    </cfRule>
    <cfRule type="cellIs" dxfId="1724" priority="3304" stopIfTrue="1" operator="between">
      <formula>14.1</formula>
      <formula>35</formula>
    </cfRule>
    <cfRule type="cellIs" dxfId="1723" priority="3305" stopIfTrue="1" operator="between">
      <formula>5.1</formula>
      <formula>14</formula>
    </cfRule>
    <cfRule type="cellIs" dxfId="1722" priority="3306" stopIfTrue="1" operator="between">
      <formula>0</formula>
      <formula>5</formula>
    </cfRule>
    <cfRule type="containsBlanks" dxfId="1721" priority="3307" stopIfTrue="1">
      <formula>LEN(TRIM(E409))=0</formula>
    </cfRule>
  </conditionalFormatting>
  <conditionalFormatting sqref="E415:Q415">
    <cfRule type="containsBlanks" dxfId="1720" priority="3294" stopIfTrue="1">
      <formula>LEN(TRIM(E415))=0</formula>
    </cfRule>
    <cfRule type="cellIs" dxfId="1719" priority="3295" stopIfTrue="1" operator="between">
      <formula>80.1</formula>
      <formula>100</formula>
    </cfRule>
    <cfRule type="cellIs" dxfId="1718" priority="3296" stopIfTrue="1" operator="between">
      <formula>35.1</formula>
      <formula>80</formula>
    </cfRule>
    <cfRule type="cellIs" dxfId="1717" priority="3297" stopIfTrue="1" operator="between">
      <formula>14.1</formula>
      <formula>35</formula>
    </cfRule>
    <cfRule type="cellIs" dxfId="1716" priority="3298" stopIfTrue="1" operator="between">
      <formula>5.1</formula>
      <formula>14</formula>
    </cfRule>
    <cfRule type="cellIs" dxfId="1715" priority="3299" stopIfTrue="1" operator="between">
      <formula>0</formula>
      <formula>5</formula>
    </cfRule>
    <cfRule type="containsBlanks" dxfId="1714" priority="3300" stopIfTrue="1">
      <formula>LEN(TRIM(E415))=0</formula>
    </cfRule>
  </conditionalFormatting>
  <conditionalFormatting sqref="E413:Q413">
    <cfRule type="containsBlanks" dxfId="1713" priority="3287" stopIfTrue="1">
      <formula>LEN(TRIM(E413))=0</formula>
    </cfRule>
    <cfRule type="cellIs" dxfId="1712" priority="3288" stopIfTrue="1" operator="between">
      <formula>80.1</formula>
      <formula>100</formula>
    </cfRule>
    <cfRule type="cellIs" dxfId="1711" priority="3289" stopIfTrue="1" operator="between">
      <formula>35.1</formula>
      <formula>80</formula>
    </cfRule>
    <cfRule type="cellIs" dxfId="1710" priority="3290" stopIfTrue="1" operator="between">
      <formula>14.1</formula>
      <formula>35</formula>
    </cfRule>
    <cfRule type="cellIs" dxfId="1709" priority="3291" stopIfTrue="1" operator="between">
      <formula>5.1</formula>
      <formula>14</formula>
    </cfRule>
    <cfRule type="cellIs" dxfId="1708" priority="3292" stopIfTrue="1" operator="between">
      <formula>0</formula>
      <formula>5</formula>
    </cfRule>
    <cfRule type="containsBlanks" dxfId="1707" priority="3293" stopIfTrue="1">
      <formula>LEN(TRIM(E413))=0</formula>
    </cfRule>
  </conditionalFormatting>
  <conditionalFormatting sqref="E405:Q405">
    <cfRule type="containsBlanks" dxfId="1706" priority="3280" stopIfTrue="1">
      <formula>LEN(TRIM(E405))=0</formula>
    </cfRule>
    <cfRule type="cellIs" dxfId="1705" priority="3281" stopIfTrue="1" operator="between">
      <formula>80.1</formula>
      <formula>100</formula>
    </cfRule>
    <cfRule type="cellIs" dxfId="1704" priority="3282" stopIfTrue="1" operator="between">
      <formula>35.1</formula>
      <formula>80</formula>
    </cfRule>
    <cfRule type="cellIs" dxfId="1703" priority="3283" stopIfTrue="1" operator="between">
      <formula>14.1</formula>
      <formula>35</formula>
    </cfRule>
    <cfRule type="cellIs" dxfId="1702" priority="3284" stopIfTrue="1" operator="between">
      <formula>5.1</formula>
      <formula>14</formula>
    </cfRule>
    <cfRule type="cellIs" dxfId="1701" priority="3285" stopIfTrue="1" operator="between">
      <formula>0</formula>
      <formula>5</formula>
    </cfRule>
    <cfRule type="containsBlanks" dxfId="1700" priority="3286" stopIfTrue="1">
      <formula>LEN(TRIM(E405))=0</formula>
    </cfRule>
  </conditionalFormatting>
  <conditionalFormatting sqref="E412:Q412">
    <cfRule type="containsBlanks" dxfId="1699" priority="3273" stopIfTrue="1">
      <formula>LEN(TRIM(E412))=0</formula>
    </cfRule>
    <cfRule type="cellIs" dxfId="1698" priority="3274" stopIfTrue="1" operator="between">
      <formula>80.1</formula>
      <formula>100</formula>
    </cfRule>
    <cfRule type="cellIs" dxfId="1697" priority="3275" stopIfTrue="1" operator="between">
      <formula>35.1</formula>
      <formula>80</formula>
    </cfRule>
    <cfRule type="cellIs" dxfId="1696" priority="3276" stopIfTrue="1" operator="between">
      <formula>14.1</formula>
      <formula>35</formula>
    </cfRule>
    <cfRule type="cellIs" dxfId="1695" priority="3277" stopIfTrue="1" operator="between">
      <formula>5.1</formula>
      <formula>14</formula>
    </cfRule>
    <cfRule type="cellIs" dxfId="1694" priority="3278" stopIfTrue="1" operator="between">
      <formula>0</formula>
      <formula>5</formula>
    </cfRule>
    <cfRule type="containsBlanks" dxfId="1693" priority="3279" stopIfTrue="1">
      <formula>LEN(TRIM(E412))=0</formula>
    </cfRule>
  </conditionalFormatting>
  <conditionalFormatting sqref="E418:Q418">
    <cfRule type="containsBlanks" dxfId="1692" priority="3266" stopIfTrue="1">
      <formula>LEN(TRIM(E418))=0</formula>
    </cfRule>
    <cfRule type="cellIs" dxfId="1691" priority="3267" stopIfTrue="1" operator="between">
      <formula>80.1</formula>
      <formula>100</formula>
    </cfRule>
    <cfRule type="cellIs" dxfId="1690" priority="3268" stopIfTrue="1" operator="between">
      <formula>35.1</formula>
      <formula>80</formula>
    </cfRule>
    <cfRule type="cellIs" dxfId="1689" priority="3269" stopIfTrue="1" operator="between">
      <formula>14.1</formula>
      <formula>35</formula>
    </cfRule>
    <cfRule type="cellIs" dxfId="1688" priority="3270" stopIfTrue="1" operator="between">
      <formula>5.1</formula>
      <formula>14</formula>
    </cfRule>
    <cfRule type="cellIs" dxfId="1687" priority="3271" stopIfTrue="1" operator="between">
      <formula>0</formula>
      <formula>5</formula>
    </cfRule>
    <cfRule type="containsBlanks" dxfId="1686" priority="3272" stopIfTrue="1">
      <formula>LEN(TRIM(E418))=0</formula>
    </cfRule>
  </conditionalFormatting>
  <conditionalFormatting sqref="E411:Q411">
    <cfRule type="containsBlanks" dxfId="1685" priority="3259" stopIfTrue="1">
      <formula>LEN(TRIM(E411))=0</formula>
    </cfRule>
    <cfRule type="cellIs" dxfId="1684" priority="3260" stopIfTrue="1" operator="between">
      <formula>80.1</formula>
      <formula>100</formula>
    </cfRule>
    <cfRule type="cellIs" dxfId="1683" priority="3261" stopIfTrue="1" operator="between">
      <formula>35.1</formula>
      <formula>80</formula>
    </cfRule>
    <cfRule type="cellIs" dxfId="1682" priority="3262" stopIfTrue="1" operator="between">
      <formula>14.1</formula>
      <formula>35</formula>
    </cfRule>
    <cfRule type="cellIs" dxfId="1681" priority="3263" stopIfTrue="1" operator="between">
      <formula>5.1</formula>
      <formula>14</formula>
    </cfRule>
    <cfRule type="cellIs" dxfId="1680" priority="3264" stopIfTrue="1" operator="between">
      <formula>0</formula>
      <formula>5</formula>
    </cfRule>
    <cfRule type="containsBlanks" dxfId="1679" priority="3265" stopIfTrue="1">
      <formula>LEN(TRIM(E411))=0</formula>
    </cfRule>
  </conditionalFormatting>
  <conditionalFormatting sqref="E410:Q410">
    <cfRule type="containsBlanks" dxfId="1678" priority="3252" stopIfTrue="1">
      <formula>LEN(TRIM(E410))=0</formula>
    </cfRule>
    <cfRule type="cellIs" dxfId="1677" priority="3253" stopIfTrue="1" operator="between">
      <formula>80.1</formula>
      <formula>100</formula>
    </cfRule>
    <cfRule type="cellIs" dxfId="1676" priority="3254" stopIfTrue="1" operator="between">
      <formula>35.1</formula>
      <formula>80</formula>
    </cfRule>
    <cfRule type="cellIs" dxfId="1675" priority="3255" stopIfTrue="1" operator="between">
      <formula>14.1</formula>
      <formula>35</formula>
    </cfRule>
    <cfRule type="cellIs" dxfId="1674" priority="3256" stopIfTrue="1" operator="between">
      <formula>5.1</formula>
      <formula>14</formula>
    </cfRule>
    <cfRule type="cellIs" dxfId="1673" priority="3257" stopIfTrue="1" operator="between">
      <formula>0</formula>
      <formula>5</formula>
    </cfRule>
    <cfRule type="containsBlanks" dxfId="1672" priority="3258" stopIfTrue="1">
      <formula>LEN(TRIM(E410))=0</formula>
    </cfRule>
  </conditionalFormatting>
  <conditionalFormatting sqref="E408:Q408">
    <cfRule type="containsBlanks" dxfId="1671" priority="3245" stopIfTrue="1">
      <formula>LEN(TRIM(E408))=0</formula>
    </cfRule>
    <cfRule type="cellIs" dxfId="1670" priority="3246" stopIfTrue="1" operator="between">
      <formula>80.1</formula>
      <formula>100</formula>
    </cfRule>
    <cfRule type="cellIs" dxfId="1669" priority="3247" stopIfTrue="1" operator="between">
      <formula>35.1</formula>
      <formula>80</formula>
    </cfRule>
    <cfRule type="cellIs" dxfId="1668" priority="3248" stopIfTrue="1" operator="between">
      <formula>14.1</formula>
      <formula>35</formula>
    </cfRule>
    <cfRule type="cellIs" dxfId="1667" priority="3249" stopIfTrue="1" operator="between">
      <formula>5.1</formula>
      <formula>14</formula>
    </cfRule>
    <cfRule type="cellIs" dxfId="1666" priority="3250" stopIfTrue="1" operator="between">
      <formula>0</formula>
      <formula>5</formula>
    </cfRule>
    <cfRule type="containsBlanks" dxfId="1665" priority="3251" stopIfTrue="1">
      <formula>LEN(TRIM(E408))=0</formula>
    </cfRule>
  </conditionalFormatting>
  <conditionalFormatting sqref="E414:Q414">
    <cfRule type="containsBlanks" dxfId="1664" priority="3238" stopIfTrue="1">
      <formula>LEN(TRIM(E414))=0</formula>
    </cfRule>
    <cfRule type="cellIs" dxfId="1663" priority="3239" stopIfTrue="1" operator="between">
      <formula>80.1</formula>
      <formula>100</formula>
    </cfRule>
    <cfRule type="cellIs" dxfId="1662" priority="3240" stopIfTrue="1" operator="between">
      <formula>35.1</formula>
      <formula>80</formula>
    </cfRule>
    <cfRule type="cellIs" dxfId="1661" priority="3241" stopIfTrue="1" operator="between">
      <formula>14.1</formula>
      <formula>35</formula>
    </cfRule>
    <cfRule type="cellIs" dxfId="1660" priority="3242" stopIfTrue="1" operator="between">
      <formula>5.1</formula>
      <formula>14</formula>
    </cfRule>
    <cfRule type="cellIs" dxfId="1659" priority="3243" stopIfTrue="1" operator="between">
      <formula>0</formula>
      <formula>5</formula>
    </cfRule>
    <cfRule type="containsBlanks" dxfId="1658" priority="3244" stopIfTrue="1">
      <formula>LEN(TRIM(E414))=0</formula>
    </cfRule>
  </conditionalFormatting>
  <conditionalFormatting sqref="E416:Q416">
    <cfRule type="containsBlanks" dxfId="1657" priority="3231" stopIfTrue="1">
      <formula>LEN(TRIM(E416))=0</formula>
    </cfRule>
    <cfRule type="cellIs" dxfId="1656" priority="3232" stopIfTrue="1" operator="between">
      <formula>80.1</formula>
      <formula>100</formula>
    </cfRule>
    <cfRule type="cellIs" dxfId="1655" priority="3233" stopIfTrue="1" operator="between">
      <formula>35.1</formula>
      <formula>80</formula>
    </cfRule>
    <cfRule type="cellIs" dxfId="1654" priority="3234" stopIfTrue="1" operator="between">
      <formula>14.1</formula>
      <formula>35</formula>
    </cfRule>
    <cfRule type="cellIs" dxfId="1653" priority="3235" stopIfTrue="1" operator="between">
      <formula>5.1</formula>
      <formula>14</formula>
    </cfRule>
    <cfRule type="cellIs" dxfId="1652" priority="3236" stopIfTrue="1" operator="between">
      <formula>0</formula>
      <formula>5</formula>
    </cfRule>
    <cfRule type="containsBlanks" dxfId="1651" priority="3237" stopIfTrue="1">
      <formula>LEN(TRIM(E416))=0</formula>
    </cfRule>
  </conditionalFormatting>
  <conditionalFormatting sqref="E417:Q417">
    <cfRule type="containsBlanks" dxfId="1650" priority="3224" stopIfTrue="1">
      <formula>LEN(TRIM(E417))=0</formula>
    </cfRule>
    <cfRule type="cellIs" dxfId="1649" priority="3225" stopIfTrue="1" operator="between">
      <formula>80.1</formula>
      <formula>100</formula>
    </cfRule>
    <cfRule type="cellIs" dxfId="1648" priority="3226" stopIfTrue="1" operator="between">
      <formula>35.1</formula>
      <formula>80</formula>
    </cfRule>
    <cfRule type="cellIs" dxfId="1647" priority="3227" stopIfTrue="1" operator="between">
      <formula>14.1</formula>
      <formula>35</formula>
    </cfRule>
    <cfRule type="cellIs" dxfId="1646" priority="3228" stopIfTrue="1" operator="between">
      <formula>5.1</formula>
      <formula>14</formula>
    </cfRule>
    <cfRule type="cellIs" dxfId="1645" priority="3229" stopIfTrue="1" operator="between">
      <formula>0</formula>
      <formula>5</formula>
    </cfRule>
    <cfRule type="containsBlanks" dxfId="1644" priority="3230" stopIfTrue="1">
      <formula>LEN(TRIM(E417))=0</formula>
    </cfRule>
  </conditionalFormatting>
  <conditionalFormatting sqref="E419:O419">
    <cfRule type="containsBlanks" dxfId="1643" priority="3217" stopIfTrue="1">
      <formula>LEN(TRIM(E419))=0</formula>
    </cfRule>
    <cfRule type="cellIs" dxfId="1642" priority="3218" stopIfTrue="1" operator="between">
      <formula>80.1</formula>
      <formula>100</formula>
    </cfRule>
    <cfRule type="cellIs" dxfId="1641" priority="3219" stopIfTrue="1" operator="between">
      <formula>35.1</formula>
      <formula>80</formula>
    </cfRule>
    <cfRule type="cellIs" dxfId="1640" priority="3220" stopIfTrue="1" operator="between">
      <formula>14.1</formula>
      <formula>35</formula>
    </cfRule>
    <cfRule type="cellIs" dxfId="1639" priority="3221" stopIfTrue="1" operator="between">
      <formula>5.1</formula>
      <formula>14</formula>
    </cfRule>
    <cfRule type="cellIs" dxfId="1638" priority="3222" stopIfTrue="1" operator="between">
      <formula>0</formula>
      <formula>5</formula>
    </cfRule>
    <cfRule type="containsBlanks" dxfId="1637" priority="3223" stopIfTrue="1">
      <formula>LEN(TRIM(E419))=0</formula>
    </cfRule>
  </conditionalFormatting>
  <conditionalFormatting sqref="N420">
    <cfRule type="containsBlanks" dxfId="1636" priority="3210" stopIfTrue="1">
      <formula>LEN(TRIM(N420))=0</formula>
    </cfRule>
    <cfRule type="cellIs" dxfId="1635" priority="3211" stopIfTrue="1" operator="between">
      <formula>79.1</formula>
      <formula>100</formula>
    </cfRule>
    <cfRule type="cellIs" dxfId="1634" priority="3212" stopIfTrue="1" operator="between">
      <formula>34.1</formula>
      <formula>79</formula>
    </cfRule>
    <cfRule type="cellIs" dxfId="1633" priority="3213" stopIfTrue="1" operator="between">
      <formula>13.1</formula>
      <formula>34</formula>
    </cfRule>
    <cfRule type="cellIs" dxfId="1632" priority="3214" stopIfTrue="1" operator="between">
      <formula>5.1</formula>
      <formula>13</formula>
    </cfRule>
    <cfRule type="cellIs" dxfId="1631" priority="3215" stopIfTrue="1" operator="between">
      <formula>0</formula>
      <formula>5</formula>
    </cfRule>
    <cfRule type="containsBlanks" dxfId="1630" priority="3216" stopIfTrue="1">
      <formula>LEN(TRIM(N420))=0</formula>
    </cfRule>
  </conditionalFormatting>
  <conditionalFormatting sqref="H420:M420">
    <cfRule type="containsBlanks" dxfId="1629" priority="3203" stopIfTrue="1">
      <formula>LEN(TRIM(H420))=0</formula>
    </cfRule>
    <cfRule type="cellIs" dxfId="1628" priority="3204" stopIfTrue="1" operator="between">
      <formula>79.1</formula>
      <formula>100</formula>
    </cfRule>
    <cfRule type="cellIs" dxfId="1627" priority="3205" stopIfTrue="1" operator="between">
      <formula>34.1</formula>
      <formula>79</formula>
    </cfRule>
    <cfRule type="cellIs" dxfId="1626" priority="3206" stopIfTrue="1" operator="between">
      <formula>13.1</formula>
      <formula>34</formula>
    </cfRule>
    <cfRule type="cellIs" dxfId="1625" priority="3207" stopIfTrue="1" operator="between">
      <formula>5.1</formula>
      <formula>13</formula>
    </cfRule>
    <cfRule type="cellIs" dxfId="1624" priority="3208" stopIfTrue="1" operator="between">
      <formula>0</formula>
      <formula>5</formula>
    </cfRule>
    <cfRule type="containsBlanks" dxfId="1623" priority="3209" stopIfTrue="1">
      <formula>LEN(TRIM(H420))=0</formula>
    </cfRule>
  </conditionalFormatting>
  <conditionalFormatting sqref="H421:N421">
    <cfRule type="containsBlanks" dxfId="1622" priority="3196" stopIfTrue="1">
      <formula>LEN(TRIM(H421))=0</formula>
    </cfRule>
    <cfRule type="cellIs" dxfId="1621" priority="3197" stopIfTrue="1" operator="between">
      <formula>79.1</formula>
      <formula>100</formula>
    </cfRule>
    <cfRule type="cellIs" dxfId="1620" priority="3198" stopIfTrue="1" operator="between">
      <formula>34.1</formula>
      <formula>79</formula>
    </cfRule>
    <cfRule type="cellIs" dxfId="1619" priority="3199" stopIfTrue="1" operator="between">
      <formula>13.1</formula>
      <formula>34</formula>
    </cfRule>
    <cfRule type="cellIs" dxfId="1618" priority="3200" stopIfTrue="1" operator="between">
      <formula>5.1</formula>
      <formula>13</formula>
    </cfRule>
    <cfRule type="cellIs" dxfId="1617" priority="3201" stopIfTrue="1" operator="between">
      <formula>0</formula>
      <formula>5</formula>
    </cfRule>
    <cfRule type="containsBlanks" dxfId="1616" priority="3202" stopIfTrue="1">
      <formula>LEN(TRIM(H421))=0</formula>
    </cfRule>
  </conditionalFormatting>
  <conditionalFormatting sqref="R434">
    <cfRule type="cellIs" dxfId="1615" priority="2436" stopIfTrue="1" operator="equal">
      <formula>"NO"</formula>
    </cfRule>
  </conditionalFormatting>
  <conditionalFormatting sqref="Q434">
    <cfRule type="containsBlanks" dxfId="1614" priority="2423" stopIfTrue="1">
      <formula>LEN(TRIM(Q434))=0</formula>
    </cfRule>
    <cfRule type="cellIs" dxfId="1613" priority="2424" stopIfTrue="1" operator="between">
      <formula>80.1</formula>
      <formula>100</formula>
    </cfRule>
    <cfRule type="cellIs" dxfId="1612" priority="2425" stopIfTrue="1" operator="between">
      <formula>35.1</formula>
      <formula>80</formula>
    </cfRule>
    <cfRule type="cellIs" dxfId="1611" priority="2426" stopIfTrue="1" operator="between">
      <formula>14.1</formula>
      <formula>35</formula>
    </cfRule>
    <cfRule type="cellIs" dxfId="1610" priority="2427" stopIfTrue="1" operator="between">
      <formula>5.1</formula>
      <formula>14</formula>
    </cfRule>
    <cfRule type="cellIs" dxfId="1609" priority="2428" stopIfTrue="1" operator="between">
      <formula>0</formula>
      <formula>5</formula>
    </cfRule>
    <cfRule type="containsBlanks" dxfId="1608" priority="2429" stopIfTrue="1">
      <formula>LEN(TRIM(Q434))=0</formula>
    </cfRule>
  </conditionalFormatting>
  <conditionalFormatting sqref="Q434">
    <cfRule type="containsBlanks" dxfId="1607" priority="2416" stopIfTrue="1">
      <formula>LEN(TRIM(Q434))=0</formula>
    </cfRule>
    <cfRule type="cellIs" dxfId="1606" priority="2417" stopIfTrue="1" operator="between">
      <formula>80.1</formula>
      <formula>100</formula>
    </cfRule>
    <cfRule type="cellIs" dxfId="1605" priority="2418" stopIfTrue="1" operator="between">
      <formula>35.1</formula>
      <formula>80</formula>
    </cfRule>
    <cfRule type="cellIs" dxfId="1604" priority="2419" stopIfTrue="1" operator="between">
      <formula>14.1</formula>
      <formula>35</formula>
    </cfRule>
    <cfRule type="cellIs" dxfId="1603" priority="2420" stopIfTrue="1" operator="between">
      <formula>5.1</formula>
      <formula>14</formula>
    </cfRule>
    <cfRule type="cellIs" dxfId="1602" priority="2421" stopIfTrue="1" operator="between">
      <formula>0</formula>
      <formula>5</formula>
    </cfRule>
    <cfRule type="containsBlanks" dxfId="1601" priority="2422" stopIfTrue="1">
      <formula>LEN(TRIM(Q434))=0</formula>
    </cfRule>
  </conditionalFormatting>
  <conditionalFormatting sqref="R435">
    <cfRule type="cellIs" dxfId="1600" priority="2414" stopIfTrue="1" operator="equal">
      <formula>"NO"</formula>
    </cfRule>
  </conditionalFormatting>
  <conditionalFormatting sqref="Q435">
    <cfRule type="containsBlanks" dxfId="1599" priority="2401" stopIfTrue="1">
      <formula>LEN(TRIM(Q435))=0</formula>
    </cfRule>
    <cfRule type="cellIs" dxfId="1598" priority="2402" stopIfTrue="1" operator="between">
      <formula>80.1</formula>
      <formula>100</formula>
    </cfRule>
    <cfRule type="cellIs" dxfId="1597" priority="2403" stopIfTrue="1" operator="between">
      <formula>35.1</formula>
      <formula>80</formula>
    </cfRule>
    <cfRule type="cellIs" dxfId="1596" priority="2404" stopIfTrue="1" operator="between">
      <formula>14.1</formula>
      <formula>35</formula>
    </cfRule>
    <cfRule type="cellIs" dxfId="1595" priority="2405" stopIfTrue="1" operator="between">
      <formula>5.1</formula>
      <formula>14</formula>
    </cfRule>
    <cfRule type="cellIs" dxfId="1594" priority="2406" stopIfTrue="1" operator="between">
      <formula>0</formula>
      <formula>5</formula>
    </cfRule>
    <cfRule type="containsBlanks" dxfId="1593" priority="2407" stopIfTrue="1">
      <formula>LEN(TRIM(Q435))=0</formula>
    </cfRule>
  </conditionalFormatting>
  <conditionalFormatting sqref="Q435">
    <cfRule type="containsBlanks" dxfId="1592" priority="2394" stopIfTrue="1">
      <formula>LEN(TRIM(Q435))=0</formula>
    </cfRule>
    <cfRule type="cellIs" dxfId="1591" priority="2395" stopIfTrue="1" operator="between">
      <formula>80.1</formula>
      <formula>100</formula>
    </cfRule>
    <cfRule type="cellIs" dxfId="1590" priority="2396" stopIfTrue="1" operator="between">
      <formula>35.1</formula>
      <formula>80</formula>
    </cfRule>
    <cfRule type="cellIs" dxfId="1589" priority="2397" stopIfTrue="1" operator="between">
      <formula>14.1</formula>
      <formula>35</formula>
    </cfRule>
    <cfRule type="cellIs" dxfId="1588" priority="2398" stopIfTrue="1" operator="between">
      <formula>5.1</formula>
      <formula>14</formula>
    </cfRule>
    <cfRule type="cellIs" dxfId="1587" priority="2399" stopIfTrue="1" operator="between">
      <formula>0</formula>
      <formula>5</formula>
    </cfRule>
    <cfRule type="containsBlanks" dxfId="1586" priority="2400" stopIfTrue="1">
      <formula>LEN(TRIM(Q435))=0</formula>
    </cfRule>
  </conditionalFormatting>
  <conditionalFormatting sqref="R436">
    <cfRule type="cellIs" dxfId="1585" priority="2392" stopIfTrue="1" operator="equal">
      <formula>"NO"</formula>
    </cfRule>
  </conditionalFormatting>
  <conditionalFormatting sqref="Q436">
    <cfRule type="containsBlanks" dxfId="1584" priority="2379" stopIfTrue="1">
      <formula>LEN(TRIM(Q436))=0</formula>
    </cfRule>
    <cfRule type="cellIs" dxfId="1583" priority="2380" stopIfTrue="1" operator="between">
      <formula>80.1</formula>
      <formula>100</formula>
    </cfRule>
    <cfRule type="cellIs" dxfId="1582" priority="2381" stopIfTrue="1" operator="between">
      <formula>35.1</formula>
      <formula>80</formula>
    </cfRule>
    <cfRule type="cellIs" dxfId="1581" priority="2382" stopIfTrue="1" operator="between">
      <formula>14.1</formula>
      <formula>35</formula>
    </cfRule>
    <cfRule type="cellIs" dxfId="1580" priority="2383" stopIfTrue="1" operator="between">
      <formula>5.1</formula>
      <formula>14</formula>
    </cfRule>
    <cfRule type="cellIs" dxfId="1579" priority="2384" stopIfTrue="1" operator="between">
      <formula>0</formula>
      <formula>5</formula>
    </cfRule>
    <cfRule type="containsBlanks" dxfId="1578" priority="2385" stopIfTrue="1">
      <formula>LEN(TRIM(Q436))=0</formula>
    </cfRule>
  </conditionalFormatting>
  <conditionalFormatting sqref="Q436">
    <cfRule type="containsBlanks" dxfId="1577" priority="2372" stopIfTrue="1">
      <formula>LEN(TRIM(Q436))=0</formula>
    </cfRule>
    <cfRule type="cellIs" dxfId="1576" priority="2373" stopIfTrue="1" operator="between">
      <formula>80.1</formula>
      <formula>100</formula>
    </cfRule>
    <cfRule type="cellIs" dxfId="1575" priority="2374" stopIfTrue="1" operator="between">
      <formula>35.1</formula>
      <formula>80</formula>
    </cfRule>
    <cfRule type="cellIs" dxfId="1574" priority="2375" stopIfTrue="1" operator="between">
      <formula>14.1</formula>
      <formula>35</formula>
    </cfRule>
    <cfRule type="cellIs" dxfId="1573" priority="2376" stopIfTrue="1" operator="between">
      <formula>5.1</formula>
      <formula>14</formula>
    </cfRule>
    <cfRule type="cellIs" dxfId="1572" priority="2377" stopIfTrue="1" operator="between">
      <formula>0</formula>
      <formula>5</formula>
    </cfRule>
    <cfRule type="containsBlanks" dxfId="1571" priority="2378" stopIfTrue="1">
      <formula>LEN(TRIM(Q436))=0</formula>
    </cfRule>
  </conditionalFormatting>
  <conditionalFormatting sqref="R437">
    <cfRule type="cellIs" dxfId="1570" priority="2370" stopIfTrue="1" operator="equal">
      <formula>"NO"</formula>
    </cfRule>
  </conditionalFormatting>
  <conditionalFormatting sqref="Q437">
    <cfRule type="containsBlanks" dxfId="1569" priority="2357" stopIfTrue="1">
      <formula>LEN(TRIM(Q437))=0</formula>
    </cfRule>
    <cfRule type="cellIs" dxfId="1568" priority="2358" stopIfTrue="1" operator="between">
      <formula>80.1</formula>
      <formula>100</formula>
    </cfRule>
    <cfRule type="cellIs" dxfId="1567" priority="2359" stopIfTrue="1" operator="between">
      <formula>35.1</formula>
      <formula>80</formula>
    </cfRule>
    <cfRule type="cellIs" dxfId="1566" priority="2360" stopIfTrue="1" operator="between">
      <formula>14.1</formula>
      <formula>35</formula>
    </cfRule>
    <cfRule type="cellIs" dxfId="1565" priority="2361" stopIfTrue="1" operator="between">
      <formula>5.1</formula>
      <formula>14</formula>
    </cfRule>
    <cfRule type="cellIs" dxfId="1564" priority="2362" stopIfTrue="1" operator="between">
      <formula>0</formula>
      <formula>5</formula>
    </cfRule>
    <cfRule type="containsBlanks" dxfId="1563" priority="2363" stopIfTrue="1">
      <formula>LEN(TRIM(Q437))=0</formula>
    </cfRule>
  </conditionalFormatting>
  <conditionalFormatting sqref="Q437">
    <cfRule type="containsBlanks" dxfId="1562" priority="2350" stopIfTrue="1">
      <formula>LEN(TRIM(Q437))=0</formula>
    </cfRule>
    <cfRule type="cellIs" dxfId="1561" priority="2351" stopIfTrue="1" operator="between">
      <formula>80.1</formula>
      <formula>100</formula>
    </cfRule>
    <cfRule type="cellIs" dxfId="1560" priority="2352" stopIfTrue="1" operator="between">
      <formula>35.1</formula>
      <formula>80</formula>
    </cfRule>
    <cfRule type="cellIs" dxfId="1559" priority="2353" stopIfTrue="1" operator="between">
      <formula>14.1</formula>
      <formula>35</formula>
    </cfRule>
    <cfRule type="cellIs" dxfId="1558" priority="2354" stopIfTrue="1" operator="between">
      <formula>5.1</formula>
      <formula>14</formula>
    </cfRule>
    <cfRule type="cellIs" dxfId="1557" priority="2355" stopIfTrue="1" operator="between">
      <formula>0</formula>
      <formula>5</formula>
    </cfRule>
    <cfRule type="containsBlanks" dxfId="1556" priority="2356" stopIfTrue="1">
      <formula>LEN(TRIM(Q437))=0</formula>
    </cfRule>
  </conditionalFormatting>
  <conditionalFormatting sqref="R438">
    <cfRule type="cellIs" dxfId="1555" priority="2348" stopIfTrue="1" operator="equal">
      <formula>"NO"</formula>
    </cfRule>
  </conditionalFormatting>
  <conditionalFormatting sqref="Q438">
    <cfRule type="containsBlanks" dxfId="1554" priority="2335" stopIfTrue="1">
      <formula>LEN(TRIM(Q438))=0</formula>
    </cfRule>
    <cfRule type="cellIs" dxfId="1553" priority="2336" stopIfTrue="1" operator="between">
      <formula>80.1</formula>
      <formula>100</formula>
    </cfRule>
    <cfRule type="cellIs" dxfId="1552" priority="2337" stopIfTrue="1" operator="between">
      <formula>35.1</formula>
      <formula>80</formula>
    </cfRule>
    <cfRule type="cellIs" dxfId="1551" priority="2338" stopIfTrue="1" operator="between">
      <formula>14.1</formula>
      <formula>35</formula>
    </cfRule>
    <cfRule type="cellIs" dxfId="1550" priority="2339" stopIfTrue="1" operator="between">
      <formula>5.1</formula>
      <formula>14</formula>
    </cfRule>
    <cfRule type="cellIs" dxfId="1549" priority="2340" stopIfTrue="1" operator="between">
      <formula>0</formula>
      <formula>5</formula>
    </cfRule>
    <cfRule type="containsBlanks" dxfId="1548" priority="2341" stopIfTrue="1">
      <formula>LEN(TRIM(Q438))=0</formula>
    </cfRule>
  </conditionalFormatting>
  <conditionalFormatting sqref="Q438">
    <cfRule type="containsBlanks" dxfId="1547" priority="2328" stopIfTrue="1">
      <formula>LEN(TRIM(Q438))=0</formula>
    </cfRule>
    <cfRule type="cellIs" dxfId="1546" priority="2329" stopIfTrue="1" operator="between">
      <formula>80.1</formula>
      <formula>100</formula>
    </cfRule>
    <cfRule type="cellIs" dxfId="1545" priority="2330" stopIfTrue="1" operator="between">
      <formula>35.1</formula>
      <formula>80</formula>
    </cfRule>
    <cfRule type="cellIs" dxfId="1544" priority="2331" stopIfTrue="1" operator="between">
      <formula>14.1</formula>
      <formula>35</formula>
    </cfRule>
    <cfRule type="cellIs" dxfId="1543" priority="2332" stopIfTrue="1" operator="between">
      <formula>5.1</formula>
      <formula>14</formula>
    </cfRule>
    <cfRule type="cellIs" dxfId="1542" priority="2333" stopIfTrue="1" operator="between">
      <formula>0</formula>
      <formula>5</formula>
    </cfRule>
    <cfRule type="containsBlanks" dxfId="1541" priority="2334" stopIfTrue="1">
      <formula>LEN(TRIM(Q438))=0</formula>
    </cfRule>
  </conditionalFormatting>
  <conditionalFormatting sqref="R439">
    <cfRule type="cellIs" dxfId="1540" priority="2326" stopIfTrue="1" operator="equal">
      <formula>"NO"</formula>
    </cfRule>
  </conditionalFormatting>
  <conditionalFormatting sqref="Q439">
    <cfRule type="containsBlanks" dxfId="1539" priority="2313" stopIfTrue="1">
      <formula>LEN(TRIM(Q439))=0</formula>
    </cfRule>
    <cfRule type="cellIs" dxfId="1538" priority="2314" stopIfTrue="1" operator="between">
      <formula>80.1</formula>
      <formula>100</formula>
    </cfRule>
    <cfRule type="cellIs" dxfId="1537" priority="2315" stopIfTrue="1" operator="between">
      <formula>35.1</formula>
      <formula>80</formula>
    </cfRule>
    <cfRule type="cellIs" dxfId="1536" priority="2316" stopIfTrue="1" operator="between">
      <formula>14.1</formula>
      <formula>35</formula>
    </cfRule>
    <cfRule type="cellIs" dxfId="1535" priority="2317" stopIfTrue="1" operator="between">
      <formula>5.1</formula>
      <formula>14</formula>
    </cfRule>
    <cfRule type="cellIs" dxfId="1534" priority="2318" stopIfTrue="1" operator="between">
      <formula>0</formula>
      <formula>5</formula>
    </cfRule>
    <cfRule type="containsBlanks" dxfId="1533" priority="2319" stopIfTrue="1">
      <formula>LEN(TRIM(Q439))=0</formula>
    </cfRule>
  </conditionalFormatting>
  <conditionalFormatting sqref="Q439">
    <cfRule type="containsBlanks" dxfId="1532" priority="2306" stopIfTrue="1">
      <formula>LEN(TRIM(Q439))=0</formula>
    </cfRule>
    <cfRule type="cellIs" dxfId="1531" priority="2307" stopIfTrue="1" operator="between">
      <formula>80.1</formula>
      <formula>100</formula>
    </cfRule>
    <cfRule type="cellIs" dxfId="1530" priority="2308" stopIfTrue="1" operator="between">
      <formula>35.1</formula>
      <formula>80</formula>
    </cfRule>
    <cfRule type="cellIs" dxfId="1529" priority="2309" stopIfTrue="1" operator="between">
      <formula>14.1</formula>
      <formula>35</formula>
    </cfRule>
    <cfRule type="cellIs" dxfId="1528" priority="2310" stopIfTrue="1" operator="between">
      <formula>5.1</formula>
      <formula>14</formula>
    </cfRule>
    <cfRule type="cellIs" dxfId="1527" priority="2311" stopIfTrue="1" operator="between">
      <formula>0</formula>
      <formula>5</formula>
    </cfRule>
    <cfRule type="containsBlanks" dxfId="1526" priority="2312" stopIfTrue="1">
      <formula>LEN(TRIM(Q439))=0</formula>
    </cfRule>
  </conditionalFormatting>
  <conditionalFormatting sqref="R440">
    <cfRule type="cellIs" dxfId="1525" priority="2304" stopIfTrue="1" operator="equal">
      <formula>"NO"</formula>
    </cfRule>
  </conditionalFormatting>
  <conditionalFormatting sqref="Q440">
    <cfRule type="containsBlanks" dxfId="1524" priority="2291" stopIfTrue="1">
      <formula>LEN(TRIM(Q440))=0</formula>
    </cfRule>
    <cfRule type="cellIs" dxfId="1523" priority="2292" stopIfTrue="1" operator="between">
      <formula>80.1</formula>
      <formula>100</formula>
    </cfRule>
    <cfRule type="cellIs" dxfId="1522" priority="2293" stopIfTrue="1" operator="between">
      <formula>35.1</formula>
      <formula>80</formula>
    </cfRule>
    <cfRule type="cellIs" dxfId="1521" priority="2294" stopIfTrue="1" operator="between">
      <formula>14.1</formula>
      <formula>35</formula>
    </cfRule>
    <cfRule type="cellIs" dxfId="1520" priority="2295" stopIfTrue="1" operator="between">
      <formula>5.1</formula>
      <formula>14</formula>
    </cfRule>
    <cfRule type="cellIs" dxfId="1519" priority="2296" stopIfTrue="1" operator="between">
      <formula>0</formula>
      <formula>5</formula>
    </cfRule>
    <cfRule type="containsBlanks" dxfId="1518" priority="2297" stopIfTrue="1">
      <formula>LEN(TRIM(Q440))=0</formula>
    </cfRule>
  </conditionalFormatting>
  <conditionalFormatting sqref="Q440">
    <cfRule type="containsBlanks" dxfId="1517" priority="2284" stopIfTrue="1">
      <formula>LEN(TRIM(Q440))=0</formula>
    </cfRule>
    <cfRule type="cellIs" dxfId="1516" priority="2285" stopIfTrue="1" operator="between">
      <formula>80.1</formula>
      <formula>100</formula>
    </cfRule>
    <cfRule type="cellIs" dxfId="1515" priority="2286" stopIfTrue="1" operator="between">
      <formula>35.1</formula>
      <formula>80</formula>
    </cfRule>
    <cfRule type="cellIs" dxfId="1514" priority="2287" stopIfTrue="1" operator="between">
      <formula>14.1</formula>
      <formula>35</formula>
    </cfRule>
    <cfRule type="cellIs" dxfId="1513" priority="2288" stopIfTrue="1" operator="between">
      <formula>5.1</formula>
      <formula>14</formula>
    </cfRule>
    <cfRule type="cellIs" dxfId="1512" priority="2289" stopIfTrue="1" operator="between">
      <formula>0</formula>
      <formula>5</formula>
    </cfRule>
    <cfRule type="containsBlanks" dxfId="1511" priority="2290" stopIfTrue="1">
      <formula>LEN(TRIM(Q440))=0</formula>
    </cfRule>
  </conditionalFormatting>
  <conditionalFormatting sqref="R443">
    <cfRule type="cellIs" dxfId="1510" priority="2260" stopIfTrue="1" operator="equal">
      <formula>"NO"</formula>
    </cfRule>
  </conditionalFormatting>
  <conditionalFormatting sqref="Q443">
    <cfRule type="containsBlanks" dxfId="1509" priority="2247" stopIfTrue="1">
      <formula>LEN(TRIM(Q443))=0</formula>
    </cfRule>
    <cfRule type="cellIs" dxfId="1508" priority="2248" stopIfTrue="1" operator="between">
      <formula>80.1</formula>
      <formula>100</formula>
    </cfRule>
    <cfRule type="cellIs" dxfId="1507" priority="2249" stopIfTrue="1" operator="between">
      <formula>35.1</formula>
      <formula>80</formula>
    </cfRule>
    <cfRule type="cellIs" dxfId="1506" priority="2250" stopIfTrue="1" operator="between">
      <formula>14.1</formula>
      <formula>35</formula>
    </cfRule>
    <cfRule type="cellIs" dxfId="1505" priority="2251" stopIfTrue="1" operator="between">
      <formula>5.1</formula>
      <formula>14</formula>
    </cfRule>
    <cfRule type="cellIs" dxfId="1504" priority="2252" stopIfTrue="1" operator="between">
      <formula>0</formula>
      <formula>5</formula>
    </cfRule>
    <cfRule type="containsBlanks" dxfId="1503" priority="2253" stopIfTrue="1">
      <formula>LEN(TRIM(Q443))=0</formula>
    </cfRule>
  </conditionalFormatting>
  <conditionalFormatting sqref="Q443">
    <cfRule type="containsBlanks" dxfId="1502" priority="2240" stopIfTrue="1">
      <formula>LEN(TRIM(Q443))=0</formula>
    </cfRule>
    <cfRule type="cellIs" dxfId="1501" priority="2241" stopIfTrue="1" operator="between">
      <formula>80.1</formula>
      <formula>100</formula>
    </cfRule>
    <cfRule type="cellIs" dxfId="1500" priority="2242" stopIfTrue="1" operator="between">
      <formula>35.1</formula>
      <formula>80</formula>
    </cfRule>
    <cfRule type="cellIs" dxfId="1499" priority="2243" stopIfTrue="1" operator="between">
      <formula>14.1</formula>
      <formula>35</formula>
    </cfRule>
    <cfRule type="cellIs" dxfId="1498" priority="2244" stopIfTrue="1" operator="between">
      <formula>5.1</formula>
      <formula>14</formula>
    </cfRule>
    <cfRule type="cellIs" dxfId="1497" priority="2245" stopIfTrue="1" operator="between">
      <formula>0</formula>
      <formula>5</formula>
    </cfRule>
    <cfRule type="containsBlanks" dxfId="1496" priority="2246" stopIfTrue="1">
      <formula>LEN(TRIM(Q443))=0</formula>
    </cfRule>
  </conditionalFormatting>
  <conditionalFormatting sqref="R444">
    <cfRule type="cellIs" dxfId="1495" priority="2238" stopIfTrue="1" operator="equal">
      <formula>"NO"</formula>
    </cfRule>
  </conditionalFormatting>
  <conditionalFormatting sqref="Q444">
    <cfRule type="containsBlanks" dxfId="1494" priority="2225" stopIfTrue="1">
      <formula>LEN(TRIM(Q444))=0</formula>
    </cfRule>
    <cfRule type="cellIs" dxfId="1493" priority="2226" stopIfTrue="1" operator="between">
      <formula>80.1</formula>
      <formula>100</formula>
    </cfRule>
    <cfRule type="cellIs" dxfId="1492" priority="2227" stopIfTrue="1" operator="between">
      <formula>35.1</formula>
      <formula>80</formula>
    </cfRule>
    <cfRule type="cellIs" dxfId="1491" priority="2228" stopIfTrue="1" operator="between">
      <formula>14.1</formula>
      <formula>35</formula>
    </cfRule>
    <cfRule type="cellIs" dxfId="1490" priority="2229" stopIfTrue="1" operator="between">
      <formula>5.1</formula>
      <formula>14</formula>
    </cfRule>
    <cfRule type="cellIs" dxfId="1489" priority="2230" stopIfTrue="1" operator="between">
      <formula>0</formula>
      <formula>5</formula>
    </cfRule>
    <cfRule type="containsBlanks" dxfId="1488" priority="2231" stopIfTrue="1">
      <formula>LEN(TRIM(Q444))=0</formula>
    </cfRule>
  </conditionalFormatting>
  <conditionalFormatting sqref="Q444">
    <cfRule type="containsBlanks" dxfId="1487" priority="2218" stopIfTrue="1">
      <formula>LEN(TRIM(Q444))=0</formula>
    </cfRule>
    <cfRule type="cellIs" dxfId="1486" priority="2219" stopIfTrue="1" operator="between">
      <formula>80.1</formula>
      <formula>100</formula>
    </cfRule>
    <cfRule type="cellIs" dxfId="1485" priority="2220" stopIfTrue="1" operator="between">
      <formula>35.1</formula>
      <formula>80</formula>
    </cfRule>
    <cfRule type="cellIs" dxfId="1484" priority="2221" stopIfTrue="1" operator="between">
      <formula>14.1</formula>
      <formula>35</formula>
    </cfRule>
    <cfRule type="cellIs" dxfId="1483" priority="2222" stopIfTrue="1" operator="between">
      <formula>5.1</formula>
      <formula>14</formula>
    </cfRule>
    <cfRule type="cellIs" dxfId="1482" priority="2223" stopIfTrue="1" operator="between">
      <formula>0</formula>
      <formula>5</formula>
    </cfRule>
    <cfRule type="containsBlanks" dxfId="1481" priority="2224" stopIfTrue="1">
      <formula>LEN(TRIM(Q444))=0</formula>
    </cfRule>
  </conditionalFormatting>
  <conditionalFormatting sqref="R445">
    <cfRule type="cellIs" dxfId="1480" priority="2216" stopIfTrue="1" operator="equal">
      <formula>"NO"</formula>
    </cfRule>
  </conditionalFormatting>
  <conditionalFormatting sqref="Q445">
    <cfRule type="containsBlanks" dxfId="1479" priority="2203" stopIfTrue="1">
      <formula>LEN(TRIM(Q445))=0</formula>
    </cfRule>
    <cfRule type="cellIs" dxfId="1478" priority="2204" stopIfTrue="1" operator="between">
      <formula>80.1</formula>
      <formula>100</formula>
    </cfRule>
    <cfRule type="cellIs" dxfId="1477" priority="2205" stopIfTrue="1" operator="between">
      <formula>35.1</formula>
      <formula>80</formula>
    </cfRule>
    <cfRule type="cellIs" dxfId="1476" priority="2206" stopIfTrue="1" operator="between">
      <formula>14.1</formula>
      <formula>35</formula>
    </cfRule>
    <cfRule type="cellIs" dxfId="1475" priority="2207" stopIfTrue="1" operator="between">
      <formula>5.1</formula>
      <formula>14</formula>
    </cfRule>
    <cfRule type="cellIs" dxfId="1474" priority="2208" stopIfTrue="1" operator="between">
      <formula>0</formula>
      <formula>5</formula>
    </cfRule>
    <cfRule type="containsBlanks" dxfId="1473" priority="2209" stopIfTrue="1">
      <formula>LEN(TRIM(Q445))=0</formula>
    </cfRule>
  </conditionalFormatting>
  <conditionalFormatting sqref="Q445">
    <cfRule type="containsBlanks" dxfId="1472" priority="2196" stopIfTrue="1">
      <formula>LEN(TRIM(Q445))=0</formula>
    </cfRule>
    <cfRule type="cellIs" dxfId="1471" priority="2197" stopIfTrue="1" operator="between">
      <formula>80.1</formula>
      <formula>100</formula>
    </cfRule>
    <cfRule type="cellIs" dxfId="1470" priority="2198" stopIfTrue="1" operator="between">
      <formula>35.1</formula>
      <formula>80</formula>
    </cfRule>
    <cfRule type="cellIs" dxfId="1469" priority="2199" stopIfTrue="1" operator="between">
      <formula>14.1</formula>
      <formula>35</formula>
    </cfRule>
    <cfRule type="cellIs" dxfId="1468" priority="2200" stopIfTrue="1" operator="between">
      <formula>5.1</formula>
      <formula>14</formula>
    </cfRule>
    <cfRule type="cellIs" dxfId="1467" priority="2201" stopIfTrue="1" operator="between">
      <formula>0</formula>
      <formula>5</formula>
    </cfRule>
    <cfRule type="containsBlanks" dxfId="1466" priority="2202" stopIfTrue="1">
      <formula>LEN(TRIM(Q445))=0</formula>
    </cfRule>
  </conditionalFormatting>
  <conditionalFormatting sqref="R446">
    <cfRule type="cellIs" dxfId="1465" priority="2194" stopIfTrue="1" operator="equal">
      <formula>"NO"</formula>
    </cfRule>
  </conditionalFormatting>
  <conditionalFormatting sqref="Q446">
    <cfRule type="containsBlanks" dxfId="1464" priority="2181" stopIfTrue="1">
      <formula>LEN(TRIM(Q446))=0</formula>
    </cfRule>
    <cfRule type="cellIs" dxfId="1463" priority="2182" stopIfTrue="1" operator="between">
      <formula>80.1</formula>
      <formula>100</formula>
    </cfRule>
    <cfRule type="cellIs" dxfId="1462" priority="2183" stopIfTrue="1" operator="between">
      <formula>35.1</formula>
      <formula>80</formula>
    </cfRule>
    <cfRule type="cellIs" dxfId="1461" priority="2184" stopIfTrue="1" operator="between">
      <formula>14.1</formula>
      <formula>35</formula>
    </cfRule>
    <cfRule type="cellIs" dxfId="1460" priority="2185" stopIfTrue="1" operator="between">
      <formula>5.1</formula>
      <formula>14</formula>
    </cfRule>
    <cfRule type="cellIs" dxfId="1459" priority="2186" stopIfTrue="1" operator="between">
      <formula>0</formula>
      <formula>5</formula>
    </cfRule>
    <cfRule type="containsBlanks" dxfId="1458" priority="2187" stopIfTrue="1">
      <formula>LEN(TRIM(Q446))=0</formula>
    </cfRule>
  </conditionalFormatting>
  <conditionalFormatting sqref="Q446">
    <cfRule type="containsBlanks" dxfId="1457" priority="2174" stopIfTrue="1">
      <formula>LEN(TRIM(Q446))=0</formula>
    </cfRule>
    <cfRule type="cellIs" dxfId="1456" priority="2175" stopIfTrue="1" operator="between">
      <formula>80.1</formula>
      <formula>100</formula>
    </cfRule>
    <cfRule type="cellIs" dxfId="1455" priority="2176" stopIfTrue="1" operator="between">
      <formula>35.1</formula>
      <formula>80</formula>
    </cfRule>
    <cfRule type="cellIs" dxfId="1454" priority="2177" stopIfTrue="1" operator="between">
      <formula>14.1</formula>
      <formula>35</formula>
    </cfRule>
    <cfRule type="cellIs" dxfId="1453" priority="2178" stopIfTrue="1" operator="between">
      <formula>5.1</formula>
      <formula>14</formula>
    </cfRule>
    <cfRule type="cellIs" dxfId="1452" priority="2179" stopIfTrue="1" operator="between">
      <formula>0</formula>
      <formula>5</formula>
    </cfRule>
    <cfRule type="containsBlanks" dxfId="1451" priority="2180" stopIfTrue="1">
      <formula>LEN(TRIM(Q446))=0</formula>
    </cfRule>
  </conditionalFormatting>
  <conditionalFormatting sqref="R447">
    <cfRule type="cellIs" dxfId="1450" priority="2172" stopIfTrue="1" operator="equal">
      <formula>"NO"</formula>
    </cfRule>
  </conditionalFormatting>
  <conditionalFormatting sqref="Q447">
    <cfRule type="containsBlanks" dxfId="1449" priority="2159" stopIfTrue="1">
      <formula>LEN(TRIM(Q447))=0</formula>
    </cfRule>
    <cfRule type="cellIs" dxfId="1448" priority="2160" stopIfTrue="1" operator="between">
      <formula>80.1</formula>
      <formula>100</formula>
    </cfRule>
    <cfRule type="cellIs" dxfId="1447" priority="2161" stopIfTrue="1" operator="between">
      <formula>35.1</formula>
      <formula>80</formula>
    </cfRule>
    <cfRule type="cellIs" dxfId="1446" priority="2162" stopIfTrue="1" operator="between">
      <formula>14.1</formula>
      <formula>35</formula>
    </cfRule>
    <cfRule type="cellIs" dxfId="1445" priority="2163" stopIfTrue="1" operator="between">
      <formula>5.1</formula>
      <formula>14</formula>
    </cfRule>
    <cfRule type="cellIs" dxfId="1444" priority="2164" stopIfTrue="1" operator="between">
      <formula>0</formula>
      <formula>5</formula>
    </cfRule>
    <cfRule type="containsBlanks" dxfId="1443" priority="2165" stopIfTrue="1">
      <formula>LEN(TRIM(Q447))=0</formula>
    </cfRule>
  </conditionalFormatting>
  <conditionalFormatting sqref="Q447">
    <cfRule type="containsBlanks" dxfId="1442" priority="2152" stopIfTrue="1">
      <formula>LEN(TRIM(Q447))=0</formula>
    </cfRule>
    <cfRule type="cellIs" dxfId="1441" priority="2153" stopIfTrue="1" operator="between">
      <formula>80.1</formula>
      <formula>100</formula>
    </cfRule>
    <cfRule type="cellIs" dxfId="1440" priority="2154" stopIfTrue="1" operator="between">
      <formula>35.1</formula>
      <formula>80</formula>
    </cfRule>
    <cfRule type="cellIs" dxfId="1439" priority="2155" stopIfTrue="1" operator="between">
      <formula>14.1</formula>
      <formula>35</formula>
    </cfRule>
    <cfRule type="cellIs" dxfId="1438" priority="2156" stopIfTrue="1" operator="between">
      <formula>5.1</formula>
      <formula>14</formula>
    </cfRule>
    <cfRule type="cellIs" dxfId="1437" priority="2157" stopIfTrue="1" operator="between">
      <formula>0</formula>
      <formula>5</formula>
    </cfRule>
    <cfRule type="containsBlanks" dxfId="1436" priority="2158" stopIfTrue="1">
      <formula>LEN(TRIM(Q447))=0</formula>
    </cfRule>
  </conditionalFormatting>
  <conditionalFormatting sqref="R448">
    <cfRule type="cellIs" dxfId="1435" priority="2150" stopIfTrue="1" operator="equal">
      <formula>"NO"</formula>
    </cfRule>
  </conditionalFormatting>
  <conditionalFormatting sqref="Q448">
    <cfRule type="containsBlanks" dxfId="1434" priority="2137" stopIfTrue="1">
      <formula>LEN(TRIM(Q448))=0</formula>
    </cfRule>
    <cfRule type="cellIs" dxfId="1433" priority="2138" stopIfTrue="1" operator="between">
      <formula>80.1</formula>
      <formula>100</formula>
    </cfRule>
    <cfRule type="cellIs" dxfId="1432" priority="2139" stopIfTrue="1" operator="between">
      <formula>35.1</formula>
      <formula>80</formula>
    </cfRule>
    <cfRule type="cellIs" dxfId="1431" priority="2140" stopIfTrue="1" operator="between">
      <formula>14.1</formula>
      <formula>35</formula>
    </cfRule>
    <cfRule type="cellIs" dxfId="1430" priority="2141" stopIfTrue="1" operator="between">
      <formula>5.1</formula>
      <formula>14</formula>
    </cfRule>
    <cfRule type="cellIs" dxfId="1429" priority="2142" stopIfTrue="1" operator="between">
      <formula>0</formula>
      <formula>5</formula>
    </cfRule>
    <cfRule type="containsBlanks" dxfId="1428" priority="2143" stopIfTrue="1">
      <formula>LEN(TRIM(Q448))=0</formula>
    </cfRule>
  </conditionalFormatting>
  <conditionalFormatting sqref="Q448">
    <cfRule type="containsBlanks" dxfId="1427" priority="2130" stopIfTrue="1">
      <formula>LEN(TRIM(Q448))=0</formula>
    </cfRule>
    <cfRule type="cellIs" dxfId="1426" priority="2131" stopIfTrue="1" operator="between">
      <formula>80.1</formula>
      <formula>100</formula>
    </cfRule>
    <cfRule type="cellIs" dxfId="1425" priority="2132" stopIfTrue="1" operator="between">
      <formula>35.1</formula>
      <formula>80</formula>
    </cfRule>
    <cfRule type="cellIs" dxfId="1424" priority="2133" stopIfTrue="1" operator="between">
      <formula>14.1</formula>
      <formula>35</formula>
    </cfRule>
    <cfRule type="cellIs" dxfId="1423" priority="2134" stopIfTrue="1" operator="between">
      <formula>5.1</formula>
      <formula>14</formula>
    </cfRule>
    <cfRule type="cellIs" dxfId="1422" priority="2135" stopIfTrue="1" operator="between">
      <formula>0</formula>
      <formula>5</formula>
    </cfRule>
    <cfRule type="containsBlanks" dxfId="1421" priority="2136" stopIfTrue="1">
      <formula>LEN(TRIM(Q448))=0</formula>
    </cfRule>
  </conditionalFormatting>
  <conditionalFormatting sqref="R449">
    <cfRule type="cellIs" dxfId="1420" priority="2128" stopIfTrue="1" operator="equal">
      <formula>"NO"</formula>
    </cfRule>
  </conditionalFormatting>
  <conditionalFormatting sqref="Q449">
    <cfRule type="containsBlanks" dxfId="1419" priority="2115" stopIfTrue="1">
      <formula>LEN(TRIM(Q449))=0</formula>
    </cfRule>
    <cfRule type="cellIs" dxfId="1418" priority="2116" stopIfTrue="1" operator="between">
      <formula>80.1</formula>
      <formula>100</formula>
    </cfRule>
    <cfRule type="cellIs" dxfId="1417" priority="2117" stopIfTrue="1" operator="between">
      <formula>35.1</formula>
      <formula>80</formula>
    </cfRule>
    <cfRule type="cellIs" dxfId="1416" priority="2118" stopIfTrue="1" operator="between">
      <formula>14.1</formula>
      <formula>35</formula>
    </cfRule>
    <cfRule type="cellIs" dxfId="1415" priority="2119" stopIfTrue="1" operator="between">
      <formula>5.1</formula>
      <formula>14</formula>
    </cfRule>
    <cfRule type="cellIs" dxfId="1414" priority="2120" stopIfTrue="1" operator="between">
      <formula>0</formula>
      <formula>5</formula>
    </cfRule>
    <cfRule type="containsBlanks" dxfId="1413" priority="2121" stopIfTrue="1">
      <formula>LEN(TRIM(Q449))=0</formula>
    </cfRule>
  </conditionalFormatting>
  <conditionalFormatting sqref="Q449">
    <cfRule type="containsBlanks" dxfId="1412" priority="2108" stopIfTrue="1">
      <formula>LEN(TRIM(Q449))=0</formula>
    </cfRule>
    <cfRule type="cellIs" dxfId="1411" priority="2109" stopIfTrue="1" operator="between">
      <formula>80.1</formula>
      <formula>100</formula>
    </cfRule>
    <cfRule type="cellIs" dxfId="1410" priority="2110" stopIfTrue="1" operator="between">
      <formula>35.1</formula>
      <formula>80</formula>
    </cfRule>
    <cfRule type="cellIs" dxfId="1409" priority="2111" stopIfTrue="1" operator="between">
      <formula>14.1</formula>
      <formula>35</formula>
    </cfRule>
    <cfRule type="cellIs" dxfId="1408" priority="2112" stopIfTrue="1" operator="between">
      <formula>5.1</formula>
      <formula>14</formula>
    </cfRule>
    <cfRule type="cellIs" dxfId="1407" priority="2113" stopIfTrue="1" operator="between">
      <formula>0</formula>
      <formula>5</formula>
    </cfRule>
    <cfRule type="containsBlanks" dxfId="1406" priority="2114" stopIfTrue="1">
      <formula>LEN(TRIM(Q449))=0</formula>
    </cfRule>
  </conditionalFormatting>
  <conditionalFormatting sqref="R450">
    <cfRule type="cellIs" dxfId="1405" priority="2106" stopIfTrue="1" operator="equal">
      <formula>"NO"</formula>
    </cfRule>
  </conditionalFormatting>
  <conditionalFormatting sqref="Q450">
    <cfRule type="containsBlanks" dxfId="1404" priority="2093" stopIfTrue="1">
      <formula>LEN(TRIM(Q450))=0</formula>
    </cfRule>
    <cfRule type="cellIs" dxfId="1403" priority="2094" stopIfTrue="1" operator="between">
      <formula>80.1</formula>
      <formula>100</formula>
    </cfRule>
    <cfRule type="cellIs" dxfId="1402" priority="2095" stopIfTrue="1" operator="between">
      <formula>35.1</formula>
      <formula>80</formula>
    </cfRule>
    <cfRule type="cellIs" dxfId="1401" priority="2096" stopIfTrue="1" operator="between">
      <formula>14.1</formula>
      <formula>35</formula>
    </cfRule>
    <cfRule type="cellIs" dxfId="1400" priority="2097" stopIfTrue="1" operator="between">
      <formula>5.1</formula>
      <formula>14</formula>
    </cfRule>
    <cfRule type="cellIs" dxfId="1399" priority="2098" stopIfTrue="1" operator="between">
      <formula>0</formula>
      <formula>5</formula>
    </cfRule>
    <cfRule type="containsBlanks" dxfId="1398" priority="2099" stopIfTrue="1">
      <formula>LEN(TRIM(Q450))=0</formula>
    </cfRule>
  </conditionalFormatting>
  <conditionalFormatting sqref="Q450">
    <cfRule type="containsBlanks" dxfId="1397" priority="2086" stopIfTrue="1">
      <formula>LEN(TRIM(Q450))=0</formula>
    </cfRule>
    <cfRule type="cellIs" dxfId="1396" priority="2087" stopIfTrue="1" operator="between">
      <formula>80.1</formula>
      <formula>100</formula>
    </cfRule>
    <cfRule type="cellIs" dxfId="1395" priority="2088" stopIfTrue="1" operator="between">
      <formula>35.1</formula>
      <formula>80</formula>
    </cfRule>
    <cfRule type="cellIs" dxfId="1394" priority="2089" stopIfTrue="1" operator="between">
      <formula>14.1</formula>
      <formula>35</formula>
    </cfRule>
    <cfRule type="cellIs" dxfId="1393" priority="2090" stopIfTrue="1" operator="between">
      <formula>5.1</formula>
      <formula>14</formula>
    </cfRule>
    <cfRule type="cellIs" dxfId="1392" priority="2091" stopIfTrue="1" operator="between">
      <formula>0</formula>
      <formula>5</formula>
    </cfRule>
    <cfRule type="containsBlanks" dxfId="1391" priority="2092" stopIfTrue="1">
      <formula>LEN(TRIM(Q450))=0</formula>
    </cfRule>
  </conditionalFormatting>
  <conditionalFormatting sqref="R451">
    <cfRule type="cellIs" dxfId="1390" priority="2084" stopIfTrue="1" operator="equal">
      <formula>"NO"</formula>
    </cfRule>
  </conditionalFormatting>
  <conditionalFormatting sqref="Q451">
    <cfRule type="containsBlanks" dxfId="1389" priority="2071" stopIfTrue="1">
      <formula>LEN(TRIM(Q451))=0</formula>
    </cfRule>
    <cfRule type="cellIs" dxfId="1388" priority="2072" stopIfTrue="1" operator="between">
      <formula>80.1</formula>
      <formula>100</formula>
    </cfRule>
    <cfRule type="cellIs" dxfId="1387" priority="2073" stopIfTrue="1" operator="between">
      <formula>35.1</formula>
      <formula>80</formula>
    </cfRule>
    <cfRule type="cellIs" dxfId="1386" priority="2074" stopIfTrue="1" operator="between">
      <formula>14.1</formula>
      <formula>35</formula>
    </cfRule>
    <cfRule type="cellIs" dxfId="1385" priority="2075" stopIfTrue="1" operator="between">
      <formula>5.1</formula>
      <formula>14</formula>
    </cfRule>
    <cfRule type="cellIs" dxfId="1384" priority="2076" stopIfTrue="1" operator="between">
      <formula>0</formula>
      <formula>5</formula>
    </cfRule>
    <cfRule type="containsBlanks" dxfId="1383" priority="2077" stopIfTrue="1">
      <formula>LEN(TRIM(Q451))=0</formula>
    </cfRule>
  </conditionalFormatting>
  <conditionalFormatting sqref="Q451">
    <cfRule type="containsBlanks" dxfId="1382" priority="2064" stopIfTrue="1">
      <formula>LEN(TRIM(Q451))=0</formula>
    </cfRule>
    <cfRule type="cellIs" dxfId="1381" priority="2065" stopIfTrue="1" operator="between">
      <formula>80.1</formula>
      <formula>100</formula>
    </cfRule>
    <cfRule type="cellIs" dxfId="1380" priority="2066" stopIfTrue="1" operator="between">
      <formula>35.1</formula>
      <formula>80</formula>
    </cfRule>
    <cfRule type="cellIs" dxfId="1379" priority="2067" stopIfTrue="1" operator="between">
      <formula>14.1</formula>
      <formula>35</formula>
    </cfRule>
    <cfRule type="cellIs" dxfId="1378" priority="2068" stopIfTrue="1" operator="between">
      <formula>5.1</formula>
      <formula>14</formula>
    </cfRule>
    <cfRule type="cellIs" dxfId="1377" priority="2069" stopIfTrue="1" operator="between">
      <formula>0</formula>
      <formula>5</formula>
    </cfRule>
    <cfRule type="containsBlanks" dxfId="1376" priority="2070" stopIfTrue="1">
      <formula>LEN(TRIM(Q451))=0</formula>
    </cfRule>
  </conditionalFormatting>
  <conditionalFormatting sqref="R453">
    <cfRule type="cellIs" dxfId="1375" priority="2062" stopIfTrue="1" operator="equal">
      <formula>"NO"</formula>
    </cfRule>
  </conditionalFormatting>
  <conditionalFormatting sqref="Q453">
    <cfRule type="containsBlanks" dxfId="1374" priority="2049" stopIfTrue="1">
      <formula>LEN(TRIM(Q453))=0</formula>
    </cfRule>
    <cfRule type="cellIs" dxfId="1373" priority="2050" stopIfTrue="1" operator="between">
      <formula>80.1</formula>
      <formula>100</formula>
    </cfRule>
    <cfRule type="cellIs" dxfId="1372" priority="2051" stopIfTrue="1" operator="between">
      <formula>35.1</formula>
      <formula>80</formula>
    </cfRule>
    <cfRule type="cellIs" dxfId="1371" priority="2052" stopIfTrue="1" operator="between">
      <formula>14.1</formula>
      <formula>35</formula>
    </cfRule>
    <cfRule type="cellIs" dxfId="1370" priority="2053" stopIfTrue="1" operator="between">
      <formula>5.1</formula>
      <formula>14</formula>
    </cfRule>
    <cfRule type="cellIs" dxfId="1369" priority="2054" stopIfTrue="1" operator="between">
      <formula>0</formula>
      <formula>5</formula>
    </cfRule>
    <cfRule type="containsBlanks" dxfId="1368" priority="2055" stopIfTrue="1">
      <formula>LEN(TRIM(Q453))=0</formula>
    </cfRule>
  </conditionalFormatting>
  <conditionalFormatting sqref="Q453">
    <cfRule type="containsBlanks" dxfId="1367" priority="2042" stopIfTrue="1">
      <formula>LEN(TRIM(Q453))=0</formula>
    </cfRule>
    <cfRule type="cellIs" dxfId="1366" priority="2043" stopIfTrue="1" operator="between">
      <formula>80.1</formula>
      <formula>100</formula>
    </cfRule>
    <cfRule type="cellIs" dxfId="1365" priority="2044" stopIfTrue="1" operator="between">
      <formula>35.1</formula>
      <formula>80</formula>
    </cfRule>
    <cfRule type="cellIs" dxfId="1364" priority="2045" stopIfTrue="1" operator="between">
      <formula>14.1</formula>
      <formula>35</formula>
    </cfRule>
    <cfRule type="cellIs" dxfId="1363" priority="2046" stopIfTrue="1" operator="between">
      <formula>5.1</formula>
      <formula>14</formula>
    </cfRule>
    <cfRule type="cellIs" dxfId="1362" priority="2047" stopIfTrue="1" operator="between">
      <formula>0</formula>
      <formula>5</formula>
    </cfRule>
    <cfRule type="containsBlanks" dxfId="1361" priority="2048" stopIfTrue="1">
      <formula>LEN(TRIM(Q453))=0</formula>
    </cfRule>
  </conditionalFormatting>
  <conditionalFormatting sqref="R454">
    <cfRule type="cellIs" dxfId="1360" priority="2040" stopIfTrue="1" operator="equal">
      <formula>"NO"</formula>
    </cfRule>
  </conditionalFormatting>
  <conditionalFormatting sqref="Q454">
    <cfRule type="containsBlanks" dxfId="1359" priority="2027" stopIfTrue="1">
      <formula>LEN(TRIM(Q454))=0</formula>
    </cfRule>
    <cfRule type="cellIs" dxfId="1358" priority="2028" stopIfTrue="1" operator="between">
      <formula>80.1</formula>
      <formula>100</formula>
    </cfRule>
    <cfRule type="cellIs" dxfId="1357" priority="2029" stopIfTrue="1" operator="between">
      <formula>35.1</formula>
      <formula>80</formula>
    </cfRule>
    <cfRule type="cellIs" dxfId="1356" priority="2030" stopIfTrue="1" operator="between">
      <formula>14.1</formula>
      <formula>35</formula>
    </cfRule>
    <cfRule type="cellIs" dxfId="1355" priority="2031" stopIfTrue="1" operator="between">
      <formula>5.1</formula>
      <formula>14</formula>
    </cfRule>
    <cfRule type="cellIs" dxfId="1354" priority="2032" stopIfTrue="1" operator="between">
      <formula>0</formula>
      <formula>5</formula>
    </cfRule>
    <cfRule type="containsBlanks" dxfId="1353" priority="2033" stopIfTrue="1">
      <formula>LEN(TRIM(Q454))=0</formula>
    </cfRule>
  </conditionalFormatting>
  <conditionalFormatting sqref="Q454">
    <cfRule type="containsBlanks" dxfId="1352" priority="2020" stopIfTrue="1">
      <formula>LEN(TRIM(Q454))=0</formula>
    </cfRule>
    <cfRule type="cellIs" dxfId="1351" priority="2021" stopIfTrue="1" operator="between">
      <formula>80.1</formula>
      <formula>100</formula>
    </cfRule>
    <cfRule type="cellIs" dxfId="1350" priority="2022" stopIfTrue="1" operator="between">
      <formula>35.1</formula>
      <formula>80</formula>
    </cfRule>
    <cfRule type="cellIs" dxfId="1349" priority="2023" stopIfTrue="1" operator="between">
      <formula>14.1</formula>
      <formula>35</formula>
    </cfRule>
    <cfRule type="cellIs" dxfId="1348" priority="2024" stopIfTrue="1" operator="between">
      <formula>5.1</formula>
      <formula>14</formula>
    </cfRule>
    <cfRule type="cellIs" dxfId="1347" priority="2025" stopIfTrue="1" operator="between">
      <formula>0</formula>
      <formula>5</formula>
    </cfRule>
    <cfRule type="containsBlanks" dxfId="1346" priority="2026" stopIfTrue="1">
      <formula>LEN(TRIM(Q454))=0</formula>
    </cfRule>
  </conditionalFormatting>
  <conditionalFormatting sqref="R455">
    <cfRule type="cellIs" dxfId="1345" priority="2018" stopIfTrue="1" operator="equal">
      <formula>"NO"</formula>
    </cfRule>
  </conditionalFormatting>
  <conditionalFormatting sqref="Q455">
    <cfRule type="containsBlanks" dxfId="1344" priority="2005" stopIfTrue="1">
      <formula>LEN(TRIM(Q455))=0</formula>
    </cfRule>
    <cfRule type="cellIs" dxfId="1343" priority="2006" stopIfTrue="1" operator="between">
      <formula>80.1</formula>
      <formula>100</formula>
    </cfRule>
    <cfRule type="cellIs" dxfId="1342" priority="2007" stopIfTrue="1" operator="between">
      <formula>35.1</formula>
      <formula>80</formula>
    </cfRule>
    <cfRule type="cellIs" dxfId="1341" priority="2008" stopIfTrue="1" operator="between">
      <formula>14.1</formula>
      <formula>35</formula>
    </cfRule>
    <cfRule type="cellIs" dxfId="1340" priority="2009" stopIfTrue="1" operator="between">
      <formula>5.1</formula>
      <formula>14</formula>
    </cfRule>
    <cfRule type="cellIs" dxfId="1339" priority="2010" stopIfTrue="1" operator="between">
      <formula>0</formula>
      <formula>5</formula>
    </cfRule>
    <cfRule type="containsBlanks" dxfId="1338" priority="2011" stopIfTrue="1">
      <formula>LEN(TRIM(Q455))=0</formula>
    </cfRule>
  </conditionalFormatting>
  <conditionalFormatting sqref="Q455">
    <cfRule type="containsBlanks" dxfId="1337" priority="1998" stopIfTrue="1">
      <formula>LEN(TRIM(Q455))=0</formula>
    </cfRule>
    <cfRule type="cellIs" dxfId="1336" priority="1999" stopIfTrue="1" operator="between">
      <formula>80.1</formula>
      <formula>100</formula>
    </cfRule>
    <cfRule type="cellIs" dxfId="1335" priority="2000" stopIfTrue="1" operator="between">
      <formula>35.1</formula>
      <formula>80</formula>
    </cfRule>
    <cfRule type="cellIs" dxfId="1334" priority="2001" stopIfTrue="1" operator="between">
      <formula>14.1</formula>
      <formula>35</formula>
    </cfRule>
    <cfRule type="cellIs" dxfId="1333" priority="2002" stopIfTrue="1" operator="between">
      <formula>5.1</formula>
      <formula>14</formula>
    </cfRule>
    <cfRule type="cellIs" dxfId="1332" priority="2003" stopIfTrue="1" operator="between">
      <formula>0</formula>
      <formula>5</formula>
    </cfRule>
    <cfRule type="containsBlanks" dxfId="1331" priority="2004" stopIfTrue="1">
      <formula>LEN(TRIM(Q455))=0</formula>
    </cfRule>
  </conditionalFormatting>
  <conditionalFormatting sqref="R456">
    <cfRule type="cellIs" dxfId="1330" priority="1996" stopIfTrue="1" operator="equal">
      <formula>"NO"</formula>
    </cfRule>
  </conditionalFormatting>
  <conditionalFormatting sqref="Q456">
    <cfRule type="containsBlanks" dxfId="1329" priority="1983" stopIfTrue="1">
      <formula>LEN(TRIM(Q456))=0</formula>
    </cfRule>
    <cfRule type="cellIs" dxfId="1328" priority="1984" stopIfTrue="1" operator="between">
      <formula>80.1</formula>
      <formula>100</formula>
    </cfRule>
    <cfRule type="cellIs" dxfId="1327" priority="1985" stopIfTrue="1" operator="between">
      <formula>35.1</formula>
      <formula>80</formula>
    </cfRule>
    <cfRule type="cellIs" dxfId="1326" priority="1986" stopIfTrue="1" operator="between">
      <formula>14.1</formula>
      <formula>35</formula>
    </cfRule>
    <cfRule type="cellIs" dxfId="1325" priority="1987" stopIfTrue="1" operator="between">
      <formula>5.1</formula>
      <formula>14</formula>
    </cfRule>
    <cfRule type="cellIs" dxfId="1324" priority="1988" stopIfTrue="1" operator="between">
      <formula>0</formula>
      <formula>5</formula>
    </cfRule>
    <cfRule type="containsBlanks" dxfId="1323" priority="1989" stopIfTrue="1">
      <formula>LEN(TRIM(Q456))=0</formula>
    </cfRule>
  </conditionalFormatting>
  <conditionalFormatting sqref="Q456">
    <cfRule type="containsBlanks" dxfId="1322" priority="1976" stopIfTrue="1">
      <formula>LEN(TRIM(Q456))=0</formula>
    </cfRule>
    <cfRule type="cellIs" dxfId="1321" priority="1977" stopIfTrue="1" operator="between">
      <formula>80.1</formula>
      <formula>100</formula>
    </cfRule>
    <cfRule type="cellIs" dxfId="1320" priority="1978" stopIfTrue="1" operator="between">
      <formula>35.1</formula>
      <formula>80</formula>
    </cfRule>
    <cfRule type="cellIs" dxfId="1319" priority="1979" stopIfTrue="1" operator="between">
      <formula>14.1</formula>
      <formula>35</formula>
    </cfRule>
    <cfRule type="cellIs" dxfId="1318" priority="1980" stopIfTrue="1" operator="between">
      <formula>5.1</formula>
      <formula>14</formula>
    </cfRule>
    <cfRule type="cellIs" dxfId="1317" priority="1981" stopIfTrue="1" operator="between">
      <formula>0</formula>
      <formula>5</formula>
    </cfRule>
    <cfRule type="containsBlanks" dxfId="1316" priority="1982" stopIfTrue="1">
      <formula>LEN(TRIM(Q456))=0</formula>
    </cfRule>
  </conditionalFormatting>
  <conditionalFormatting sqref="R457">
    <cfRule type="cellIs" dxfId="1315" priority="1974" stopIfTrue="1" operator="equal">
      <formula>"NO"</formula>
    </cfRule>
  </conditionalFormatting>
  <conditionalFormatting sqref="Q457">
    <cfRule type="containsBlanks" dxfId="1314" priority="1961" stopIfTrue="1">
      <formula>LEN(TRIM(Q457))=0</formula>
    </cfRule>
    <cfRule type="cellIs" dxfId="1313" priority="1962" stopIfTrue="1" operator="between">
      <formula>80.1</formula>
      <formula>100</formula>
    </cfRule>
    <cfRule type="cellIs" dxfId="1312" priority="1963" stopIfTrue="1" operator="between">
      <formula>35.1</formula>
      <formula>80</formula>
    </cfRule>
    <cfRule type="cellIs" dxfId="1311" priority="1964" stopIfTrue="1" operator="between">
      <formula>14.1</formula>
      <formula>35</formula>
    </cfRule>
    <cfRule type="cellIs" dxfId="1310" priority="1965" stopIfTrue="1" operator="between">
      <formula>5.1</formula>
      <formula>14</formula>
    </cfRule>
    <cfRule type="cellIs" dxfId="1309" priority="1966" stopIfTrue="1" operator="between">
      <formula>0</formula>
      <formula>5</formula>
    </cfRule>
    <cfRule type="containsBlanks" dxfId="1308" priority="1967" stopIfTrue="1">
      <formula>LEN(TRIM(Q457))=0</formula>
    </cfRule>
  </conditionalFormatting>
  <conditionalFormatting sqref="Q457">
    <cfRule type="containsBlanks" dxfId="1307" priority="1954" stopIfTrue="1">
      <formula>LEN(TRIM(Q457))=0</formula>
    </cfRule>
    <cfRule type="cellIs" dxfId="1306" priority="1955" stopIfTrue="1" operator="between">
      <formula>80.1</formula>
      <formula>100</formula>
    </cfRule>
    <cfRule type="cellIs" dxfId="1305" priority="1956" stopIfTrue="1" operator="between">
      <formula>35.1</formula>
      <formula>80</formula>
    </cfRule>
    <cfRule type="cellIs" dxfId="1304" priority="1957" stopIfTrue="1" operator="between">
      <formula>14.1</formula>
      <formula>35</formula>
    </cfRule>
    <cfRule type="cellIs" dxfId="1303" priority="1958" stopIfTrue="1" operator="between">
      <formula>5.1</formula>
      <formula>14</formula>
    </cfRule>
    <cfRule type="cellIs" dxfId="1302" priority="1959" stopIfTrue="1" operator="between">
      <formula>0</formula>
      <formula>5</formula>
    </cfRule>
    <cfRule type="containsBlanks" dxfId="1301" priority="1960" stopIfTrue="1">
      <formula>LEN(TRIM(Q457))=0</formula>
    </cfRule>
  </conditionalFormatting>
  <conditionalFormatting sqref="R458">
    <cfRule type="cellIs" dxfId="1300" priority="1952" stopIfTrue="1" operator="equal">
      <formula>"NO"</formula>
    </cfRule>
  </conditionalFormatting>
  <conditionalFormatting sqref="Q458">
    <cfRule type="containsBlanks" dxfId="1299" priority="1939" stopIfTrue="1">
      <formula>LEN(TRIM(Q458))=0</formula>
    </cfRule>
    <cfRule type="cellIs" dxfId="1298" priority="1940" stopIfTrue="1" operator="between">
      <formula>80.1</formula>
      <formula>100</formula>
    </cfRule>
    <cfRule type="cellIs" dxfId="1297" priority="1941" stopIfTrue="1" operator="between">
      <formula>35.1</formula>
      <formula>80</formula>
    </cfRule>
    <cfRule type="cellIs" dxfId="1296" priority="1942" stopIfTrue="1" operator="between">
      <formula>14.1</formula>
      <formula>35</formula>
    </cfRule>
    <cfRule type="cellIs" dxfId="1295" priority="1943" stopIfTrue="1" operator="between">
      <formula>5.1</formula>
      <formula>14</formula>
    </cfRule>
    <cfRule type="cellIs" dxfId="1294" priority="1944" stopIfTrue="1" operator="between">
      <formula>0</formula>
      <formula>5</formula>
    </cfRule>
    <cfRule type="containsBlanks" dxfId="1293" priority="1945" stopIfTrue="1">
      <formula>LEN(TRIM(Q458))=0</formula>
    </cfRule>
  </conditionalFormatting>
  <conditionalFormatting sqref="Q458">
    <cfRule type="containsBlanks" dxfId="1292" priority="1932" stopIfTrue="1">
      <formula>LEN(TRIM(Q458))=0</formula>
    </cfRule>
    <cfRule type="cellIs" dxfId="1291" priority="1933" stopIfTrue="1" operator="between">
      <formula>80.1</formula>
      <formula>100</formula>
    </cfRule>
    <cfRule type="cellIs" dxfId="1290" priority="1934" stopIfTrue="1" operator="between">
      <formula>35.1</formula>
      <formula>80</formula>
    </cfRule>
    <cfRule type="cellIs" dxfId="1289" priority="1935" stopIfTrue="1" operator="between">
      <formula>14.1</formula>
      <formula>35</formula>
    </cfRule>
    <cfRule type="cellIs" dxfId="1288" priority="1936" stopIfTrue="1" operator="between">
      <formula>5.1</formula>
      <formula>14</formula>
    </cfRule>
    <cfRule type="cellIs" dxfId="1287" priority="1937" stopIfTrue="1" operator="between">
      <formula>0</formula>
      <formula>5</formula>
    </cfRule>
    <cfRule type="containsBlanks" dxfId="1286" priority="1938" stopIfTrue="1">
      <formula>LEN(TRIM(Q458))=0</formula>
    </cfRule>
  </conditionalFormatting>
  <conditionalFormatting sqref="R459">
    <cfRule type="cellIs" dxfId="1285" priority="1930" stopIfTrue="1" operator="equal">
      <formula>"NO"</formula>
    </cfRule>
  </conditionalFormatting>
  <conditionalFormatting sqref="Q459">
    <cfRule type="containsBlanks" dxfId="1284" priority="1917" stopIfTrue="1">
      <formula>LEN(TRIM(Q459))=0</formula>
    </cfRule>
    <cfRule type="cellIs" dxfId="1283" priority="1918" stopIfTrue="1" operator="between">
      <formula>80.1</formula>
      <formula>100</formula>
    </cfRule>
    <cfRule type="cellIs" dxfId="1282" priority="1919" stopIfTrue="1" operator="between">
      <formula>35.1</formula>
      <formula>80</formula>
    </cfRule>
    <cfRule type="cellIs" dxfId="1281" priority="1920" stopIfTrue="1" operator="between">
      <formula>14.1</formula>
      <formula>35</formula>
    </cfRule>
    <cfRule type="cellIs" dxfId="1280" priority="1921" stopIfTrue="1" operator="between">
      <formula>5.1</formula>
      <formula>14</formula>
    </cfRule>
    <cfRule type="cellIs" dxfId="1279" priority="1922" stopIfTrue="1" operator="between">
      <formula>0</formula>
      <formula>5</formula>
    </cfRule>
    <cfRule type="containsBlanks" dxfId="1278" priority="1923" stopIfTrue="1">
      <formula>LEN(TRIM(Q459))=0</formula>
    </cfRule>
  </conditionalFormatting>
  <conditionalFormatting sqref="Q459">
    <cfRule type="containsBlanks" dxfId="1277" priority="1910" stopIfTrue="1">
      <formula>LEN(TRIM(Q459))=0</formula>
    </cfRule>
    <cfRule type="cellIs" dxfId="1276" priority="1911" stopIfTrue="1" operator="between">
      <formula>80.1</formula>
      <formula>100</formula>
    </cfRule>
    <cfRule type="cellIs" dxfId="1275" priority="1912" stopIfTrue="1" operator="between">
      <formula>35.1</formula>
      <formula>80</formula>
    </cfRule>
    <cfRule type="cellIs" dxfId="1274" priority="1913" stopIfTrue="1" operator="between">
      <formula>14.1</formula>
      <formula>35</formula>
    </cfRule>
    <cfRule type="cellIs" dxfId="1273" priority="1914" stopIfTrue="1" operator="between">
      <formula>5.1</formula>
      <formula>14</formula>
    </cfRule>
    <cfRule type="cellIs" dxfId="1272" priority="1915" stopIfTrue="1" operator="between">
      <formula>0</formula>
      <formula>5</formula>
    </cfRule>
    <cfRule type="containsBlanks" dxfId="1271" priority="1916" stopIfTrue="1">
      <formula>LEN(TRIM(Q459))=0</formula>
    </cfRule>
  </conditionalFormatting>
  <conditionalFormatting sqref="R460">
    <cfRule type="cellIs" dxfId="1270" priority="1908" stopIfTrue="1" operator="equal">
      <formula>"NO"</formula>
    </cfRule>
  </conditionalFormatting>
  <conditionalFormatting sqref="Q460">
    <cfRule type="containsBlanks" dxfId="1269" priority="1895" stopIfTrue="1">
      <formula>LEN(TRIM(Q460))=0</formula>
    </cfRule>
    <cfRule type="cellIs" dxfId="1268" priority="1896" stopIfTrue="1" operator="between">
      <formula>80.1</formula>
      <formula>100</formula>
    </cfRule>
    <cfRule type="cellIs" dxfId="1267" priority="1897" stopIfTrue="1" operator="between">
      <formula>35.1</formula>
      <formula>80</formula>
    </cfRule>
    <cfRule type="cellIs" dxfId="1266" priority="1898" stopIfTrue="1" operator="between">
      <formula>14.1</formula>
      <formula>35</formula>
    </cfRule>
    <cfRule type="cellIs" dxfId="1265" priority="1899" stopIfTrue="1" operator="between">
      <formula>5.1</formula>
      <formula>14</formula>
    </cfRule>
    <cfRule type="cellIs" dxfId="1264" priority="1900" stopIfTrue="1" operator="between">
      <formula>0</formula>
      <formula>5</formula>
    </cfRule>
    <cfRule type="containsBlanks" dxfId="1263" priority="1901" stopIfTrue="1">
      <formula>LEN(TRIM(Q460))=0</formula>
    </cfRule>
  </conditionalFormatting>
  <conditionalFormatting sqref="Q460">
    <cfRule type="containsBlanks" dxfId="1262" priority="1888" stopIfTrue="1">
      <formula>LEN(TRIM(Q460))=0</formula>
    </cfRule>
    <cfRule type="cellIs" dxfId="1261" priority="1889" stopIfTrue="1" operator="between">
      <formula>80.1</formula>
      <formula>100</formula>
    </cfRule>
    <cfRule type="cellIs" dxfId="1260" priority="1890" stopIfTrue="1" operator="between">
      <formula>35.1</formula>
      <formula>80</formula>
    </cfRule>
    <cfRule type="cellIs" dxfId="1259" priority="1891" stopIfTrue="1" operator="between">
      <formula>14.1</formula>
      <formula>35</formula>
    </cfRule>
    <cfRule type="cellIs" dxfId="1258" priority="1892" stopIfTrue="1" operator="between">
      <formula>5.1</formula>
      <formula>14</formula>
    </cfRule>
    <cfRule type="cellIs" dxfId="1257" priority="1893" stopIfTrue="1" operator="between">
      <formula>0</formula>
      <formula>5</formula>
    </cfRule>
    <cfRule type="containsBlanks" dxfId="1256" priority="1894" stopIfTrue="1">
      <formula>LEN(TRIM(Q460))=0</formula>
    </cfRule>
  </conditionalFormatting>
  <conditionalFormatting sqref="R461">
    <cfRule type="cellIs" dxfId="1255" priority="1886" stopIfTrue="1" operator="equal">
      <formula>"NO"</formula>
    </cfRule>
  </conditionalFormatting>
  <conditionalFormatting sqref="Q461">
    <cfRule type="containsBlanks" dxfId="1254" priority="1873" stopIfTrue="1">
      <formula>LEN(TRIM(Q461))=0</formula>
    </cfRule>
    <cfRule type="cellIs" dxfId="1253" priority="1874" stopIfTrue="1" operator="between">
      <formula>80.1</formula>
      <formula>100</formula>
    </cfRule>
    <cfRule type="cellIs" dxfId="1252" priority="1875" stopIfTrue="1" operator="between">
      <formula>35.1</formula>
      <formula>80</formula>
    </cfRule>
    <cfRule type="cellIs" dxfId="1251" priority="1876" stopIfTrue="1" operator="between">
      <formula>14.1</formula>
      <formula>35</formula>
    </cfRule>
    <cfRule type="cellIs" dxfId="1250" priority="1877" stopIfTrue="1" operator="between">
      <formula>5.1</formula>
      <formula>14</formula>
    </cfRule>
    <cfRule type="cellIs" dxfId="1249" priority="1878" stopIfTrue="1" operator="between">
      <formula>0</formula>
      <formula>5</formula>
    </cfRule>
    <cfRule type="containsBlanks" dxfId="1248" priority="1879" stopIfTrue="1">
      <formula>LEN(TRIM(Q461))=0</formula>
    </cfRule>
  </conditionalFormatting>
  <conditionalFormatting sqref="Q461">
    <cfRule type="containsBlanks" dxfId="1247" priority="1866" stopIfTrue="1">
      <formula>LEN(TRIM(Q461))=0</formula>
    </cfRule>
    <cfRule type="cellIs" dxfId="1246" priority="1867" stopIfTrue="1" operator="between">
      <formula>80.1</formula>
      <formula>100</formula>
    </cfRule>
    <cfRule type="cellIs" dxfId="1245" priority="1868" stopIfTrue="1" operator="between">
      <formula>35.1</formula>
      <formula>80</formula>
    </cfRule>
    <cfRule type="cellIs" dxfId="1244" priority="1869" stopIfTrue="1" operator="between">
      <formula>14.1</formula>
      <formula>35</formula>
    </cfRule>
    <cfRule type="cellIs" dxfId="1243" priority="1870" stopIfTrue="1" operator="between">
      <formula>5.1</formula>
      <formula>14</formula>
    </cfRule>
    <cfRule type="cellIs" dxfId="1242" priority="1871" stopIfTrue="1" operator="between">
      <formula>0</formula>
      <formula>5</formula>
    </cfRule>
    <cfRule type="containsBlanks" dxfId="1241" priority="1872" stopIfTrue="1">
      <formula>LEN(TRIM(Q461))=0</formula>
    </cfRule>
  </conditionalFormatting>
  <conditionalFormatting sqref="R462">
    <cfRule type="cellIs" dxfId="1240" priority="1842" stopIfTrue="1" operator="equal">
      <formula>"NO"</formula>
    </cfRule>
  </conditionalFormatting>
  <conditionalFormatting sqref="Q462">
    <cfRule type="containsBlanks" dxfId="1239" priority="1829" stopIfTrue="1">
      <formula>LEN(TRIM(Q462))=0</formula>
    </cfRule>
    <cfRule type="cellIs" dxfId="1238" priority="1830" stopIfTrue="1" operator="between">
      <formula>80.1</formula>
      <formula>100</formula>
    </cfRule>
    <cfRule type="cellIs" dxfId="1237" priority="1831" stopIfTrue="1" operator="between">
      <formula>35.1</formula>
      <formula>80</formula>
    </cfRule>
    <cfRule type="cellIs" dxfId="1236" priority="1832" stopIfTrue="1" operator="between">
      <formula>14.1</formula>
      <formula>35</formula>
    </cfRule>
    <cfRule type="cellIs" dxfId="1235" priority="1833" stopIfTrue="1" operator="between">
      <formula>5.1</formula>
      <formula>14</formula>
    </cfRule>
    <cfRule type="cellIs" dxfId="1234" priority="1834" stopIfTrue="1" operator="between">
      <formula>0</formula>
      <formula>5</formula>
    </cfRule>
    <cfRule type="containsBlanks" dxfId="1233" priority="1835" stopIfTrue="1">
      <formula>LEN(TRIM(Q462))=0</formula>
    </cfRule>
  </conditionalFormatting>
  <conditionalFormatting sqref="Q462">
    <cfRule type="containsBlanks" dxfId="1232" priority="1822" stopIfTrue="1">
      <formula>LEN(TRIM(Q462))=0</formula>
    </cfRule>
    <cfRule type="cellIs" dxfId="1231" priority="1823" stopIfTrue="1" operator="between">
      <formula>80.1</formula>
      <formula>100</formula>
    </cfRule>
    <cfRule type="cellIs" dxfId="1230" priority="1824" stopIfTrue="1" operator="between">
      <formula>35.1</formula>
      <formula>80</formula>
    </cfRule>
    <cfRule type="cellIs" dxfId="1229" priority="1825" stopIfTrue="1" operator="between">
      <formula>14.1</formula>
      <formula>35</formula>
    </cfRule>
    <cfRule type="cellIs" dxfId="1228" priority="1826" stopIfTrue="1" operator="between">
      <formula>5.1</formula>
      <formula>14</formula>
    </cfRule>
    <cfRule type="cellIs" dxfId="1227" priority="1827" stopIfTrue="1" operator="between">
      <formula>0</formula>
      <formula>5</formula>
    </cfRule>
    <cfRule type="containsBlanks" dxfId="1226" priority="1828" stopIfTrue="1">
      <formula>LEN(TRIM(Q462))=0</formula>
    </cfRule>
  </conditionalFormatting>
  <conditionalFormatting sqref="R463">
    <cfRule type="cellIs" dxfId="1225" priority="1710" stopIfTrue="1" operator="equal">
      <formula>"NO"</formula>
    </cfRule>
  </conditionalFormatting>
  <conditionalFormatting sqref="Q463">
    <cfRule type="containsBlanks" dxfId="1224" priority="1697" stopIfTrue="1">
      <formula>LEN(TRIM(Q463))=0</formula>
    </cfRule>
    <cfRule type="cellIs" dxfId="1223" priority="1698" stopIfTrue="1" operator="between">
      <formula>80.1</formula>
      <formula>100</formula>
    </cfRule>
    <cfRule type="cellIs" dxfId="1222" priority="1699" stopIfTrue="1" operator="between">
      <formula>35.1</formula>
      <formula>80</formula>
    </cfRule>
    <cfRule type="cellIs" dxfId="1221" priority="1700" stopIfTrue="1" operator="between">
      <formula>14.1</formula>
      <formula>35</formula>
    </cfRule>
    <cfRule type="cellIs" dxfId="1220" priority="1701" stopIfTrue="1" operator="between">
      <formula>5.1</formula>
      <formula>14</formula>
    </cfRule>
    <cfRule type="cellIs" dxfId="1219" priority="1702" stopIfTrue="1" operator="between">
      <formula>0</formula>
      <formula>5</formula>
    </cfRule>
    <cfRule type="containsBlanks" dxfId="1218" priority="1703" stopIfTrue="1">
      <formula>LEN(TRIM(Q463))=0</formula>
    </cfRule>
  </conditionalFormatting>
  <conditionalFormatting sqref="Q463">
    <cfRule type="containsBlanks" dxfId="1217" priority="1690" stopIfTrue="1">
      <formula>LEN(TRIM(Q463))=0</formula>
    </cfRule>
    <cfRule type="cellIs" dxfId="1216" priority="1691" stopIfTrue="1" operator="between">
      <formula>80.1</formula>
      <formula>100</formula>
    </cfRule>
    <cfRule type="cellIs" dxfId="1215" priority="1692" stopIfTrue="1" operator="between">
      <formula>35.1</formula>
      <formula>80</formula>
    </cfRule>
    <cfRule type="cellIs" dxfId="1214" priority="1693" stopIfTrue="1" operator="between">
      <formula>14.1</formula>
      <formula>35</formula>
    </cfRule>
    <cfRule type="cellIs" dxfId="1213" priority="1694" stopIfTrue="1" operator="between">
      <formula>5.1</formula>
      <formula>14</formula>
    </cfRule>
    <cfRule type="cellIs" dxfId="1212" priority="1695" stopIfTrue="1" operator="between">
      <formula>0</formula>
      <formula>5</formula>
    </cfRule>
    <cfRule type="containsBlanks" dxfId="1211" priority="1696" stopIfTrue="1">
      <formula>LEN(TRIM(Q463))=0</formula>
    </cfRule>
  </conditionalFormatting>
  <conditionalFormatting sqref="R464">
    <cfRule type="cellIs" dxfId="1210" priority="1644" stopIfTrue="1" operator="equal">
      <formula>"NO"</formula>
    </cfRule>
  </conditionalFormatting>
  <conditionalFormatting sqref="Q464">
    <cfRule type="containsBlanks" dxfId="1209" priority="1631" stopIfTrue="1">
      <formula>LEN(TRIM(Q464))=0</formula>
    </cfRule>
    <cfRule type="cellIs" dxfId="1208" priority="1632" stopIfTrue="1" operator="between">
      <formula>80.1</formula>
      <formula>100</formula>
    </cfRule>
    <cfRule type="cellIs" dxfId="1207" priority="1633" stopIfTrue="1" operator="between">
      <formula>35.1</formula>
      <formula>80</formula>
    </cfRule>
    <cfRule type="cellIs" dxfId="1206" priority="1634" stopIfTrue="1" operator="between">
      <formula>14.1</formula>
      <formula>35</formula>
    </cfRule>
    <cfRule type="cellIs" dxfId="1205" priority="1635" stopIfTrue="1" operator="between">
      <formula>5.1</formula>
      <formula>14</formula>
    </cfRule>
    <cfRule type="cellIs" dxfId="1204" priority="1636" stopIfTrue="1" operator="between">
      <formula>0</formula>
      <formula>5</formula>
    </cfRule>
    <cfRule type="containsBlanks" dxfId="1203" priority="1637" stopIfTrue="1">
      <formula>LEN(TRIM(Q464))=0</formula>
    </cfRule>
  </conditionalFormatting>
  <conditionalFormatting sqref="Q464">
    <cfRule type="containsBlanks" dxfId="1202" priority="1624" stopIfTrue="1">
      <formula>LEN(TRIM(Q464))=0</formula>
    </cfRule>
    <cfRule type="cellIs" dxfId="1201" priority="1625" stopIfTrue="1" operator="between">
      <formula>80.1</formula>
      <formula>100</formula>
    </cfRule>
    <cfRule type="cellIs" dxfId="1200" priority="1626" stopIfTrue="1" operator="between">
      <formula>35.1</formula>
      <formula>80</formula>
    </cfRule>
    <cfRule type="cellIs" dxfId="1199" priority="1627" stopIfTrue="1" operator="between">
      <formula>14.1</formula>
      <formula>35</formula>
    </cfRule>
    <cfRule type="cellIs" dxfId="1198" priority="1628" stopIfTrue="1" operator="between">
      <formula>5.1</formula>
      <formula>14</formula>
    </cfRule>
    <cfRule type="cellIs" dxfId="1197" priority="1629" stopIfTrue="1" operator="between">
      <formula>0</formula>
      <formula>5</formula>
    </cfRule>
    <cfRule type="containsBlanks" dxfId="1196" priority="1630" stopIfTrue="1">
      <formula>LEN(TRIM(Q464))=0</formula>
    </cfRule>
  </conditionalFormatting>
  <conditionalFormatting sqref="R465">
    <cfRule type="cellIs" dxfId="1195" priority="1622" stopIfTrue="1" operator="equal">
      <formula>"NO"</formula>
    </cfRule>
  </conditionalFormatting>
  <conditionalFormatting sqref="Q465">
    <cfRule type="containsBlanks" dxfId="1194" priority="1609" stopIfTrue="1">
      <formula>LEN(TRIM(Q465))=0</formula>
    </cfRule>
    <cfRule type="cellIs" dxfId="1193" priority="1610" stopIfTrue="1" operator="between">
      <formula>80.1</formula>
      <formula>100</formula>
    </cfRule>
    <cfRule type="cellIs" dxfId="1192" priority="1611" stopIfTrue="1" operator="between">
      <formula>35.1</formula>
      <formula>80</formula>
    </cfRule>
    <cfRule type="cellIs" dxfId="1191" priority="1612" stopIfTrue="1" operator="between">
      <formula>14.1</formula>
      <formula>35</formula>
    </cfRule>
    <cfRule type="cellIs" dxfId="1190" priority="1613" stopIfTrue="1" operator="between">
      <formula>5.1</formula>
      <formula>14</formula>
    </cfRule>
    <cfRule type="cellIs" dxfId="1189" priority="1614" stopIfTrue="1" operator="between">
      <formula>0</formula>
      <formula>5</formula>
    </cfRule>
    <cfRule type="containsBlanks" dxfId="1188" priority="1615" stopIfTrue="1">
      <formula>LEN(TRIM(Q465))=0</formula>
    </cfRule>
  </conditionalFormatting>
  <conditionalFormatting sqref="Q465">
    <cfRule type="containsBlanks" dxfId="1187" priority="1602" stopIfTrue="1">
      <formula>LEN(TRIM(Q465))=0</formula>
    </cfRule>
    <cfRule type="cellIs" dxfId="1186" priority="1603" stopIfTrue="1" operator="between">
      <formula>80.1</formula>
      <formula>100</formula>
    </cfRule>
    <cfRule type="cellIs" dxfId="1185" priority="1604" stopIfTrue="1" operator="between">
      <formula>35.1</formula>
      <formula>80</formula>
    </cfRule>
    <cfRule type="cellIs" dxfId="1184" priority="1605" stopIfTrue="1" operator="between">
      <formula>14.1</formula>
      <formula>35</formula>
    </cfRule>
    <cfRule type="cellIs" dxfId="1183" priority="1606" stopIfTrue="1" operator="between">
      <formula>5.1</formula>
      <formula>14</formula>
    </cfRule>
    <cfRule type="cellIs" dxfId="1182" priority="1607" stopIfTrue="1" operator="between">
      <formula>0</formula>
      <formula>5</formula>
    </cfRule>
    <cfRule type="containsBlanks" dxfId="1181" priority="1608" stopIfTrue="1">
      <formula>LEN(TRIM(Q465))=0</formula>
    </cfRule>
  </conditionalFormatting>
  <conditionalFormatting sqref="R466">
    <cfRule type="cellIs" dxfId="1180" priority="1534" stopIfTrue="1" operator="equal">
      <formula>"NO"</formula>
    </cfRule>
  </conditionalFormatting>
  <conditionalFormatting sqref="Q466">
    <cfRule type="containsBlanks" dxfId="1179" priority="1521" stopIfTrue="1">
      <formula>LEN(TRIM(Q466))=0</formula>
    </cfRule>
    <cfRule type="cellIs" dxfId="1178" priority="1522" stopIfTrue="1" operator="between">
      <formula>80.1</formula>
      <formula>100</formula>
    </cfRule>
    <cfRule type="cellIs" dxfId="1177" priority="1523" stopIfTrue="1" operator="between">
      <formula>35.1</formula>
      <formula>80</formula>
    </cfRule>
    <cfRule type="cellIs" dxfId="1176" priority="1524" stopIfTrue="1" operator="between">
      <formula>14.1</formula>
      <formula>35</formula>
    </cfRule>
    <cfRule type="cellIs" dxfId="1175" priority="1525" stopIfTrue="1" operator="between">
      <formula>5.1</formula>
      <formula>14</formula>
    </cfRule>
    <cfRule type="cellIs" dxfId="1174" priority="1526" stopIfTrue="1" operator="between">
      <formula>0</formula>
      <formula>5</formula>
    </cfRule>
    <cfRule type="containsBlanks" dxfId="1173" priority="1527" stopIfTrue="1">
      <formula>LEN(TRIM(Q466))=0</formula>
    </cfRule>
  </conditionalFormatting>
  <conditionalFormatting sqref="Q466">
    <cfRule type="containsBlanks" dxfId="1172" priority="1514" stopIfTrue="1">
      <formula>LEN(TRIM(Q466))=0</formula>
    </cfRule>
    <cfRule type="cellIs" dxfId="1171" priority="1515" stopIfTrue="1" operator="between">
      <formula>80.1</formula>
      <formula>100</formula>
    </cfRule>
    <cfRule type="cellIs" dxfId="1170" priority="1516" stopIfTrue="1" operator="between">
      <formula>35.1</formula>
      <formula>80</formula>
    </cfRule>
    <cfRule type="cellIs" dxfId="1169" priority="1517" stopIfTrue="1" operator="between">
      <formula>14.1</formula>
      <formula>35</formula>
    </cfRule>
    <cfRule type="cellIs" dxfId="1168" priority="1518" stopIfTrue="1" operator="between">
      <formula>5.1</formula>
      <formula>14</formula>
    </cfRule>
    <cfRule type="cellIs" dxfId="1167" priority="1519" stopIfTrue="1" operator="between">
      <formula>0</formula>
      <formula>5</formula>
    </cfRule>
    <cfRule type="containsBlanks" dxfId="1166" priority="1520" stopIfTrue="1">
      <formula>LEN(TRIM(Q466))=0</formula>
    </cfRule>
  </conditionalFormatting>
  <conditionalFormatting sqref="R467">
    <cfRule type="cellIs" dxfId="1165" priority="1512" stopIfTrue="1" operator="equal">
      <formula>"NO"</formula>
    </cfRule>
  </conditionalFormatting>
  <conditionalFormatting sqref="Q467">
    <cfRule type="containsBlanks" dxfId="1164" priority="1499" stopIfTrue="1">
      <formula>LEN(TRIM(Q467))=0</formula>
    </cfRule>
    <cfRule type="cellIs" dxfId="1163" priority="1500" stopIfTrue="1" operator="between">
      <formula>80.1</formula>
      <formula>100</formula>
    </cfRule>
    <cfRule type="cellIs" dxfId="1162" priority="1501" stopIfTrue="1" operator="between">
      <formula>35.1</formula>
      <formula>80</formula>
    </cfRule>
    <cfRule type="cellIs" dxfId="1161" priority="1502" stopIfTrue="1" operator="between">
      <formula>14.1</formula>
      <formula>35</formula>
    </cfRule>
    <cfRule type="cellIs" dxfId="1160" priority="1503" stopIfTrue="1" operator="between">
      <formula>5.1</formula>
      <formula>14</formula>
    </cfRule>
    <cfRule type="cellIs" dxfId="1159" priority="1504" stopIfTrue="1" operator="between">
      <formula>0</formula>
      <formula>5</formula>
    </cfRule>
    <cfRule type="containsBlanks" dxfId="1158" priority="1505" stopIfTrue="1">
      <formula>LEN(TRIM(Q467))=0</formula>
    </cfRule>
  </conditionalFormatting>
  <conditionalFormatting sqref="Q467">
    <cfRule type="containsBlanks" dxfId="1157" priority="1492" stopIfTrue="1">
      <formula>LEN(TRIM(Q467))=0</formula>
    </cfRule>
    <cfRule type="cellIs" dxfId="1156" priority="1493" stopIfTrue="1" operator="between">
      <formula>80.1</formula>
      <formula>100</formula>
    </cfRule>
    <cfRule type="cellIs" dxfId="1155" priority="1494" stopIfTrue="1" operator="between">
      <formula>35.1</formula>
      <formula>80</formula>
    </cfRule>
    <cfRule type="cellIs" dxfId="1154" priority="1495" stopIfTrue="1" operator="between">
      <formula>14.1</formula>
      <formula>35</formula>
    </cfRule>
    <cfRule type="cellIs" dxfId="1153" priority="1496" stopIfTrue="1" operator="between">
      <formula>5.1</formula>
      <formula>14</formula>
    </cfRule>
    <cfRule type="cellIs" dxfId="1152" priority="1497" stopIfTrue="1" operator="between">
      <formula>0</formula>
      <formula>5</formula>
    </cfRule>
    <cfRule type="containsBlanks" dxfId="1151" priority="1498" stopIfTrue="1">
      <formula>LEN(TRIM(Q467))=0</formula>
    </cfRule>
  </conditionalFormatting>
  <conditionalFormatting sqref="R468">
    <cfRule type="cellIs" dxfId="1150" priority="1490" stopIfTrue="1" operator="equal">
      <formula>"NO"</formula>
    </cfRule>
  </conditionalFormatting>
  <conditionalFormatting sqref="Q468">
    <cfRule type="containsBlanks" dxfId="1149" priority="1477" stopIfTrue="1">
      <formula>LEN(TRIM(Q468))=0</formula>
    </cfRule>
    <cfRule type="cellIs" dxfId="1148" priority="1478" stopIfTrue="1" operator="between">
      <formula>80.1</formula>
      <formula>100</formula>
    </cfRule>
    <cfRule type="cellIs" dxfId="1147" priority="1479" stopIfTrue="1" operator="between">
      <formula>35.1</formula>
      <formula>80</formula>
    </cfRule>
    <cfRule type="cellIs" dxfId="1146" priority="1480" stopIfTrue="1" operator="between">
      <formula>14.1</formula>
      <formula>35</formula>
    </cfRule>
    <cfRule type="cellIs" dxfId="1145" priority="1481" stopIfTrue="1" operator="between">
      <formula>5.1</formula>
      <formula>14</formula>
    </cfRule>
    <cfRule type="cellIs" dxfId="1144" priority="1482" stopIfTrue="1" operator="between">
      <formula>0</formula>
      <formula>5</formula>
    </cfRule>
    <cfRule type="containsBlanks" dxfId="1143" priority="1483" stopIfTrue="1">
      <formula>LEN(TRIM(Q468))=0</formula>
    </cfRule>
  </conditionalFormatting>
  <conditionalFormatting sqref="Q468">
    <cfRule type="containsBlanks" dxfId="1142" priority="1470" stopIfTrue="1">
      <formula>LEN(TRIM(Q468))=0</formula>
    </cfRule>
    <cfRule type="cellIs" dxfId="1141" priority="1471" stopIfTrue="1" operator="between">
      <formula>80.1</formula>
      <formula>100</formula>
    </cfRule>
    <cfRule type="cellIs" dxfId="1140" priority="1472" stopIfTrue="1" operator="between">
      <formula>35.1</formula>
      <formula>80</formula>
    </cfRule>
    <cfRule type="cellIs" dxfId="1139" priority="1473" stopIfTrue="1" operator="between">
      <formula>14.1</formula>
      <formula>35</formula>
    </cfRule>
    <cfRule type="cellIs" dxfId="1138" priority="1474" stopIfTrue="1" operator="between">
      <formula>5.1</formula>
      <formula>14</formula>
    </cfRule>
    <cfRule type="cellIs" dxfId="1137" priority="1475" stopIfTrue="1" operator="between">
      <formula>0</formula>
      <formula>5</formula>
    </cfRule>
    <cfRule type="containsBlanks" dxfId="1136" priority="1476" stopIfTrue="1">
      <formula>LEN(TRIM(Q468))=0</formula>
    </cfRule>
  </conditionalFormatting>
  <conditionalFormatting sqref="R469">
    <cfRule type="cellIs" dxfId="1135" priority="1468" stopIfTrue="1" operator="equal">
      <formula>"NO"</formula>
    </cfRule>
  </conditionalFormatting>
  <conditionalFormatting sqref="Q469">
    <cfRule type="containsBlanks" dxfId="1134" priority="1455" stopIfTrue="1">
      <formula>LEN(TRIM(Q469))=0</formula>
    </cfRule>
    <cfRule type="cellIs" dxfId="1133" priority="1456" stopIfTrue="1" operator="between">
      <formula>80.1</formula>
      <formula>100</formula>
    </cfRule>
    <cfRule type="cellIs" dxfId="1132" priority="1457" stopIfTrue="1" operator="between">
      <formula>35.1</formula>
      <formula>80</formula>
    </cfRule>
    <cfRule type="cellIs" dxfId="1131" priority="1458" stopIfTrue="1" operator="between">
      <formula>14.1</formula>
      <formula>35</formula>
    </cfRule>
    <cfRule type="cellIs" dxfId="1130" priority="1459" stopIfTrue="1" operator="between">
      <formula>5.1</formula>
      <formula>14</formula>
    </cfRule>
    <cfRule type="cellIs" dxfId="1129" priority="1460" stopIfTrue="1" operator="between">
      <formula>0</formula>
      <formula>5</formula>
    </cfRule>
    <cfRule type="containsBlanks" dxfId="1128" priority="1461" stopIfTrue="1">
      <formula>LEN(TRIM(Q469))=0</formula>
    </cfRule>
  </conditionalFormatting>
  <conditionalFormatting sqref="Q469">
    <cfRule type="containsBlanks" dxfId="1127" priority="1448" stopIfTrue="1">
      <formula>LEN(TRIM(Q469))=0</formula>
    </cfRule>
    <cfRule type="cellIs" dxfId="1126" priority="1449" stopIfTrue="1" operator="between">
      <formula>80.1</formula>
      <formula>100</formula>
    </cfRule>
    <cfRule type="cellIs" dxfId="1125" priority="1450" stopIfTrue="1" operator="between">
      <formula>35.1</formula>
      <formula>80</formula>
    </cfRule>
    <cfRule type="cellIs" dxfId="1124" priority="1451" stopIfTrue="1" operator="between">
      <formula>14.1</formula>
      <formula>35</formula>
    </cfRule>
    <cfRule type="cellIs" dxfId="1123" priority="1452" stopIfTrue="1" operator="between">
      <formula>5.1</formula>
      <formula>14</formula>
    </cfRule>
    <cfRule type="cellIs" dxfId="1122" priority="1453" stopIfTrue="1" operator="between">
      <formula>0</formula>
      <formula>5</formula>
    </cfRule>
    <cfRule type="containsBlanks" dxfId="1121" priority="1454" stopIfTrue="1">
      <formula>LEN(TRIM(Q469))=0</formula>
    </cfRule>
  </conditionalFormatting>
  <conditionalFormatting sqref="R470">
    <cfRule type="cellIs" dxfId="1120" priority="1446" stopIfTrue="1" operator="equal">
      <formula>"NO"</formula>
    </cfRule>
  </conditionalFormatting>
  <conditionalFormatting sqref="Q470">
    <cfRule type="containsBlanks" dxfId="1119" priority="1433" stopIfTrue="1">
      <formula>LEN(TRIM(Q470))=0</formula>
    </cfRule>
    <cfRule type="cellIs" dxfId="1118" priority="1434" stopIfTrue="1" operator="between">
      <formula>80.1</formula>
      <formula>100</formula>
    </cfRule>
    <cfRule type="cellIs" dxfId="1117" priority="1435" stopIfTrue="1" operator="between">
      <formula>35.1</formula>
      <formula>80</formula>
    </cfRule>
    <cfRule type="cellIs" dxfId="1116" priority="1436" stopIfTrue="1" operator="between">
      <formula>14.1</formula>
      <formula>35</formula>
    </cfRule>
    <cfRule type="cellIs" dxfId="1115" priority="1437" stopIfTrue="1" operator="between">
      <formula>5.1</formula>
      <formula>14</formula>
    </cfRule>
    <cfRule type="cellIs" dxfId="1114" priority="1438" stopIfTrue="1" operator="between">
      <formula>0</formula>
      <formula>5</formula>
    </cfRule>
    <cfRule type="containsBlanks" dxfId="1113" priority="1439" stopIfTrue="1">
      <formula>LEN(TRIM(Q470))=0</formula>
    </cfRule>
  </conditionalFormatting>
  <conditionalFormatting sqref="Q470">
    <cfRule type="containsBlanks" dxfId="1112" priority="1426" stopIfTrue="1">
      <formula>LEN(TRIM(Q470))=0</formula>
    </cfRule>
    <cfRule type="cellIs" dxfId="1111" priority="1427" stopIfTrue="1" operator="between">
      <formula>80.1</formula>
      <formula>100</formula>
    </cfRule>
    <cfRule type="cellIs" dxfId="1110" priority="1428" stopIfTrue="1" operator="between">
      <formula>35.1</formula>
      <formula>80</formula>
    </cfRule>
    <cfRule type="cellIs" dxfId="1109" priority="1429" stopIfTrue="1" operator="between">
      <formula>14.1</formula>
      <formula>35</formula>
    </cfRule>
    <cfRule type="cellIs" dxfId="1108" priority="1430" stopIfTrue="1" operator="between">
      <formula>5.1</formula>
      <formula>14</formula>
    </cfRule>
    <cfRule type="cellIs" dxfId="1107" priority="1431" stopIfTrue="1" operator="between">
      <formula>0</formula>
      <formula>5</formula>
    </cfRule>
    <cfRule type="containsBlanks" dxfId="1106" priority="1432" stopIfTrue="1">
      <formula>LEN(TRIM(Q470))=0</formula>
    </cfRule>
  </conditionalFormatting>
  <conditionalFormatting sqref="R471">
    <cfRule type="cellIs" dxfId="1105" priority="1424" stopIfTrue="1" operator="equal">
      <formula>"NO"</formula>
    </cfRule>
  </conditionalFormatting>
  <conditionalFormatting sqref="Q471">
    <cfRule type="containsBlanks" dxfId="1104" priority="1411" stopIfTrue="1">
      <formula>LEN(TRIM(Q471))=0</formula>
    </cfRule>
    <cfRule type="cellIs" dxfId="1103" priority="1412" stopIfTrue="1" operator="between">
      <formula>80.1</formula>
      <formula>100</formula>
    </cfRule>
    <cfRule type="cellIs" dxfId="1102" priority="1413" stopIfTrue="1" operator="between">
      <formula>35.1</formula>
      <formula>80</formula>
    </cfRule>
    <cfRule type="cellIs" dxfId="1101" priority="1414" stopIfTrue="1" operator="between">
      <formula>14.1</formula>
      <formula>35</formula>
    </cfRule>
    <cfRule type="cellIs" dxfId="1100" priority="1415" stopIfTrue="1" operator="between">
      <formula>5.1</formula>
      <formula>14</formula>
    </cfRule>
    <cfRule type="cellIs" dxfId="1099" priority="1416" stopIfTrue="1" operator="between">
      <formula>0</formula>
      <formula>5</formula>
    </cfRule>
    <cfRule type="containsBlanks" dxfId="1098" priority="1417" stopIfTrue="1">
      <formula>LEN(TRIM(Q471))=0</formula>
    </cfRule>
  </conditionalFormatting>
  <conditionalFormatting sqref="Q471">
    <cfRule type="containsBlanks" dxfId="1097" priority="1404" stopIfTrue="1">
      <formula>LEN(TRIM(Q471))=0</formula>
    </cfRule>
    <cfRule type="cellIs" dxfId="1096" priority="1405" stopIfTrue="1" operator="between">
      <formula>80.1</formula>
      <formula>100</formula>
    </cfRule>
    <cfRule type="cellIs" dxfId="1095" priority="1406" stopIfTrue="1" operator="between">
      <formula>35.1</formula>
      <formula>80</formula>
    </cfRule>
    <cfRule type="cellIs" dxfId="1094" priority="1407" stopIfTrue="1" operator="between">
      <formula>14.1</formula>
      <formula>35</formula>
    </cfRule>
    <cfRule type="cellIs" dxfId="1093" priority="1408" stopIfTrue="1" operator="between">
      <formula>5.1</formula>
      <formula>14</formula>
    </cfRule>
    <cfRule type="cellIs" dxfId="1092" priority="1409" stopIfTrue="1" operator="between">
      <formula>0</formula>
      <formula>5</formula>
    </cfRule>
    <cfRule type="containsBlanks" dxfId="1091" priority="1410" stopIfTrue="1">
      <formula>LEN(TRIM(Q471))=0</formula>
    </cfRule>
  </conditionalFormatting>
  <conditionalFormatting sqref="R472">
    <cfRule type="cellIs" dxfId="1090" priority="1402" stopIfTrue="1" operator="equal">
      <formula>"NO"</formula>
    </cfRule>
  </conditionalFormatting>
  <conditionalFormatting sqref="Q472">
    <cfRule type="containsBlanks" dxfId="1089" priority="1389" stopIfTrue="1">
      <formula>LEN(TRIM(Q472))=0</formula>
    </cfRule>
    <cfRule type="cellIs" dxfId="1088" priority="1390" stopIfTrue="1" operator="between">
      <formula>80.1</formula>
      <formula>100</formula>
    </cfRule>
    <cfRule type="cellIs" dxfId="1087" priority="1391" stopIfTrue="1" operator="between">
      <formula>35.1</formula>
      <formula>80</formula>
    </cfRule>
    <cfRule type="cellIs" dxfId="1086" priority="1392" stopIfTrue="1" operator="between">
      <formula>14.1</formula>
      <formula>35</formula>
    </cfRule>
    <cfRule type="cellIs" dxfId="1085" priority="1393" stopIfTrue="1" operator="between">
      <formula>5.1</formula>
      <formula>14</formula>
    </cfRule>
    <cfRule type="cellIs" dxfId="1084" priority="1394" stopIfTrue="1" operator="between">
      <formula>0</formula>
      <formula>5</formula>
    </cfRule>
    <cfRule type="containsBlanks" dxfId="1083" priority="1395" stopIfTrue="1">
      <formula>LEN(TRIM(Q472))=0</formula>
    </cfRule>
  </conditionalFormatting>
  <conditionalFormatting sqref="Q472">
    <cfRule type="containsBlanks" dxfId="1082" priority="1382" stopIfTrue="1">
      <formula>LEN(TRIM(Q472))=0</formula>
    </cfRule>
    <cfRule type="cellIs" dxfId="1081" priority="1383" stopIfTrue="1" operator="between">
      <formula>80.1</formula>
      <formula>100</formula>
    </cfRule>
    <cfRule type="cellIs" dxfId="1080" priority="1384" stopIfTrue="1" operator="between">
      <formula>35.1</formula>
      <formula>80</formula>
    </cfRule>
    <cfRule type="cellIs" dxfId="1079" priority="1385" stopIfTrue="1" operator="between">
      <formula>14.1</formula>
      <formula>35</formula>
    </cfRule>
    <cfRule type="cellIs" dxfId="1078" priority="1386" stopIfTrue="1" operator="between">
      <formula>5.1</formula>
      <formula>14</formula>
    </cfRule>
    <cfRule type="cellIs" dxfId="1077" priority="1387" stopIfTrue="1" operator="between">
      <formula>0</formula>
      <formula>5</formula>
    </cfRule>
    <cfRule type="containsBlanks" dxfId="1076" priority="1388" stopIfTrue="1">
      <formula>LEN(TRIM(Q472))=0</formula>
    </cfRule>
  </conditionalFormatting>
  <conditionalFormatting sqref="R473">
    <cfRule type="cellIs" dxfId="1075" priority="1380" stopIfTrue="1" operator="equal">
      <formula>"NO"</formula>
    </cfRule>
  </conditionalFormatting>
  <conditionalFormatting sqref="Q473">
    <cfRule type="containsBlanks" dxfId="1074" priority="1367" stopIfTrue="1">
      <formula>LEN(TRIM(Q473))=0</formula>
    </cfRule>
    <cfRule type="cellIs" dxfId="1073" priority="1368" stopIfTrue="1" operator="between">
      <formula>80.1</formula>
      <formula>100</formula>
    </cfRule>
    <cfRule type="cellIs" dxfId="1072" priority="1369" stopIfTrue="1" operator="between">
      <formula>35.1</formula>
      <formula>80</formula>
    </cfRule>
    <cfRule type="cellIs" dxfId="1071" priority="1370" stopIfTrue="1" operator="between">
      <formula>14.1</formula>
      <formula>35</formula>
    </cfRule>
    <cfRule type="cellIs" dxfId="1070" priority="1371" stopIfTrue="1" operator="between">
      <formula>5.1</formula>
      <formula>14</formula>
    </cfRule>
    <cfRule type="cellIs" dxfId="1069" priority="1372" stopIfTrue="1" operator="between">
      <formula>0</formula>
      <formula>5</formula>
    </cfRule>
    <cfRule type="containsBlanks" dxfId="1068" priority="1373" stopIfTrue="1">
      <formula>LEN(TRIM(Q473))=0</formula>
    </cfRule>
  </conditionalFormatting>
  <conditionalFormatting sqref="Q473">
    <cfRule type="containsBlanks" dxfId="1067" priority="1360" stopIfTrue="1">
      <formula>LEN(TRIM(Q473))=0</formula>
    </cfRule>
    <cfRule type="cellIs" dxfId="1066" priority="1361" stopIfTrue="1" operator="between">
      <formula>80.1</formula>
      <formula>100</formula>
    </cfRule>
    <cfRule type="cellIs" dxfId="1065" priority="1362" stopIfTrue="1" operator="between">
      <formula>35.1</formula>
      <formula>80</formula>
    </cfRule>
    <cfRule type="cellIs" dxfId="1064" priority="1363" stopIfTrue="1" operator="between">
      <formula>14.1</formula>
      <formula>35</formula>
    </cfRule>
    <cfRule type="cellIs" dxfId="1063" priority="1364" stopIfTrue="1" operator="between">
      <formula>5.1</formula>
      <formula>14</formula>
    </cfRule>
    <cfRule type="cellIs" dxfId="1062" priority="1365" stopIfTrue="1" operator="between">
      <formula>0</formula>
      <formula>5</formula>
    </cfRule>
    <cfRule type="containsBlanks" dxfId="1061" priority="1366" stopIfTrue="1">
      <formula>LEN(TRIM(Q473))=0</formula>
    </cfRule>
  </conditionalFormatting>
  <conditionalFormatting sqref="R474">
    <cfRule type="cellIs" dxfId="1060" priority="1358" stopIfTrue="1" operator="equal">
      <formula>"NO"</formula>
    </cfRule>
  </conditionalFormatting>
  <conditionalFormatting sqref="Q474">
    <cfRule type="containsBlanks" dxfId="1059" priority="1345" stopIfTrue="1">
      <formula>LEN(TRIM(Q474))=0</formula>
    </cfRule>
    <cfRule type="cellIs" dxfId="1058" priority="1346" stopIfTrue="1" operator="between">
      <formula>80.1</formula>
      <formula>100</formula>
    </cfRule>
    <cfRule type="cellIs" dxfId="1057" priority="1347" stopIfTrue="1" operator="between">
      <formula>35.1</formula>
      <formula>80</formula>
    </cfRule>
    <cfRule type="cellIs" dxfId="1056" priority="1348" stopIfTrue="1" operator="between">
      <formula>14.1</formula>
      <formula>35</formula>
    </cfRule>
    <cfRule type="cellIs" dxfId="1055" priority="1349" stopIfTrue="1" operator="between">
      <formula>5.1</formula>
      <formula>14</formula>
    </cfRule>
    <cfRule type="cellIs" dxfId="1054" priority="1350" stopIfTrue="1" operator="between">
      <formula>0</formula>
      <formula>5</formula>
    </cfRule>
    <cfRule type="containsBlanks" dxfId="1053" priority="1351" stopIfTrue="1">
      <formula>LEN(TRIM(Q474))=0</formula>
    </cfRule>
  </conditionalFormatting>
  <conditionalFormatting sqref="Q474">
    <cfRule type="containsBlanks" dxfId="1052" priority="1338" stopIfTrue="1">
      <formula>LEN(TRIM(Q474))=0</formula>
    </cfRule>
    <cfRule type="cellIs" dxfId="1051" priority="1339" stopIfTrue="1" operator="between">
      <formula>80.1</formula>
      <formula>100</formula>
    </cfRule>
    <cfRule type="cellIs" dxfId="1050" priority="1340" stopIfTrue="1" operator="between">
      <formula>35.1</formula>
      <formula>80</formula>
    </cfRule>
    <cfRule type="cellIs" dxfId="1049" priority="1341" stopIfTrue="1" operator="between">
      <formula>14.1</formula>
      <formula>35</formula>
    </cfRule>
    <cfRule type="cellIs" dxfId="1048" priority="1342" stopIfTrue="1" operator="between">
      <formula>5.1</formula>
      <formula>14</formula>
    </cfRule>
    <cfRule type="cellIs" dxfId="1047" priority="1343" stopIfTrue="1" operator="between">
      <formula>0</formula>
      <formula>5</formula>
    </cfRule>
    <cfRule type="containsBlanks" dxfId="1046" priority="1344" stopIfTrue="1">
      <formula>LEN(TRIM(Q474))=0</formula>
    </cfRule>
  </conditionalFormatting>
  <conditionalFormatting sqref="R475">
    <cfRule type="cellIs" dxfId="1045" priority="1336" stopIfTrue="1" operator="equal">
      <formula>"NO"</formula>
    </cfRule>
  </conditionalFormatting>
  <conditionalFormatting sqref="Q475">
    <cfRule type="containsBlanks" dxfId="1044" priority="1323" stopIfTrue="1">
      <formula>LEN(TRIM(Q475))=0</formula>
    </cfRule>
    <cfRule type="cellIs" dxfId="1043" priority="1324" stopIfTrue="1" operator="between">
      <formula>80.1</formula>
      <formula>100</formula>
    </cfRule>
    <cfRule type="cellIs" dxfId="1042" priority="1325" stopIfTrue="1" operator="between">
      <formula>35.1</formula>
      <formula>80</formula>
    </cfRule>
    <cfRule type="cellIs" dxfId="1041" priority="1326" stopIfTrue="1" operator="between">
      <formula>14.1</formula>
      <formula>35</formula>
    </cfRule>
    <cfRule type="cellIs" dxfId="1040" priority="1327" stopIfTrue="1" operator="between">
      <formula>5.1</formula>
      <formula>14</formula>
    </cfRule>
    <cfRule type="cellIs" dxfId="1039" priority="1328" stopIfTrue="1" operator="between">
      <formula>0</formula>
      <formula>5</formula>
    </cfRule>
    <cfRule type="containsBlanks" dxfId="1038" priority="1329" stopIfTrue="1">
      <formula>LEN(TRIM(Q475))=0</formula>
    </cfRule>
  </conditionalFormatting>
  <conditionalFormatting sqref="Q475">
    <cfRule type="containsBlanks" dxfId="1037" priority="1316" stopIfTrue="1">
      <formula>LEN(TRIM(Q475))=0</formula>
    </cfRule>
    <cfRule type="cellIs" dxfId="1036" priority="1317" stopIfTrue="1" operator="between">
      <formula>80.1</formula>
      <formula>100</formula>
    </cfRule>
    <cfRule type="cellIs" dxfId="1035" priority="1318" stopIfTrue="1" operator="between">
      <formula>35.1</formula>
      <formula>80</formula>
    </cfRule>
    <cfRule type="cellIs" dxfId="1034" priority="1319" stopIfTrue="1" operator="between">
      <formula>14.1</formula>
      <formula>35</formula>
    </cfRule>
    <cfRule type="cellIs" dxfId="1033" priority="1320" stopIfTrue="1" operator="between">
      <formula>5.1</formula>
      <formula>14</formula>
    </cfRule>
    <cfRule type="cellIs" dxfId="1032" priority="1321" stopIfTrue="1" operator="between">
      <formula>0</formula>
      <formula>5</formula>
    </cfRule>
    <cfRule type="containsBlanks" dxfId="1031" priority="1322" stopIfTrue="1">
      <formula>LEN(TRIM(Q475))=0</formula>
    </cfRule>
  </conditionalFormatting>
  <conditionalFormatting sqref="R476">
    <cfRule type="cellIs" dxfId="1030" priority="1314" stopIfTrue="1" operator="equal">
      <formula>"NO"</formula>
    </cfRule>
  </conditionalFormatting>
  <conditionalFormatting sqref="Q476">
    <cfRule type="containsBlanks" dxfId="1029" priority="1301" stopIfTrue="1">
      <formula>LEN(TRIM(Q476))=0</formula>
    </cfRule>
    <cfRule type="cellIs" dxfId="1028" priority="1302" stopIfTrue="1" operator="between">
      <formula>80.1</formula>
      <formula>100</formula>
    </cfRule>
    <cfRule type="cellIs" dxfId="1027" priority="1303" stopIfTrue="1" operator="between">
      <formula>35.1</formula>
      <formula>80</formula>
    </cfRule>
    <cfRule type="cellIs" dxfId="1026" priority="1304" stopIfTrue="1" operator="between">
      <formula>14.1</formula>
      <formula>35</formula>
    </cfRule>
    <cfRule type="cellIs" dxfId="1025" priority="1305" stopIfTrue="1" operator="between">
      <formula>5.1</formula>
      <formula>14</formula>
    </cfRule>
    <cfRule type="cellIs" dxfId="1024" priority="1306" stopIfTrue="1" operator="between">
      <formula>0</formula>
      <formula>5</formula>
    </cfRule>
    <cfRule type="containsBlanks" dxfId="1023" priority="1307" stopIfTrue="1">
      <formula>LEN(TRIM(Q476))=0</formula>
    </cfRule>
  </conditionalFormatting>
  <conditionalFormatting sqref="Q476">
    <cfRule type="containsBlanks" dxfId="1022" priority="1294" stopIfTrue="1">
      <formula>LEN(TRIM(Q476))=0</formula>
    </cfRule>
    <cfRule type="cellIs" dxfId="1021" priority="1295" stopIfTrue="1" operator="between">
      <formula>80.1</formula>
      <formula>100</formula>
    </cfRule>
    <cfRule type="cellIs" dxfId="1020" priority="1296" stopIfTrue="1" operator="between">
      <formula>35.1</formula>
      <formula>80</formula>
    </cfRule>
    <cfRule type="cellIs" dxfId="1019" priority="1297" stopIfTrue="1" operator="between">
      <formula>14.1</formula>
      <formula>35</formula>
    </cfRule>
    <cfRule type="cellIs" dxfId="1018" priority="1298" stopIfTrue="1" operator="between">
      <formula>5.1</formula>
      <formula>14</formula>
    </cfRule>
    <cfRule type="cellIs" dxfId="1017" priority="1299" stopIfTrue="1" operator="between">
      <formula>0</formula>
      <formula>5</formula>
    </cfRule>
    <cfRule type="containsBlanks" dxfId="1016" priority="1300" stopIfTrue="1">
      <formula>LEN(TRIM(Q476))=0</formula>
    </cfRule>
  </conditionalFormatting>
  <conditionalFormatting sqref="R477">
    <cfRule type="cellIs" dxfId="1015" priority="1292" stopIfTrue="1" operator="equal">
      <formula>"NO"</formula>
    </cfRule>
  </conditionalFormatting>
  <conditionalFormatting sqref="Q477">
    <cfRule type="containsBlanks" dxfId="1014" priority="1279" stopIfTrue="1">
      <formula>LEN(TRIM(Q477))=0</formula>
    </cfRule>
    <cfRule type="cellIs" dxfId="1013" priority="1280" stopIfTrue="1" operator="between">
      <formula>80.1</formula>
      <formula>100</formula>
    </cfRule>
    <cfRule type="cellIs" dxfId="1012" priority="1281" stopIfTrue="1" operator="between">
      <formula>35.1</formula>
      <formula>80</formula>
    </cfRule>
    <cfRule type="cellIs" dxfId="1011" priority="1282" stopIfTrue="1" operator="between">
      <formula>14.1</formula>
      <formula>35</formula>
    </cfRule>
    <cfRule type="cellIs" dxfId="1010" priority="1283" stopIfTrue="1" operator="between">
      <formula>5.1</formula>
      <formula>14</formula>
    </cfRule>
    <cfRule type="cellIs" dxfId="1009" priority="1284" stopIfTrue="1" operator="between">
      <formula>0</formula>
      <formula>5</formula>
    </cfRule>
    <cfRule type="containsBlanks" dxfId="1008" priority="1285" stopIfTrue="1">
      <formula>LEN(TRIM(Q477))=0</formula>
    </cfRule>
  </conditionalFormatting>
  <conditionalFormatting sqref="Q477">
    <cfRule type="containsBlanks" dxfId="1007" priority="1272" stopIfTrue="1">
      <formula>LEN(TRIM(Q477))=0</formula>
    </cfRule>
    <cfRule type="cellIs" dxfId="1006" priority="1273" stopIfTrue="1" operator="between">
      <formula>80.1</formula>
      <formula>100</formula>
    </cfRule>
    <cfRule type="cellIs" dxfId="1005" priority="1274" stopIfTrue="1" operator="between">
      <formula>35.1</formula>
      <formula>80</formula>
    </cfRule>
    <cfRule type="cellIs" dxfId="1004" priority="1275" stopIfTrue="1" operator="between">
      <formula>14.1</formula>
      <formula>35</formula>
    </cfRule>
    <cfRule type="cellIs" dxfId="1003" priority="1276" stopIfTrue="1" operator="between">
      <formula>5.1</formula>
      <formula>14</formula>
    </cfRule>
    <cfRule type="cellIs" dxfId="1002" priority="1277" stopIfTrue="1" operator="between">
      <formula>0</formula>
      <formula>5</formula>
    </cfRule>
    <cfRule type="containsBlanks" dxfId="1001" priority="1278" stopIfTrue="1">
      <formula>LEN(TRIM(Q477))=0</formula>
    </cfRule>
  </conditionalFormatting>
  <conditionalFormatting sqref="R478">
    <cfRule type="cellIs" dxfId="1000" priority="1270" stopIfTrue="1" operator="equal">
      <formula>"NO"</formula>
    </cfRule>
  </conditionalFormatting>
  <conditionalFormatting sqref="Q478">
    <cfRule type="containsBlanks" dxfId="999" priority="1257" stopIfTrue="1">
      <formula>LEN(TRIM(Q478))=0</formula>
    </cfRule>
    <cfRule type="cellIs" dxfId="998" priority="1258" stopIfTrue="1" operator="between">
      <formula>80.1</formula>
      <formula>100</formula>
    </cfRule>
    <cfRule type="cellIs" dxfId="997" priority="1259" stopIfTrue="1" operator="between">
      <formula>35.1</formula>
      <formula>80</formula>
    </cfRule>
    <cfRule type="cellIs" dxfId="996" priority="1260" stopIfTrue="1" operator="between">
      <formula>14.1</formula>
      <formula>35</formula>
    </cfRule>
    <cfRule type="cellIs" dxfId="995" priority="1261" stopIfTrue="1" operator="between">
      <formula>5.1</formula>
      <formula>14</formula>
    </cfRule>
    <cfRule type="cellIs" dxfId="994" priority="1262" stopIfTrue="1" operator="between">
      <formula>0</formula>
      <formula>5</formula>
    </cfRule>
    <cfRule type="containsBlanks" dxfId="993" priority="1263" stopIfTrue="1">
      <formula>LEN(TRIM(Q478))=0</formula>
    </cfRule>
  </conditionalFormatting>
  <conditionalFormatting sqref="Q478">
    <cfRule type="containsBlanks" dxfId="992" priority="1250" stopIfTrue="1">
      <formula>LEN(TRIM(Q478))=0</formula>
    </cfRule>
    <cfRule type="cellIs" dxfId="991" priority="1251" stopIfTrue="1" operator="between">
      <formula>80.1</formula>
      <formula>100</formula>
    </cfRule>
    <cfRule type="cellIs" dxfId="990" priority="1252" stopIfTrue="1" operator="between">
      <formula>35.1</formula>
      <formula>80</formula>
    </cfRule>
    <cfRule type="cellIs" dxfId="989" priority="1253" stopIfTrue="1" operator="between">
      <formula>14.1</formula>
      <formula>35</formula>
    </cfRule>
    <cfRule type="cellIs" dxfId="988" priority="1254" stopIfTrue="1" operator="between">
      <formula>5.1</formula>
      <formula>14</formula>
    </cfRule>
    <cfRule type="cellIs" dxfId="987" priority="1255" stopIfTrue="1" operator="between">
      <formula>0</formula>
      <formula>5</formula>
    </cfRule>
    <cfRule type="containsBlanks" dxfId="986" priority="1256" stopIfTrue="1">
      <formula>LEN(TRIM(Q478))=0</formula>
    </cfRule>
  </conditionalFormatting>
  <conditionalFormatting sqref="R479">
    <cfRule type="cellIs" dxfId="985" priority="1248" stopIfTrue="1" operator="equal">
      <formula>"NO"</formula>
    </cfRule>
  </conditionalFormatting>
  <conditionalFormatting sqref="Q479">
    <cfRule type="containsBlanks" dxfId="984" priority="1235" stopIfTrue="1">
      <formula>LEN(TRIM(Q479))=0</formula>
    </cfRule>
    <cfRule type="cellIs" dxfId="983" priority="1236" stopIfTrue="1" operator="between">
      <formula>80.1</formula>
      <formula>100</formula>
    </cfRule>
    <cfRule type="cellIs" dxfId="982" priority="1237" stopIfTrue="1" operator="between">
      <formula>35.1</formula>
      <formula>80</formula>
    </cfRule>
    <cfRule type="cellIs" dxfId="981" priority="1238" stopIfTrue="1" operator="between">
      <formula>14.1</formula>
      <formula>35</formula>
    </cfRule>
    <cfRule type="cellIs" dxfId="980" priority="1239" stopIfTrue="1" operator="between">
      <formula>5.1</formula>
      <formula>14</formula>
    </cfRule>
    <cfRule type="cellIs" dxfId="979" priority="1240" stopIfTrue="1" operator="between">
      <formula>0</formula>
      <formula>5</formula>
    </cfRule>
    <cfRule type="containsBlanks" dxfId="978" priority="1241" stopIfTrue="1">
      <formula>LEN(TRIM(Q479))=0</formula>
    </cfRule>
  </conditionalFormatting>
  <conditionalFormatting sqref="Q479">
    <cfRule type="containsBlanks" dxfId="977" priority="1228" stopIfTrue="1">
      <formula>LEN(TRIM(Q479))=0</formula>
    </cfRule>
    <cfRule type="cellIs" dxfId="976" priority="1229" stopIfTrue="1" operator="between">
      <formula>80.1</formula>
      <formula>100</formula>
    </cfRule>
    <cfRule type="cellIs" dxfId="975" priority="1230" stopIfTrue="1" operator="between">
      <formula>35.1</formula>
      <formula>80</formula>
    </cfRule>
    <cfRule type="cellIs" dxfId="974" priority="1231" stopIfTrue="1" operator="between">
      <formula>14.1</formula>
      <formula>35</formula>
    </cfRule>
    <cfRule type="cellIs" dxfId="973" priority="1232" stopIfTrue="1" operator="between">
      <formula>5.1</formula>
      <formula>14</formula>
    </cfRule>
    <cfRule type="cellIs" dxfId="972" priority="1233" stopIfTrue="1" operator="between">
      <formula>0</formula>
      <formula>5</formula>
    </cfRule>
    <cfRule type="containsBlanks" dxfId="971" priority="1234" stopIfTrue="1">
      <formula>LEN(TRIM(Q479))=0</formula>
    </cfRule>
  </conditionalFormatting>
  <conditionalFormatting sqref="R480">
    <cfRule type="cellIs" dxfId="970" priority="1226" stopIfTrue="1" operator="equal">
      <formula>"NO"</formula>
    </cfRule>
  </conditionalFormatting>
  <conditionalFormatting sqref="Q480">
    <cfRule type="containsBlanks" dxfId="969" priority="1213" stopIfTrue="1">
      <formula>LEN(TRIM(Q480))=0</formula>
    </cfRule>
    <cfRule type="cellIs" dxfId="968" priority="1214" stopIfTrue="1" operator="between">
      <formula>80.1</formula>
      <formula>100</formula>
    </cfRule>
    <cfRule type="cellIs" dxfId="967" priority="1215" stopIfTrue="1" operator="between">
      <formula>35.1</formula>
      <formula>80</formula>
    </cfRule>
    <cfRule type="cellIs" dxfId="966" priority="1216" stopIfTrue="1" operator="between">
      <formula>14.1</formula>
      <formula>35</formula>
    </cfRule>
    <cfRule type="cellIs" dxfId="965" priority="1217" stopIfTrue="1" operator="between">
      <formula>5.1</formula>
      <formula>14</formula>
    </cfRule>
    <cfRule type="cellIs" dxfId="964" priority="1218" stopIfTrue="1" operator="between">
      <formula>0</formula>
      <formula>5</formula>
    </cfRule>
    <cfRule type="containsBlanks" dxfId="963" priority="1219" stopIfTrue="1">
      <formula>LEN(TRIM(Q480))=0</formula>
    </cfRule>
  </conditionalFormatting>
  <conditionalFormatting sqref="Q480">
    <cfRule type="containsBlanks" dxfId="962" priority="1206" stopIfTrue="1">
      <formula>LEN(TRIM(Q480))=0</formula>
    </cfRule>
    <cfRule type="cellIs" dxfId="961" priority="1207" stopIfTrue="1" operator="between">
      <formula>80.1</formula>
      <formula>100</formula>
    </cfRule>
    <cfRule type="cellIs" dxfId="960" priority="1208" stopIfTrue="1" operator="between">
      <formula>35.1</formula>
      <formula>80</formula>
    </cfRule>
    <cfRule type="cellIs" dxfId="959" priority="1209" stopIfTrue="1" operator="between">
      <formula>14.1</formula>
      <formula>35</formula>
    </cfRule>
    <cfRule type="cellIs" dxfId="958" priority="1210" stopIfTrue="1" operator="between">
      <formula>5.1</formula>
      <formula>14</formula>
    </cfRule>
    <cfRule type="cellIs" dxfId="957" priority="1211" stopIfTrue="1" operator="between">
      <formula>0</formula>
      <formula>5</formula>
    </cfRule>
    <cfRule type="containsBlanks" dxfId="956" priority="1212" stopIfTrue="1">
      <formula>LEN(TRIM(Q480))=0</formula>
    </cfRule>
  </conditionalFormatting>
  <conditionalFormatting sqref="R481">
    <cfRule type="cellIs" dxfId="955" priority="1204" stopIfTrue="1" operator="equal">
      <formula>"NO"</formula>
    </cfRule>
  </conditionalFormatting>
  <conditionalFormatting sqref="Q481">
    <cfRule type="containsBlanks" dxfId="954" priority="1191" stopIfTrue="1">
      <formula>LEN(TRIM(Q481))=0</formula>
    </cfRule>
    <cfRule type="cellIs" dxfId="953" priority="1192" stopIfTrue="1" operator="between">
      <formula>80.1</formula>
      <formula>100</formula>
    </cfRule>
    <cfRule type="cellIs" dxfId="952" priority="1193" stopIfTrue="1" operator="between">
      <formula>35.1</formula>
      <formula>80</formula>
    </cfRule>
    <cfRule type="cellIs" dxfId="951" priority="1194" stopIfTrue="1" operator="between">
      <formula>14.1</formula>
      <formula>35</formula>
    </cfRule>
    <cfRule type="cellIs" dxfId="950" priority="1195" stopIfTrue="1" operator="between">
      <formula>5.1</formula>
      <formula>14</formula>
    </cfRule>
    <cfRule type="cellIs" dxfId="949" priority="1196" stopIfTrue="1" operator="between">
      <formula>0</formula>
      <formula>5</formula>
    </cfRule>
    <cfRule type="containsBlanks" dxfId="948" priority="1197" stopIfTrue="1">
      <formula>LEN(TRIM(Q481))=0</formula>
    </cfRule>
  </conditionalFormatting>
  <conditionalFormatting sqref="Q481">
    <cfRule type="containsBlanks" dxfId="947" priority="1184" stopIfTrue="1">
      <formula>LEN(TRIM(Q481))=0</formula>
    </cfRule>
    <cfRule type="cellIs" dxfId="946" priority="1185" stopIfTrue="1" operator="between">
      <formula>80.1</formula>
      <formula>100</formula>
    </cfRule>
    <cfRule type="cellIs" dxfId="945" priority="1186" stopIfTrue="1" operator="between">
      <formula>35.1</formula>
      <formula>80</formula>
    </cfRule>
    <cfRule type="cellIs" dxfId="944" priority="1187" stopIfTrue="1" operator="between">
      <formula>14.1</formula>
      <formula>35</formula>
    </cfRule>
    <cfRule type="cellIs" dxfId="943" priority="1188" stopIfTrue="1" operator="between">
      <formula>5.1</formula>
      <formula>14</formula>
    </cfRule>
    <cfRule type="cellIs" dxfId="942" priority="1189" stopIfTrue="1" operator="between">
      <formula>0</formula>
      <formula>5</formula>
    </cfRule>
    <cfRule type="containsBlanks" dxfId="941" priority="1190" stopIfTrue="1">
      <formula>LEN(TRIM(Q481))=0</formula>
    </cfRule>
  </conditionalFormatting>
  <conditionalFormatting sqref="R482">
    <cfRule type="cellIs" dxfId="940" priority="1182" stopIfTrue="1" operator="equal">
      <formula>"NO"</formula>
    </cfRule>
  </conditionalFormatting>
  <conditionalFormatting sqref="Q482">
    <cfRule type="containsBlanks" dxfId="939" priority="1169" stopIfTrue="1">
      <formula>LEN(TRIM(Q482))=0</formula>
    </cfRule>
    <cfRule type="cellIs" dxfId="938" priority="1170" stopIfTrue="1" operator="between">
      <formula>80.1</formula>
      <formula>100</formula>
    </cfRule>
    <cfRule type="cellIs" dxfId="937" priority="1171" stopIfTrue="1" operator="between">
      <formula>35.1</formula>
      <formula>80</formula>
    </cfRule>
    <cfRule type="cellIs" dxfId="936" priority="1172" stopIfTrue="1" operator="between">
      <formula>14.1</formula>
      <formula>35</formula>
    </cfRule>
    <cfRule type="cellIs" dxfId="935" priority="1173" stopIfTrue="1" operator="between">
      <formula>5.1</formula>
      <formula>14</formula>
    </cfRule>
    <cfRule type="cellIs" dxfId="934" priority="1174" stopIfTrue="1" operator="between">
      <formula>0</formula>
      <formula>5</formula>
    </cfRule>
    <cfRule type="containsBlanks" dxfId="933" priority="1175" stopIfTrue="1">
      <formula>LEN(TRIM(Q482))=0</formula>
    </cfRule>
  </conditionalFormatting>
  <conditionalFormatting sqref="Q482">
    <cfRule type="containsBlanks" dxfId="932" priority="1162" stopIfTrue="1">
      <formula>LEN(TRIM(Q482))=0</formula>
    </cfRule>
    <cfRule type="cellIs" dxfId="931" priority="1163" stopIfTrue="1" operator="between">
      <formula>80.1</formula>
      <formula>100</formula>
    </cfRule>
    <cfRule type="cellIs" dxfId="930" priority="1164" stopIfTrue="1" operator="between">
      <formula>35.1</formula>
      <formula>80</formula>
    </cfRule>
    <cfRule type="cellIs" dxfId="929" priority="1165" stopIfTrue="1" operator="between">
      <formula>14.1</formula>
      <formula>35</formula>
    </cfRule>
    <cfRule type="cellIs" dxfId="928" priority="1166" stopIfTrue="1" operator="between">
      <formula>5.1</formula>
      <formula>14</formula>
    </cfRule>
    <cfRule type="cellIs" dxfId="927" priority="1167" stopIfTrue="1" operator="between">
      <formula>0</formula>
      <formula>5</formula>
    </cfRule>
    <cfRule type="containsBlanks" dxfId="926" priority="1168" stopIfTrue="1">
      <formula>LEN(TRIM(Q482))=0</formula>
    </cfRule>
  </conditionalFormatting>
  <conditionalFormatting sqref="R483">
    <cfRule type="cellIs" dxfId="925" priority="1160" stopIfTrue="1" operator="equal">
      <formula>"NO"</formula>
    </cfRule>
  </conditionalFormatting>
  <conditionalFormatting sqref="Q483">
    <cfRule type="containsBlanks" dxfId="924" priority="1147" stopIfTrue="1">
      <formula>LEN(TRIM(Q483))=0</formula>
    </cfRule>
    <cfRule type="cellIs" dxfId="923" priority="1148" stopIfTrue="1" operator="between">
      <formula>80.1</formula>
      <formula>100</formula>
    </cfRule>
    <cfRule type="cellIs" dxfId="922" priority="1149" stopIfTrue="1" operator="between">
      <formula>35.1</formula>
      <formula>80</formula>
    </cfRule>
    <cfRule type="cellIs" dxfId="921" priority="1150" stopIfTrue="1" operator="between">
      <formula>14.1</formula>
      <formula>35</formula>
    </cfRule>
    <cfRule type="cellIs" dxfId="920" priority="1151" stopIfTrue="1" operator="between">
      <formula>5.1</formula>
      <formula>14</formula>
    </cfRule>
    <cfRule type="cellIs" dxfId="919" priority="1152" stopIfTrue="1" operator="between">
      <formula>0</formula>
      <formula>5</formula>
    </cfRule>
    <cfRule type="containsBlanks" dxfId="918" priority="1153" stopIfTrue="1">
      <formula>LEN(TRIM(Q483))=0</formula>
    </cfRule>
  </conditionalFormatting>
  <conditionalFormatting sqref="Q483">
    <cfRule type="containsBlanks" dxfId="917" priority="1140" stopIfTrue="1">
      <formula>LEN(TRIM(Q483))=0</formula>
    </cfRule>
    <cfRule type="cellIs" dxfId="916" priority="1141" stopIfTrue="1" operator="between">
      <formula>80.1</formula>
      <formula>100</formula>
    </cfRule>
    <cfRule type="cellIs" dxfId="915" priority="1142" stopIfTrue="1" operator="between">
      <formula>35.1</formula>
      <formula>80</formula>
    </cfRule>
    <cfRule type="cellIs" dxfId="914" priority="1143" stopIfTrue="1" operator="between">
      <formula>14.1</formula>
      <formula>35</formula>
    </cfRule>
    <cfRule type="cellIs" dxfId="913" priority="1144" stopIfTrue="1" operator="between">
      <formula>5.1</formula>
      <formula>14</formula>
    </cfRule>
    <cfRule type="cellIs" dxfId="912" priority="1145" stopIfTrue="1" operator="between">
      <formula>0</formula>
      <formula>5</formula>
    </cfRule>
    <cfRule type="containsBlanks" dxfId="911" priority="1146" stopIfTrue="1">
      <formula>LEN(TRIM(Q483))=0</formula>
    </cfRule>
  </conditionalFormatting>
  <conditionalFormatting sqref="E431:I431 K431:L431">
    <cfRule type="containsBlanks" dxfId="910" priority="1133" stopIfTrue="1">
      <formula>LEN(TRIM(E431))=0</formula>
    </cfRule>
    <cfRule type="cellIs" dxfId="909" priority="1134" stopIfTrue="1" operator="between">
      <formula>79.1</formula>
      <formula>100</formula>
    </cfRule>
    <cfRule type="cellIs" dxfId="908" priority="1135" stopIfTrue="1" operator="between">
      <formula>34.1</formula>
      <formula>79</formula>
    </cfRule>
    <cfRule type="cellIs" dxfId="907" priority="1136" stopIfTrue="1" operator="between">
      <formula>13.1</formula>
      <formula>34</formula>
    </cfRule>
    <cfRule type="cellIs" dxfId="906" priority="1137" stopIfTrue="1" operator="between">
      <formula>5.1</formula>
      <formula>13</formula>
    </cfRule>
    <cfRule type="cellIs" dxfId="905" priority="1138" stopIfTrue="1" operator="between">
      <formula>0</formula>
      <formula>5</formula>
    </cfRule>
    <cfRule type="containsBlanks" dxfId="904" priority="1139" stopIfTrue="1">
      <formula>LEN(TRIM(E431))=0</formula>
    </cfRule>
  </conditionalFormatting>
  <conditionalFormatting sqref="J431">
    <cfRule type="containsBlanks" dxfId="903" priority="1126" stopIfTrue="1">
      <formula>LEN(TRIM(J431))=0</formula>
    </cfRule>
    <cfRule type="cellIs" dxfId="902" priority="1127" stopIfTrue="1" operator="between">
      <formula>79.1</formula>
      <formula>100</formula>
    </cfRule>
    <cfRule type="cellIs" dxfId="901" priority="1128" stopIfTrue="1" operator="between">
      <formula>34.1</formula>
      <formula>79</formula>
    </cfRule>
    <cfRule type="cellIs" dxfId="900" priority="1129" stopIfTrue="1" operator="between">
      <formula>13.1</formula>
      <formula>34</formula>
    </cfRule>
    <cfRule type="cellIs" dxfId="899" priority="1130" stopIfTrue="1" operator="between">
      <formula>5.1</formula>
      <formula>13</formula>
    </cfRule>
    <cfRule type="cellIs" dxfId="898" priority="1131" stopIfTrue="1" operator="between">
      <formula>0</formula>
      <formula>5</formula>
    </cfRule>
    <cfRule type="containsBlanks" dxfId="897" priority="1132" stopIfTrue="1">
      <formula>LEN(TRIM(J431))=0</formula>
    </cfRule>
  </conditionalFormatting>
  <conditionalFormatting sqref="E433:I433 K433:L433">
    <cfRule type="containsBlanks" dxfId="896" priority="1119" stopIfTrue="1">
      <formula>LEN(TRIM(E433))=0</formula>
    </cfRule>
    <cfRule type="cellIs" dxfId="895" priority="1120" stopIfTrue="1" operator="between">
      <formula>79.1</formula>
      <formula>100</formula>
    </cfRule>
    <cfRule type="cellIs" dxfId="894" priority="1121" stopIfTrue="1" operator="between">
      <formula>34.1</formula>
      <formula>79</formula>
    </cfRule>
    <cfRule type="cellIs" dxfId="893" priority="1122" stopIfTrue="1" operator="between">
      <formula>13.1</formula>
      <formula>34</formula>
    </cfRule>
    <cfRule type="cellIs" dxfId="892" priority="1123" stopIfTrue="1" operator="between">
      <formula>5.1</formula>
      <formula>13</formula>
    </cfRule>
    <cfRule type="cellIs" dxfId="891" priority="1124" stopIfTrue="1" operator="between">
      <formula>0</formula>
      <formula>5</formula>
    </cfRule>
    <cfRule type="containsBlanks" dxfId="890" priority="1125" stopIfTrue="1">
      <formula>LEN(TRIM(E433))=0</formula>
    </cfRule>
  </conditionalFormatting>
  <conditionalFormatting sqref="M433:O433">
    <cfRule type="containsBlanks" dxfId="889" priority="1112" stopIfTrue="1">
      <formula>LEN(TRIM(M433))=0</formula>
    </cfRule>
    <cfRule type="cellIs" dxfId="888" priority="1113" stopIfTrue="1" operator="between">
      <formula>79.1</formula>
      <formula>100</formula>
    </cfRule>
    <cfRule type="cellIs" dxfId="887" priority="1114" stopIfTrue="1" operator="between">
      <formula>34.1</formula>
      <formula>79</formula>
    </cfRule>
    <cfRule type="cellIs" dxfId="886" priority="1115" stopIfTrue="1" operator="between">
      <formula>13.1</formula>
      <formula>34</formula>
    </cfRule>
    <cfRule type="cellIs" dxfId="885" priority="1116" stopIfTrue="1" operator="between">
      <formula>5.1</formula>
      <formula>13</formula>
    </cfRule>
    <cfRule type="cellIs" dxfId="884" priority="1117" stopIfTrue="1" operator="between">
      <formula>0</formula>
      <formula>5</formula>
    </cfRule>
    <cfRule type="containsBlanks" dxfId="883" priority="1118" stopIfTrue="1">
      <formula>LEN(TRIM(M433))=0</formula>
    </cfRule>
  </conditionalFormatting>
  <conditionalFormatting sqref="J433">
    <cfRule type="containsBlanks" dxfId="882" priority="1105" stopIfTrue="1">
      <formula>LEN(TRIM(J433))=0</formula>
    </cfRule>
    <cfRule type="cellIs" dxfId="881" priority="1106" stopIfTrue="1" operator="between">
      <formula>79.1</formula>
      <formula>100</formula>
    </cfRule>
    <cfRule type="cellIs" dxfId="880" priority="1107" stopIfTrue="1" operator="between">
      <formula>34.1</formula>
      <formula>79</formula>
    </cfRule>
    <cfRule type="cellIs" dxfId="879" priority="1108" stopIfTrue="1" operator="between">
      <formula>13.1</formula>
      <formula>34</formula>
    </cfRule>
    <cfRule type="cellIs" dxfId="878" priority="1109" stopIfTrue="1" operator="between">
      <formula>5.1</formula>
      <formula>13</formula>
    </cfRule>
    <cfRule type="cellIs" dxfId="877" priority="1110" stopIfTrue="1" operator="between">
      <formula>0</formula>
      <formula>5</formula>
    </cfRule>
    <cfRule type="containsBlanks" dxfId="876" priority="1111" stopIfTrue="1">
      <formula>LEN(TRIM(J433))=0</formula>
    </cfRule>
  </conditionalFormatting>
  <conditionalFormatting sqref="E432:I432 K432:L432">
    <cfRule type="containsBlanks" dxfId="875" priority="1042" stopIfTrue="1">
      <formula>LEN(TRIM(E432))=0</formula>
    </cfRule>
    <cfRule type="cellIs" dxfId="874" priority="1043" stopIfTrue="1" operator="between">
      <formula>79.1</formula>
      <formula>100</formula>
    </cfRule>
    <cfRule type="cellIs" dxfId="873" priority="1044" stopIfTrue="1" operator="between">
      <formula>34.1</formula>
      <formula>79</formula>
    </cfRule>
    <cfRule type="cellIs" dxfId="872" priority="1045" stopIfTrue="1" operator="between">
      <formula>13.1</formula>
      <formula>34</formula>
    </cfRule>
    <cfRule type="cellIs" dxfId="871" priority="1046" stopIfTrue="1" operator="between">
      <formula>5.1</formula>
      <formula>13</formula>
    </cfRule>
    <cfRule type="cellIs" dxfId="870" priority="1047" stopIfTrue="1" operator="between">
      <formula>0</formula>
      <formula>5</formula>
    </cfRule>
    <cfRule type="containsBlanks" dxfId="869" priority="1048" stopIfTrue="1">
      <formula>LEN(TRIM(E432))=0</formula>
    </cfRule>
  </conditionalFormatting>
  <conditionalFormatting sqref="M432:O432">
    <cfRule type="containsBlanks" dxfId="868" priority="1035" stopIfTrue="1">
      <formula>LEN(TRIM(M432))=0</formula>
    </cfRule>
    <cfRule type="cellIs" dxfId="867" priority="1036" stopIfTrue="1" operator="between">
      <formula>79.1</formula>
      <formula>100</formula>
    </cfRule>
    <cfRule type="cellIs" dxfId="866" priority="1037" stopIfTrue="1" operator="between">
      <formula>34.1</formula>
      <formula>79</formula>
    </cfRule>
    <cfRule type="cellIs" dxfId="865" priority="1038" stopIfTrue="1" operator="between">
      <formula>13.1</formula>
      <formula>34</formula>
    </cfRule>
    <cfRule type="cellIs" dxfId="864" priority="1039" stopIfTrue="1" operator="between">
      <formula>5.1</formula>
      <formula>13</formula>
    </cfRule>
    <cfRule type="cellIs" dxfId="863" priority="1040" stopIfTrue="1" operator="between">
      <formula>0</formula>
      <formula>5</formula>
    </cfRule>
    <cfRule type="containsBlanks" dxfId="862" priority="1041" stopIfTrue="1">
      <formula>LEN(TRIM(M432))=0</formula>
    </cfRule>
  </conditionalFormatting>
  <conditionalFormatting sqref="J432">
    <cfRule type="containsBlanks" dxfId="861" priority="1028" stopIfTrue="1">
      <formula>LEN(TRIM(J432))=0</formula>
    </cfRule>
    <cfRule type="cellIs" dxfId="860" priority="1029" stopIfTrue="1" operator="between">
      <formula>79.1</formula>
      <formula>100</formula>
    </cfRule>
    <cfRule type="cellIs" dxfId="859" priority="1030" stopIfTrue="1" operator="between">
      <formula>34.1</formula>
      <formula>79</formula>
    </cfRule>
    <cfRule type="cellIs" dxfId="858" priority="1031" stopIfTrue="1" operator="between">
      <formula>13.1</formula>
      <formula>34</formula>
    </cfRule>
    <cfRule type="cellIs" dxfId="857" priority="1032" stopIfTrue="1" operator="between">
      <formula>5.1</formula>
      <formula>13</formula>
    </cfRule>
    <cfRule type="cellIs" dxfId="856" priority="1033" stopIfTrue="1" operator="between">
      <formula>0</formula>
      <formula>5</formula>
    </cfRule>
    <cfRule type="containsBlanks" dxfId="855" priority="1034" stopIfTrue="1">
      <formula>LEN(TRIM(J432))=0</formula>
    </cfRule>
  </conditionalFormatting>
  <conditionalFormatting sqref="E469:O469">
    <cfRule type="containsBlanks" dxfId="854" priority="951" stopIfTrue="1">
      <formula>LEN(TRIM(E469))=0</formula>
    </cfRule>
    <cfRule type="cellIs" dxfId="853" priority="952" stopIfTrue="1" operator="between">
      <formula>79.1</formula>
      <formula>100</formula>
    </cfRule>
    <cfRule type="cellIs" dxfId="852" priority="953" stopIfTrue="1" operator="between">
      <formula>34.1</formula>
      <formula>79</formula>
    </cfRule>
    <cfRule type="cellIs" dxfId="851" priority="954" stopIfTrue="1" operator="between">
      <formula>13.1</formula>
      <formula>34</formula>
    </cfRule>
    <cfRule type="cellIs" dxfId="850" priority="955" stopIfTrue="1" operator="between">
      <formula>5.1</formula>
      <formula>13</formula>
    </cfRule>
    <cfRule type="cellIs" dxfId="849" priority="956" stopIfTrue="1" operator="between">
      <formula>0</formula>
      <formula>5</formula>
    </cfRule>
    <cfRule type="containsBlanks" dxfId="848" priority="957" stopIfTrue="1">
      <formula>LEN(TRIM(E469))=0</formula>
    </cfRule>
  </conditionalFormatting>
  <conditionalFormatting sqref="E473:P473">
    <cfRule type="containsBlanks" dxfId="847" priority="944" stopIfTrue="1">
      <formula>LEN(TRIM(E473))=0</formula>
    </cfRule>
    <cfRule type="cellIs" dxfId="846" priority="945" stopIfTrue="1" operator="between">
      <formula>79.1</formula>
      <formula>100</formula>
    </cfRule>
    <cfRule type="cellIs" dxfId="845" priority="946" stopIfTrue="1" operator="between">
      <formula>34.1</formula>
      <formula>79</formula>
    </cfRule>
    <cfRule type="cellIs" dxfId="844" priority="947" stopIfTrue="1" operator="between">
      <formula>13.1</formula>
      <formula>34</formula>
    </cfRule>
    <cfRule type="cellIs" dxfId="843" priority="948" stopIfTrue="1" operator="between">
      <formula>5.1</formula>
      <formula>13</formula>
    </cfRule>
    <cfRule type="cellIs" dxfId="842" priority="949" stopIfTrue="1" operator="between">
      <formula>0</formula>
      <formula>5</formula>
    </cfRule>
    <cfRule type="containsBlanks" dxfId="841" priority="950" stopIfTrue="1">
      <formula>LEN(TRIM(E473))=0</formula>
    </cfRule>
  </conditionalFormatting>
  <conditionalFormatting sqref="E471:O471">
    <cfRule type="containsBlanks" dxfId="840" priority="937" stopIfTrue="1">
      <formula>LEN(TRIM(E471))=0</formula>
    </cfRule>
    <cfRule type="cellIs" dxfId="839" priority="938" stopIfTrue="1" operator="between">
      <formula>79.1</formula>
      <formula>100</formula>
    </cfRule>
    <cfRule type="cellIs" dxfId="838" priority="939" stopIfTrue="1" operator="between">
      <formula>34.1</formula>
      <formula>79</formula>
    </cfRule>
    <cfRule type="cellIs" dxfId="837" priority="940" stopIfTrue="1" operator="between">
      <formula>13.1</formula>
      <formula>34</formula>
    </cfRule>
    <cfRule type="cellIs" dxfId="836" priority="941" stopIfTrue="1" operator="between">
      <formula>5.1</formula>
      <formula>13</formula>
    </cfRule>
    <cfRule type="cellIs" dxfId="835" priority="942" stopIfTrue="1" operator="between">
      <formula>0</formula>
      <formula>5</formula>
    </cfRule>
    <cfRule type="containsBlanks" dxfId="834" priority="943" stopIfTrue="1">
      <formula>LEN(TRIM(E471))=0</formula>
    </cfRule>
  </conditionalFormatting>
  <conditionalFormatting sqref="E478:P478">
    <cfRule type="containsBlanks" dxfId="833" priority="930" stopIfTrue="1">
      <formula>LEN(TRIM(E478))=0</formula>
    </cfRule>
    <cfRule type="cellIs" dxfId="832" priority="931" stopIfTrue="1" operator="between">
      <formula>79.1</formula>
      <formula>100</formula>
    </cfRule>
    <cfRule type="cellIs" dxfId="831" priority="932" stopIfTrue="1" operator="between">
      <formula>34.1</formula>
      <formula>79</formula>
    </cfRule>
    <cfRule type="cellIs" dxfId="830" priority="933" stopIfTrue="1" operator="between">
      <formula>13.1</formula>
      <formula>34</formula>
    </cfRule>
    <cfRule type="cellIs" dxfId="829" priority="934" stopIfTrue="1" operator="between">
      <formula>5.1</formula>
      <formula>13</formula>
    </cfRule>
    <cfRule type="cellIs" dxfId="828" priority="935" stopIfTrue="1" operator="between">
      <formula>0</formula>
      <formula>5</formula>
    </cfRule>
    <cfRule type="containsBlanks" dxfId="827" priority="936" stopIfTrue="1">
      <formula>LEN(TRIM(E478))=0</formula>
    </cfRule>
  </conditionalFormatting>
  <conditionalFormatting sqref="E467:P467">
    <cfRule type="containsBlanks" dxfId="826" priority="923" stopIfTrue="1">
      <formula>LEN(TRIM(E467))=0</formula>
    </cfRule>
    <cfRule type="cellIs" dxfId="825" priority="924" stopIfTrue="1" operator="between">
      <formula>79.1</formula>
      <formula>100</formula>
    </cfRule>
    <cfRule type="cellIs" dxfId="824" priority="925" stopIfTrue="1" operator="between">
      <formula>34.1</formula>
      <formula>79</formula>
    </cfRule>
    <cfRule type="cellIs" dxfId="823" priority="926" stopIfTrue="1" operator="between">
      <formula>13.1</formula>
      <formula>34</formula>
    </cfRule>
    <cfRule type="cellIs" dxfId="822" priority="927" stopIfTrue="1" operator="between">
      <formula>5.1</formula>
      <formula>13</formula>
    </cfRule>
    <cfRule type="cellIs" dxfId="821" priority="928" stopIfTrue="1" operator="between">
      <formula>0</formula>
      <formula>5</formula>
    </cfRule>
    <cfRule type="containsBlanks" dxfId="820" priority="929" stopIfTrue="1">
      <formula>LEN(TRIM(E467))=0</formula>
    </cfRule>
  </conditionalFormatting>
  <conditionalFormatting sqref="E466:P466">
    <cfRule type="containsBlanks" dxfId="819" priority="916" stopIfTrue="1">
      <formula>LEN(TRIM(E466))=0</formula>
    </cfRule>
    <cfRule type="cellIs" dxfId="818" priority="917" stopIfTrue="1" operator="between">
      <formula>79.1</formula>
      <formula>100</formula>
    </cfRule>
    <cfRule type="cellIs" dxfId="817" priority="918" stopIfTrue="1" operator="between">
      <formula>34.1</formula>
      <formula>79</formula>
    </cfRule>
    <cfRule type="cellIs" dxfId="816" priority="919" stopIfTrue="1" operator="between">
      <formula>13.1</formula>
      <formula>34</formula>
    </cfRule>
    <cfRule type="cellIs" dxfId="815" priority="920" stopIfTrue="1" operator="between">
      <formula>5.1</formula>
      <formula>13</formula>
    </cfRule>
    <cfRule type="cellIs" dxfId="814" priority="921" stopIfTrue="1" operator="between">
      <formula>0</formula>
      <formula>5</formula>
    </cfRule>
    <cfRule type="containsBlanks" dxfId="813" priority="922" stopIfTrue="1">
      <formula>LEN(TRIM(E466))=0</formula>
    </cfRule>
  </conditionalFormatting>
  <conditionalFormatting sqref="E476:H476">
    <cfRule type="containsBlanks" dxfId="812" priority="909" stopIfTrue="1">
      <formula>LEN(TRIM(E476))=0</formula>
    </cfRule>
    <cfRule type="cellIs" dxfId="811" priority="910" stopIfTrue="1" operator="between">
      <formula>79.1</formula>
      <formula>100</formula>
    </cfRule>
    <cfRule type="cellIs" dxfId="810" priority="911" stopIfTrue="1" operator="between">
      <formula>34.1</formula>
      <formula>79</formula>
    </cfRule>
    <cfRule type="cellIs" dxfId="809" priority="912" stopIfTrue="1" operator="between">
      <formula>13.1</formula>
      <formula>34</formula>
    </cfRule>
    <cfRule type="cellIs" dxfId="808" priority="913" stopIfTrue="1" operator="between">
      <formula>5.1</formula>
      <formula>13</formula>
    </cfRule>
    <cfRule type="cellIs" dxfId="807" priority="914" stopIfTrue="1" operator="between">
      <formula>0</formula>
      <formula>5</formula>
    </cfRule>
    <cfRule type="containsBlanks" dxfId="806" priority="915" stopIfTrue="1">
      <formula>LEN(TRIM(E476))=0</formula>
    </cfRule>
  </conditionalFormatting>
  <conditionalFormatting sqref="E470:O470">
    <cfRule type="containsBlanks" dxfId="805" priority="902" stopIfTrue="1">
      <formula>LEN(TRIM(E470))=0</formula>
    </cfRule>
    <cfRule type="cellIs" dxfId="804" priority="903" stopIfTrue="1" operator="between">
      <formula>79.1</formula>
      <formula>100</formula>
    </cfRule>
    <cfRule type="cellIs" dxfId="803" priority="904" stopIfTrue="1" operator="between">
      <formula>34.1</formula>
      <formula>79</formula>
    </cfRule>
    <cfRule type="cellIs" dxfId="802" priority="905" stopIfTrue="1" operator="between">
      <formula>13.1</formula>
      <formula>34</formula>
    </cfRule>
    <cfRule type="cellIs" dxfId="801" priority="906" stopIfTrue="1" operator="between">
      <formula>5.1</formula>
      <formula>13</formula>
    </cfRule>
    <cfRule type="cellIs" dxfId="800" priority="907" stopIfTrue="1" operator="between">
      <formula>0</formula>
      <formula>5</formula>
    </cfRule>
    <cfRule type="containsBlanks" dxfId="799" priority="908" stopIfTrue="1">
      <formula>LEN(TRIM(E470))=0</formula>
    </cfRule>
  </conditionalFormatting>
  <conditionalFormatting sqref="E480:P480">
    <cfRule type="containsBlanks" dxfId="798" priority="895" stopIfTrue="1">
      <formula>LEN(TRIM(E480))=0</formula>
    </cfRule>
    <cfRule type="cellIs" dxfId="797" priority="896" stopIfTrue="1" operator="between">
      <formula>79.1</formula>
      <formula>100</formula>
    </cfRule>
    <cfRule type="cellIs" dxfId="796" priority="897" stopIfTrue="1" operator="between">
      <formula>34.1</formula>
      <formula>79</formula>
    </cfRule>
    <cfRule type="cellIs" dxfId="795" priority="898" stopIfTrue="1" operator="between">
      <formula>13.1</formula>
      <formula>34</formula>
    </cfRule>
    <cfRule type="cellIs" dxfId="794" priority="899" stopIfTrue="1" operator="between">
      <formula>5.1</formula>
      <formula>13</formula>
    </cfRule>
    <cfRule type="cellIs" dxfId="793" priority="900" stopIfTrue="1" operator="between">
      <formula>0</formula>
      <formula>5</formula>
    </cfRule>
    <cfRule type="containsBlanks" dxfId="792" priority="901" stopIfTrue="1">
      <formula>LEN(TRIM(E480))=0</formula>
    </cfRule>
  </conditionalFormatting>
  <conditionalFormatting sqref="R232">
    <cfRule type="cellIs" dxfId="791" priority="893" stopIfTrue="1" operator="equal">
      <formula>"NO"</formula>
    </cfRule>
  </conditionalFormatting>
  <conditionalFormatting sqref="Q232">
    <cfRule type="containsBlanks" dxfId="790" priority="880" stopIfTrue="1">
      <formula>LEN(TRIM(Q232))=0</formula>
    </cfRule>
    <cfRule type="cellIs" dxfId="789" priority="881" stopIfTrue="1" operator="between">
      <formula>79.1</formula>
      <formula>100</formula>
    </cfRule>
    <cfRule type="cellIs" dxfId="788" priority="882" stopIfTrue="1" operator="between">
      <formula>34.1</formula>
      <formula>79</formula>
    </cfRule>
    <cfRule type="cellIs" dxfId="787" priority="883" stopIfTrue="1" operator="between">
      <formula>13.1</formula>
      <formula>34</formula>
    </cfRule>
    <cfRule type="cellIs" dxfId="786" priority="884" stopIfTrue="1" operator="between">
      <formula>5.1</formula>
      <formula>13</formula>
    </cfRule>
    <cfRule type="cellIs" dxfId="785" priority="885" stopIfTrue="1" operator="between">
      <formula>0</formula>
      <formula>5</formula>
    </cfRule>
    <cfRule type="containsBlanks" dxfId="784" priority="886" stopIfTrue="1">
      <formula>LEN(TRIM(Q232))=0</formula>
    </cfRule>
  </conditionalFormatting>
  <conditionalFormatting sqref="R233">
    <cfRule type="cellIs" dxfId="783" priority="878" stopIfTrue="1" operator="equal">
      <formula>"NO"</formula>
    </cfRule>
  </conditionalFormatting>
  <conditionalFormatting sqref="Q233">
    <cfRule type="containsBlanks" dxfId="782" priority="865" stopIfTrue="1">
      <formula>LEN(TRIM(Q233))=0</formula>
    </cfRule>
    <cfRule type="cellIs" dxfId="781" priority="866" stopIfTrue="1" operator="between">
      <formula>79.1</formula>
      <formula>100</formula>
    </cfRule>
    <cfRule type="cellIs" dxfId="780" priority="867" stopIfTrue="1" operator="between">
      <formula>34.1</formula>
      <formula>79</formula>
    </cfRule>
    <cfRule type="cellIs" dxfId="779" priority="868" stopIfTrue="1" operator="between">
      <formula>13.1</formula>
      <formula>34</formula>
    </cfRule>
    <cfRule type="cellIs" dxfId="778" priority="869" stopIfTrue="1" operator="between">
      <formula>5.1</formula>
      <formula>13</formula>
    </cfRule>
    <cfRule type="cellIs" dxfId="777" priority="870" stopIfTrue="1" operator="between">
      <formula>0</formula>
      <formula>5</formula>
    </cfRule>
    <cfRule type="containsBlanks" dxfId="776" priority="871" stopIfTrue="1">
      <formula>LEN(TRIM(Q233))=0</formula>
    </cfRule>
  </conditionalFormatting>
  <conditionalFormatting sqref="R12">
    <cfRule type="cellIs" dxfId="775" priority="812" stopIfTrue="1" operator="equal">
      <formula>"NO"</formula>
    </cfRule>
  </conditionalFormatting>
  <conditionalFormatting sqref="S12">
    <cfRule type="cellIs" dxfId="774" priority="811" stopIfTrue="1" operator="equal">
      <formula>"INVIABLE SANITARIAMENTE"</formula>
    </cfRule>
  </conditionalFormatting>
  <conditionalFormatting sqref="Q12">
    <cfRule type="containsBlanks" dxfId="773" priority="804" stopIfTrue="1">
      <formula>LEN(TRIM(Q12))=0</formula>
    </cfRule>
    <cfRule type="cellIs" dxfId="772" priority="805" stopIfTrue="1" operator="between">
      <formula>80.1</formula>
      <formula>100</formula>
    </cfRule>
    <cfRule type="cellIs" dxfId="771" priority="806" stopIfTrue="1" operator="between">
      <formula>35.1</formula>
      <formula>80</formula>
    </cfRule>
    <cfRule type="cellIs" dxfId="770" priority="807" stopIfTrue="1" operator="between">
      <formula>14.1</formula>
      <formula>35</formula>
    </cfRule>
    <cfRule type="cellIs" dxfId="769" priority="808" stopIfTrue="1" operator="between">
      <formula>5.1</formula>
      <formula>14</formula>
    </cfRule>
    <cfRule type="cellIs" dxfId="768" priority="809" stopIfTrue="1" operator="between">
      <formula>0</formula>
      <formula>5</formula>
    </cfRule>
    <cfRule type="containsBlanks" dxfId="767" priority="810" stopIfTrue="1">
      <formula>LEN(TRIM(Q12))=0</formula>
    </cfRule>
  </conditionalFormatting>
  <conditionalFormatting sqref="S12">
    <cfRule type="containsText" dxfId="766" priority="799" stopIfTrue="1" operator="containsText" text="INVIABLE SANITARIAMENTE">
      <formula>NOT(ISERROR(SEARCH("INVIABLE SANITARIAMENTE",S12)))</formula>
    </cfRule>
    <cfRule type="containsText" dxfId="765" priority="800" stopIfTrue="1" operator="containsText" text="ALTO">
      <formula>NOT(ISERROR(SEARCH("ALTO",S12)))</formula>
    </cfRule>
    <cfRule type="containsText" dxfId="764" priority="801" stopIfTrue="1" operator="containsText" text="MEDIO">
      <formula>NOT(ISERROR(SEARCH("MEDIO",S12)))</formula>
    </cfRule>
    <cfRule type="containsText" dxfId="763" priority="802" stopIfTrue="1" operator="containsText" text="BAJO">
      <formula>NOT(ISERROR(SEARCH("BAJO",S12)))</formula>
    </cfRule>
    <cfRule type="containsText" dxfId="762" priority="803" stopIfTrue="1" operator="containsText" text="SIN RIESGO">
      <formula>NOT(ISERROR(SEARCH("SIN RIESGO",S12)))</formula>
    </cfRule>
  </conditionalFormatting>
  <conditionalFormatting sqref="S12">
    <cfRule type="containsText" dxfId="761" priority="798" stopIfTrue="1" operator="containsText" text="SIN RIESGO">
      <formula>NOT(ISERROR(SEARCH("SIN RIESGO",S12)))</formula>
    </cfRule>
  </conditionalFormatting>
  <conditionalFormatting sqref="R13:R61 R72:R106 R108 R110:R131">
    <cfRule type="cellIs" dxfId="760" priority="797" stopIfTrue="1" operator="equal">
      <formula>"NO"</formula>
    </cfRule>
  </conditionalFormatting>
  <conditionalFormatting sqref="S13:S67 S149:S201 S203:S345 S505:S547 S551:S568 S71:S106 S108 S110:S143 S348:S440 S443:S451 S453:S503">
    <cfRule type="cellIs" dxfId="759" priority="796" stopIfTrue="1" operator="equal">
      <formula>"INVIABLE SANITARIAMENTE"</formula>
    </cfRule>
  </conditionalFormatting>
  <conditionalFormatting sqref="S13:S67 S149:S201 S203:S345 S505:S547 S551:S568 S71:S106 S108 S110:S143 S348:S440 S443:S451 S453:S503">
    <cfRule type="containsText" dxfId="758" priority="784" stopIfTrue="1" operator="containsText" text="INVIABLE SANITARIAMENTE">
      <formula>NOT(ISERROR(SEARCH("INVIABLE SANITARIAMENTE",S13)))</formula>
    </cfRule>
    <cfRule type="containsText" dxfId="757" priority="785" stopIfTrue="1" operator="containsText" text="ALTO">
      <formula>NOT(ISERROR(SEARCH("ALTO",S13)))</formula>
    </cfRule>
    <cfRule type="containsText" dxfId="756" priority="786" stopIfTrue="1" operator="containsText" text="MEDIO">
      <formula>NOT(ISERROR(SEARCH("MEDIO",S13)))</formula>
    </cfRule>
    <cfRule type="containsText" dxfId="755" priority="787" stopIfTrue="1" operator="containsText" text="BAJO">
      <formula>NOT(ISERROR(SEARCH("BAJO",S13)))</formula>
    </cfRule>
    <cfRule type="containsText" dxfId="754" priority="788" stopIfTrue="1" operator="containsText" text="SIN RIESGO">
      <formula>NOT(ISERROR(SEARCH("SIN RIESGO",S13)))</formula>
    </cfRule>
  </conditionalFormatting>
  <conditionalFormatting sqref="S13:S67 S149:S201 S203:S345 S505:S547 S551:S568 S71:S106 S108 S110:S143 S348:S440 S443:S451 S453:S503">
    <cfRule type="containsText" dxfId="753" priority="783" stopIfTrue="1" operator="containsText" text="SIN RIESGO">
      <formula>NOT(ISERROR(SEARCH("SIN RIESGO",S13)))</formula>
    </cfRule>
  </conditionalFormatting>
  <conditionalFormatting sqref="K12:P61">
    <cfRule type="containsBlanks" dxfId="752" priority="776" stopIfTrue="1">
      <formula>LEN(TRIM(K12))=0</formula>
    </cfRule>
    <cfRule type="cellIs" dxfId="751" priority="777" stopIfTrue="1" operator="between">
      <formula>80.1</formula>
      <formula>100</formula>
    </cfRule>
    <cfRule type="cellIs" dxfId="750" priority="778" stopIfTrue="1" operator="between">
      <formula>35.1</formula>
      <formula>80</formula>
    </cfRule>
    <cfRule type="cellIs" dxfId="749" priority="779" stopIfTrue="1" operator="between">
      <formula>14.1</formula>
      <formula>35</formula>
    </cfRule>
    <cfRule type="cellIs" dxfId="748" priority="780" stopIfTrue="1" operator="between">
      <formula>5.1</formula>
      <formula>14</formula>
    </cfRule>
    <cfRule type="cellIs" dxfId="747" priority="781" stopIfTrue="1" operator="between">
      <formula>0</formula>
      <formula>5</formula>
    </cfRule>
    <cfRule type="containsBlanks" dxfId="746" priority="782" stopIfTrue="1">
      <formula>LEN(TRIM(K12))=0</formula>
    </cfRule>
  </conditionalFormatting>
  <conditionalFormatting sqref="E12:J28 H29:J29 E29:F29 E30:J61">
    <cfRule type="containsBlanks" dxfId="745" priority="769" stopIfTrue="1">
      <formula>LEN(TRIM(E12))=0</formula>
    </cfRule>
    <cfRule type="cellIs" dxfId="744" priority="770" stopIfTrue="1" operator="between">
      <formula>80.1</formula>
      <formula>100</formula>
    </cfRule>
    <cfRule type="cellIs" dxfId="743" priority="771" stopIfTrue="1" operator="between">
      <formula>35.1</formula>
      <formula>80</formula>
    </cfRule>
    <cfRule type="cellIs" dxfId="742" priority="772" stopIfTrue="1" operator="between">
      <formula>14.1</formula>
      <formula>35</formula>
    </cfRule>
    <cfRule type="cellIs" dxfId="741" priority="773" stopIfTrue="1" operator="between">
      <formula>5.1</formula>
      <formula>14</formula>
    </cfRule>
    <cfRule type="cellIs" dxfId="740" priority="774" stopIfTrue="1" operator="between">
      <formula>0</formula>
      <formula>5</formula>
    </cfRule>
    <cfRule type="containsBlanks" dxfId="739" priority="775" stopIfTrue="1">
      <formula>LEN(TRIM(E12))=0</formula>
    </cfRule>
  </conditionalFormatting>
  <conditionalFormatting sqref="G29">
    <cfRule type="containsBlanks" dxfId="738" priority="762" stopIfTrue="1">
      <formula>LEN(TRIM(G29))=0</formula>
    </cfRule>
    <cfRule type="cellIs" dxfId="737" priority="763" stopIfTrue="1" operator="between">
      <formula>80.1</formula>
      <formula>100</formula>
    </cfRule>
    <cfRule type="cellIs" dxfId="736" priority="764" stopIfTrue="1" operator="between">
      <formula>35.1</formula>
      <formula>80</formula>
    </cfRule>
    <cfRule type="cellIs" dxfId="735" priority="765" stopIfTrue="1" operator="between">
      <formula>14.1</formula>
      <formula>35</formula>
    </cfRule>
    <cfRule type="cellIs" dxfId="734" priority="766" stopIfTrue="1" operator="between">
      <formula>5.1</formula>
      <formula>14</formula>
    </cfRule>
    <cfRule type="cellIs" dxfId="733" priority="767" stopIfTrue="1" operator="between">
      <formula>0</formula>
      <formula>5</formula>
    </cfRule>
    <cfRule type="containsBlanks" dxfId="732" priority="768" stopIfTrue="1">
      <formula>LEN(TRIM(G29))=0</formula>
    </cfRule>
  </conditionalFormatting>
  <conditionalFormatting sqref="R62:R67 R71">
    <cfRule type="cellIs" dxfId="731" priority="761" stopIfTrue="1" operator="equal">
      <formula>"NO"</formula>
    </cfRule>
  </conditionalFormatting>
  <conditionalFormatting sqref="S62:S67 S149:S201 S203:S345 S505:S547 S551:S568 S71:S106 S108 S110:S143 S348:S440 S443:S451 S453:S503">
    <cfRule type="cellIs" dxfId="730" priority="760" stopIfTrue="1" operator="equal">
      <formula>"INVIABLE SANITARIAMENTE"</formula>
    </cfRule>
  </conditionalFormatting>
  <conditionalFormatting sqref="E62:Q67 E71:F71 H71:Q71">
    <cfRule type="containsBlanks" dxfId="729" priority="753" stopIfTrue="1">
      <formula>LEN(TRIM(E62))=0</formula>
    </cfRule>
    <cfRule type="cellIs" dxfId="728" priority="754" stopIfTrue="1" operator="between">
      <formula>80.1</formula>
      <formula>100</formula>
    </cfRule>
    <cfRule type="cellIs" dxfId="727" priority="755" stopIfTrue="1" operator="between">
      <formula>35.1</formula>
      <formula>80</formula>
    </cfRule>
    <cfRule type="cellIs" dxfId="726" priority="756" stopIfTrue="1" operator="between">
      <formula>14.1</formula>
      <formula>35</formula>
    </cfRule>
    <cfRule type="cellIs" dxfId="725" priority="757" stopIfTrue="1" operator="between">
      <formula>5.1</formula>
      <formula>14</formula>
    </cfRule>
    <cfRule type="cellIs" dxfId="724" priority="758" stopIfTrue="1" operator="between">
      <formula>0</formula>
      <formula>5</formula>
    </cfRule>
    <cfRule type="containsBlanks" dxfId="723" priority="759" stopIfTrue="1">
      <formula>LEN(TRIM(E62))=0</formula>
    </cfRule>
  </conditionalFormatting>
  <conditionalFormatting sqref="S62:S67 S149:S201 S203:S345 S505:S547 S551:S568 S71:S106 S108 S110:S143 S348:S440 S443:S451 S453:S503">
    <cfRule type="containsText" dxfId="722" priority="748" stopIfTrue="1" operator="containsText" text="INVIABLE SANITARIAMENTE">
      <formula>NOT(ISERROR(SEARCH("INVIABLE SANITARIAMENTE",S62)))</formula>
    </cfRule>
    <cfRule type="containsText" dxfId="721" priority="749" stopIfTrue="1" operator="containsText" text="ALTO">
      <formula>NOT(ISERROR(SEARCH("ALTO",S62)))</formula>
    </cfRule>
    <cfRule type="containsText" dxfId="720" priority="750" stopIfTrue="1" operator="containsText" text="MEDIO">
      <formula>NOT(ISERROR(SEARCH("MEDIO",S62)))</formula>
    </cfRule>
    <cfRule type="containsText" dxfId="719" priority="751" stopIfTrue="1" operator="containsText" text="BAJO">
      <formula>NOT(ISERROR(SEARCH("BAJO",S62)))</formula>
    </cfRule>
    <cfRule type="containsText" dxfId="718" priority="752" stopIfTrue="1" operator="containsText" text="SIN RIESGO">
      <formula>NOT(ISERROR(SEARCH("SIN RIESGO",S62)))</formula>
    </cfRule>
  </conditionalFormatting>
  <conditionalFormatting sqref="S62:S67 S149:S201 S203:S345 S505:S547 S551:S568 S71:S106 S108 S110:S143 S348:S440 S443:S451 S453:S503">
    <cfRule type="containsText" dxfId="717" priority="747" stopIfTrue="1" operator="containsText" text="SIN RIESGO">
      <formula>NOT(ISERROR(SEARCH("SIN RIESGO",S62)))</formula>
    </cfRule>
  </conditionalFormatting>
  <conditionalFormatting sqref="R423:R433">
    <cfRule type="cellIs" dxfId="716" priority="725" stopIfTrue="1" operator="equal">
      <formula>"NO"</formula>
    </cfRule>
  </conditionalFormatting>
  <conditionalFormatting sqref="E423:Q430 Q431:Q433">
    <cfRule type="containsBlanks" dxfId="715" priority="717" stopIfTrue="1">
      <formula>LEN(TRIM(E423))=0</formula>
    </cfRule>
    <cfRule type="cellIs" dxfId="714" priority="718" stopIfTrue="1" operator="between">
      <formula>80.1</formula>
      <formula>100</formula>
    </cfRule>
    <cfRule type="cellIs" dxfId="713" priority="719" stopIfTrue="1" operator="between">
      <formula>35.1</formula>
      <formula>80</formula>
    </cfRule>
    <cfRule type="cellIs" dxfId="712" priority="720" stopIfTrue="1" operator="between">
      <formula>14.1</formula>
      <formula>35</formula>
    </cfRule>
    <cfRule type="cellIs" dxfId="711" priority="721" stopIfTrue="1" operator="between">
      <formula>5.1</formula>
      <formula>14</formula>
    </cfRule>
    <cfRule type="cellIs" dxfId="710" priority="722" stopIfTrue="1" operator="between">
      <formula>0</formula>
      <formula>5</formula>
    </cfRule>
    <cfRule type="containsBlanks" dxfId="709" priority="723" stopIfTrue="1">
      <formula>LEN(TRIM(E423))=0</formula>
    </cfRule>
  </conditionalFormatting>
  <conditionalFormatting sqref="F62">
    <cfRule type="colorScale" priority="710">
      <colorScale>
        <cfvo type="min"/>
        <cfvo type="percentile" val="50"/>
        <cfvo type="max"/>
        <color rgb="FF63BE7B"/>
        <color rgb="FFFFEB84"/>
        <color rgb="FFF8696B"/>
      </colorScale>
    </cfRule>
  </conditionalFormatting>
  <conditionalFormatting sqref="R144">
    <cfRule type="cellIs" dxfId="708" priority="708" stopIfTrue="1" operator="equal">
      <formula>"NO"</formula>
    </cfRule>
  </conditionalFormatting>
  <conditionalFormatting sqref="S144">
    <cfRule type="cellIs" dxfId="707" priority="709" stopIfTrue="1" operator="equal">
      <formula>"INVIABLE SANITARIAMENTE"</formula>
    </cfRule>
  </conditionalFormatting>
  <conditionalFormatting sqref="Q144">
    <cfRule type="containsBlanks" dxfId="706" priority="701" stopIfTrue="1">
      <formula>LEN(TRIM(Q144))=0</formula>
    </cfRule>
    <cfRule type="cellIs" dxfId="705" priority="702" stopIfTrue="1" operator="between">
      <formula>80.1</formula>
      <formula>100</formula>
    </cfRule>
    <cfRule type="cellIs" dxfId="704" priority="703" stopIfTrue="1" operator="between">
      <formula>35.1</formula>
      <formula>80</formula>
    </cfRule>
    <cfRule type="cellIs" dxfId="703" priority="704" stopIfTrue="1" operator="between">
      <formula>14.1</formula>
      <formula>35</formula>
    </cfRule>
    <cfRule type="cellIs" dxfId="702" priority="705" stopIfTrue="1" operator="between">
      <formula>5.1</formula>
      <formula>14</formula>
    </cfRule>
    <cfRule type="cellIs" dxfId="701" priority="706" stopIfTrue="1" operator="between">
      <formula>0</formula>
      <formula>5</formula>
    </cfRule>
    <cfRule type="containsBlanks" dxfId="700" priority="707" stopIfTrue="1">
      <formula>LEN(TRIM(Q144))=0</formula>
    </cfRule>
  </conditionalFormatting>
  <conditionalFormatting sqref="S144">
    <cfRule type="containsText" dxfId="699" priority="696" stopIfTrue="1" operator="containsText" text="INVIABLE SANITARIAMENTE">
      <formula>NOT(ISERROR(SEARCH("INVIABLE SANITARIAMENTE",S144)))</formula>
    </cfRule>
    <cfRule type="containsText" dxfId="698" priority="697" stopIfTrue="1" operator="containsText" text="ALTO">
      <formula>NOT(ISERROR(SEARCH("ALTO",S144)))</formula>
    </cfRule>
    <cfRule type="containsText" dxfId="697" priority="698" stopIfTrue="1" operator="containsText" text="MEDIO">
      <formula>NOT(ISERROR(SEARCH("MEDIO",S144)))</formula>
    </cfRule>
    <cfRule type="containsText" dxfId="696" priority="699" stopIfTrue="1" operator="containsText" text="BAJO">
      <formula>NOT(ISERROR(SEARCH("BAJO",S144)))</formula>
    </cfRule>
    <cfRule type="containsText" dxfId="695" priority="700" stopIfTrue="1" operator="containsText" text="SIN RIESGO">
      <formula>NOT(ISERROR(SEARCH("SIN RIESGO",S144)))</formula>
    </cfRule>
  </conditionalFormatting>
  <conditionalFormatting sqref="S144">
    <cfRule type="containsText" dxfId="694" priority="695" stopIfTrue="1" operator="containsText" text="SIN RIESGO">
      <formula>NOT(ISERROR(SEARCH("SIN RIESGO",S144)))</formula>
    </cfRule>
  </conditionalFormatting>
  <conditionalFormatting sqref="E144:Q144">
    <cfRule type="containsBlanks" dxfId="693" priority="688" stopIfTrue="1">
      <formula>LEN(TRIM(E144))=0</formula>
    </cfRule>
    <cfRule type="cellIs" dxfId="692" priority="689" stopIfTrue="1" operator="between">
      <formula>79.1</formula>
      <formula>100</formula>
    </cfRule>
    <cfRule type="cellIs" dxfId="691" priority="690" stopIfTrue="1" operator="between">
      <formula>34.1</formula>
      <formula>79</formula>
    </cfRule>
    <cfRule type="cellIs" dxfId="690" priority="691" stopIfTrue="1" operator="between">
      <formula>13.1</formula>
      <formula>34</formula>
    </cfRule>
    <cfRule type="cellIs" dxfId="689" priority="692" stopIfTrue="1" operator="between">
      <formula>5.1</formula>
      <formula>13</formula>
    </cfRule>
    <cfRule type="cellIs" dxfId="688" priority="693" stopIfTrue="1" operator="between">
      <formula>0</formula>
      <formula>5</formula>
    </cfRule>
    <cfRule type="containsBlanks" dxfId="687" priority="694" stopIfTrue="1">
      <formula>LEN(TRIM(E144))=0</formula>
    </cfRule>
  </conditionalFormatting>
  <conditionalFormatting sqref="S144">
    <cfRule type="cellIs" dxfId="686" priority="687" stopIfTrue="1" operator="equal">
      <formula>"INVIABLE SANITARIAMENTE"</formula>
    </cfRule>
  </conditionalFormatting>
  <conditionalFormatting sqref="S144">
    <cfRule type="containsText" dxfId="685" priority="682" stopIfTrue="1" operator="containsText" text="INVIABLE SANITARIAMENTE">
      <formula>NOT(ISERROR(SEARCH("INVIABLE SANITARIAMENTE",S144)))</formula>
    </cfRule>
    <cfRule type="containsText" dxfId="684" priority="683" stopIfTrue="1" operator="containsText" text="ALTO">
      <formula>NOT(ISERROR(SEARCH("ALTO",S144)))</formula>
    </cfRule>
    <cfRule type="containsText" dxfId="683" priority="684" stopIfTrue="1" operator="containsText" text="MEDIO">
      <formula>NOT(ISERROR(SEARCH("MEDIO",S144)))</formula>
    </cfRule>
    <cfRule type="containsText" dxfId="682" priority="685" stopIfTrue="1" operator="containsText" text="BAJO">
      <formula>NOT(ISERROR(SEARCH("BAJO",S144)))</formula>
    </cfRule>
    <cfRule type="containsText" dxfId="681" priority="686" stopIfTrue="1" operator="containsText" text="SIN RIESGO">
      <formula>NOT(ISERROR(SEARCH("SIN RIESGO",S144)))</formula>
    </cfRule>
  </conditionalFormatting>
  <conditionalFormatting sqref="S144">
    <cfRule type="containsText" dxfId="680" priority="681" stopIfTrue="1" operator="containsText" text="SIN RIESGO">
      <formula>NOT(ISERROR(SEARCH("SIN RIESGO",S144)))</formula>
    </cfRule>
  </conditionalFormatting>
  <conditionalFormatting sqref="S144">
    <cfRule type="cellIs" dxfId="679" priority="680" stopIfTrue="1" operator="equal">
      <formula>"INVIABLE SANITARIAMENTE"</formula>
    </cfRule>
  </conditionalFormatting>
  <conditionalFormatting sqref="S144">
    <cfRule type="containsText" dxfId="678" priority="675" stopIfTrue="1" operator="containsText" text="INVIABLE SANITARIAMENTE">
      <formula>NOT(ISERROR(SEARCH("INVIABLE SANITARIAMENTE",S144)))</formula>
    </cfRule>
    <cfRule type="containsText" dxfId="677" priority="676" stopIfTrue="1" operator="containsText" text="ALTO">
      <formula>NOT(ISERROR(SEARCH("ALTO",S144)))</formula>
    </cfRule>
    <cfRule type="containsText" dxfId="676" priority="677" stopIfTrue="1" operator="containsText" text="MEDIO">
      <formula>NOT(ISERROR(SEARCH("MEDIO",S144)))</formula>
    </cfRule>
    <cfRule type="containsText" dxfId="675" priority="678" stopIfTrue="1" operator="containsText" text="BAJO">
      <formula>NOT(ISERROR(SEARCH("BAJO",S144)))</formula>
    </cfRule>
    <cfRule type="containsText" dxfId="674" priority="679" stopIfTrue="1" operator="containsText" text="SIN RIESGO">
      <formula>NOT(ISERROR(SEARCH("SIN RIESGO",S144)))</formula>
    </cfRule>
  </conditionalFormatting>
  <conditionalFormatting sqref="S144">
    <cfRule type="containsText" dxfId="673" priority="674" stopIfTrue="1" operator="containsText" text="SIN RIESGO">
      <formula>NOT(ISERROR(SEARCH("SIN RIESGO",S144)))</formula>
    </cfRule>
  </conditionalFormatting>
  <conditionalFormatting sqref="R145">
    <cfRule type="cellIs" dxfId="672" priority="672" stopIfTrue="1" operator="equal">
      <formula>"NO"</formula>
    </cfRule>
  </conditionalFormatting>
  <conditionalFormatting sqref="S145">
    <cfRule type="cellIs" dxfId="671" priority="673" stopIfTrue="1" operator="equal">
      <formula>"INVIABLE SANITARIAMENTE"</formula>
    </cfRule>
  </conditionalFormatting>
  <conditionalFormatting sqref="Q145">
    <cfRule type="containsBlanks" dxfId="670" priority="665" stopIfTrue="1">
      <formula>LEN(TRIM(Q145))=0</formula>
    </cfRule>
    <cfRule type="cellIs" dxfId="669" priority="666" stopIfTrue="1" operator="between">
      <formula>80.1</formula>
      <formula>100</formula>
    </cfRule>
    <cfRule type="cellIs" dxfId="668" priority="667" stopIfTrue="1" operator="between">
      <formula>35.1</formula>
      <formula>80</formula>
    </cfRule>
    <cfRule type="cellIs" dxfId="667" priority="668" stopIfTrue="1" operator="between">
      <formula>14.1</formula>
      <formula>35</formula>
    </cfRule>
    <cfRule type="cellIs" dxfId="666" priority="669" stopIfTrue="1" operator="between">
      <formula>5.1</formula>
      <formula>14</formula>
    </cfRule>
    <cfRule type="cellIs" dxfId="665" priority="670" stopIfTrue="1" operator="between">
      <formula>0</formula>
      <formula>5</formula>
    </cfRule>
    <cfRule type="containsBlanks" dxfId="664" priority="671" stopIfTrue="1">
      <formula>LEN(TRIM(Q145))=0</formula>
    </cfRule>
  </conditionalFormatting>
  <conditionalFormatting sqref="S145">
    <cfRule type="containsText" dxfId="663" priority="660" stopIfTrue="1" operator="containsText" text="INVIABLE SANITARIAMENTE">
      <formula>NOT(ISERROR(SEARCH("INVIABLE SANITARIAMENTE",S145)))</formula>
    </cfRule>
    <cfRule type="containsText" dxfId="662" priority="661" stopIfTrue="1" operator="containsText" text="ALTO">
      <formula>NOT(ISERROR(SEARCH("ALTO",S145)))</formula>
    </cfRule>
    <cfRule type="containsText" dxfId="661" priority="662" stopIfTrue="1" operator="containsText" text="MEDIO">
      <formula>NOT(ISERROR(SEARCH("MEDIO",S145)))</formula>
    </cfRule>
    <cfRule type="containsText" dxfId="660" priority="663" stopIfTrue="1" operator="containsText" text="BAJO">
      <formula>NOT(ISERROR(SEARCH("BAJO",S145)))</formula>
    </cfRule>
    <cfRule type="containsText" dxfId="659" priority="664" stopIfTrue="1" operator="containsText" text="SIN RIESGO">
      <formula>NOT(ISERROR(SEARCH("SIN RIESGO",S145)))</formula>
    </cfRule>
  </conditionalFormatting>
  <conditionalFormatting sqref="S145">
    <cfRule type="containsText" dxfId="658" priority="659" stopIfTrue="1" operator="containsText" text="SIN RIESGO">
      <formula>NOT(ISERROR(SEARCH("SIN RIESGO",S145)))</formula>
    </cfRule>
  </conditionalFormatting>
  <conditionalFormatting sqref="E145:Q145">
    <cfRule type="containsBlanks" dxfId="657" priority="652" stopIfTrue="1">
      <formula>LEN(TRIM(E145))=0</formula>
    </cfRule>
    <cfRule type="cellIs" dxfId="656" priority="653" stopIfTrue="1" operator="between">
      <formula>79.1</formula>
      <formula>100</formula>
    </cfRule>
    <cfRule type="cellIs" dxfId="655" priority="654" stopIfTrue="1" operator="between">
      <formula>34.1</formula>
      <formula>79</formula>
    </cfRule>
    <cfRule type="cellIs" dxfId="654" priority="655" stopIfTrue="1" operator="between">
      <formula>13.1</formula>
      <formula>34</formula>
    </cfRule>
    <cfRule type="cellIs" dxfId="653" priority="656" stopIfTrue="1" operator="between">
      <formula>5.1</formula>
      <formula>13</formula>
    </cfRule>
    <cfRule type="cellIs" dxfId="652" priority="657" stopIfTrue="1" operator="between">
      <formula>0</formula>
      <formula>5</formula>
    </cfRule>
    <cfRule type="containsBlanks" dxfId="651" priority="658" stopIfTrue="1">
      <formula>LEN(TRIM(E145))=0</formula>
    </cfRule>
  </conditionalFormatting>
  <conditionalFormatting sqref="S145">
    <cfRule type="cellIs" dxfId="650" priority="651" stopIfTrue="1" operator="equal">
      <formula>"INVIABLE SANITARIAMENTE"</formula>
    </cfRule>
  </conditionalFormatting>
  <conditionalFormatting sqref="S145">
    <cfRule type="containsText" dxfId="649" priority="646" stopIfTrue="1" operator="containsText" text="INVIABLE SANITARIAMENTE">
      <formula>NOT(ISERROR(SEARCH("INVIABLE SANITARIAMENTE",S145)))</formula>
    </cfRule>
    <cfRule type="containsText" dxfId="648" priority="647" stopIfTrue="1" operator="containsText" text="ALTO">
      <formula>NOT(ISERROR(SEARCH("ALTO",S145)))</formula>
    </cfRule>
    <cfRule type="containsText" dxfId="647" priority="648" stopIfTrue="1" operator="containsText" text="MEDIO">
      <formula>NOT(ISERROR(SEARCH("MEDIO",S145)))</formula>
    </cfRule>
    <cfRule type="containsText" dxfId="646" priority="649" stopIfTrue="1" operator="containsText" text="BAJO">
      <formula>NOT(ISERROR(SEARCH("BAJO",S145)))</formula>
    </cfRule>
    <cfRule type="containsText" dxfId="645" priority="650" stopIfTrue="1" operator="containsText" text="SIN RIESGO">
      <formula>NOT(ISERROR(SEARCH("SIN RIESGO",S145)))</formula>
    </cfRule>
  </conditionalFormatting>
  <conditionalFormatting sqref="S145">
    <cfRule type="containsText" dxfId="644" priority="645" stopIfTrue="1" operator="containsText" text="SIN RIESGO">
      <formula>NOT(ISERROR(SEARCH("SIN RIESGO",S145)))</formula>
    </cfRule>
  </conditionalFormatting>
  <conditionalFormatting sqref="S145">
    <cfRule type="cellIs" dxfId="643" priority="644" stopIfTrue="1" operator="equal">
      <formula>"INVIABLE SANITARIAMENTE"</formula>
    </cfRule>
  </conditionalFormatting>
  <conditionalFormatting sqref="S145">
    <cfRule type="containsText" dxfId="642" priority="639" stopIfTrue="1" operator="containsText" text="INVIABLE SANITARIAMENTE">
      <formula>NOT(ISERROR(SEARCH("INVIABLE SANITARIAMENTE",S145)))</formula>
    </cfRule>
    <cfRule type="containsText" dxfId="641" priority="640" stopIfTrue="1" operator="containsText" text="ALTO">
      <formula>NOT(ISERROR(SEARCH("ALTO",S145)))</formula>
    </cfRule>
    <cfRule type="containsText" dxfId="640" priority="641" stopIfTrue="1" operator="containsText" text="MEDIO">
      <formula>NOT(ISERROR(SEARCH("MEDIO",S145)))</formula>
    </cfRule>
    <cfRule type="containsText" dxfId="639" priority="642" stopIfTrue="1" operator="containsText" text="BAJO">
      <formula>NOT(ISERROR(SEARCH("BAJO",S145)))</formula>
    </cfRule>
    <cfRule type="containsText" dxfId="638" priority="643" stopIfTrue="1" operator="containsText" text="SIN RIESGO">
      <formula>NOT(ISERROR(SEARCH("SIN RIESGO",S145)))</formula>
    </cfRule>
  </conditionalFormatting>
  <conditionalFormatting sqref="S145">
    <cfRule type="containsText" dxfId="637" priority="638" stopIfTrue="1" operator="containsText" text="SIN RIESGO">
      <formula>NOT(ISERROR(SEARCH("SIN RIESGO",S145)))</formula>
    </cfRule>
  </conditionalFormatting>
  <conditionalFormatting sqref="R146">
    <cfRule type="cellIs" dxfId="636" priority="636" stopIfTrue="1" operator="equal">
      <formula>"NO"</formula>
    </cfRule>
  </conditionalFormatting>
  <conditionalFormatting sqref="S146">
    <cfRule type="cellIs" dxfId="635" priority="637" stopIfTrue="1" operator="equal">
      <formula>"INVIABLE SANITARIAMENTE"</formula>
    </cfRule>
  </conditionalFormatting>
  <conditionalFormatting sqref="Q146">
    <cfRule type="containsBlanks" dxfId="634" priority="629" stopIfTrue="1">
      <formula>LEN(TRIM(Q146))=0</formula>
    </cfRule>
    <cfRule type="cellIs" dxfId="633" priority="630" stopIfTrue="1" operator="between">
      <formula>80.1</formula>
      <formula>100</formula>
    </cfRule>
    <cfRule type="cellIs" dxfId="632" priority="631" stopIfTrue="1" operator="between">
      <formula>35.1</formula>
      <formula>80</formula>
    </cfRule>
    <cfRule type="cellIs" dxfId="631" priority="632" stopIfTrue="1" operator="between">
      <formula>14.1</formula>
      <formula>35</formula>
    </cfRule>
    <cfRule type="cellIs" dxfId="630" priority="633" stopIfTrue="1" operator="between">
      <formula>5.1</formula>
      <formula>14</formula>
    </cfRule>
    <cfRule type="cellIs" dxfId="629" priority="634" stopIfTrue="1" operator="between">
      <formula>0</formula>
      <formula>5</formula>
    </cfRule>
    <cfRule type="containsBlanks" dxfId="628" priority="635" stopIfTrue="1">
      <formula>LEN(TRIM(Q146))=0</formula>
    </cfRule>
  </conditionalFormatting>
  <conditionalFormatting sqref="S146">
    <cfRule type="containsText" dxfId="627" priority="624" stopIfTrue="1" operator="containsText" text="INVIABLE SANITARIAMENTE">
      <formula>NOT(ISERROR(SEARCH("INVIABLE SANITARIAMENTE",S146)))</formula>
    </cfRule>
    <cfRule type="containsText" dxfId="626" priority="625" stopIfTrue="1" operator="containsText" text="ALTO">
      <formula>NOT(ISERROR(SEARCH("ALTO",S146)))</formula>
    </cfRule>
    <cfRule type="containsText" dxfId="625" priority="626" stopIfTrue="1" operator="containsText" text="MEDIO">
      <formula>NOT(ISERROR(SEARCH("MEDIO",S146)))</formula>
    </cfRule>
    <cfRule type="containsText" dxfId="624" priority="627" stopIfTrue="1" operator="containsText" text="BAJO">
      <formula>NOT(ISERROR(SEARCH("BAJO",S146)))</formula>
    </cfRule>
    <cfRule type="containsText" dxfId="623" priority="628" stopIfTrue="1" operator="containsText" text="SIN RIESGO">
      <formula>NOT(ISERROR(SEARCH("SIN RIESGO",S146)))</formula>
    </cfRule>
  </conditionalFormatting>
  <conditionalFormatting sqref="S146">
    <cfRule type="containsText" dxfId="622" priority="623" stopIfTrue="1" operator="containsText" text="SIN RIESGO">
      <formula>NOT(ISERROR(SEARCH("SIN RIESGO",S146)))</formula>
    </cfRule>
  </conditionalFormatting>
  <conditionalFormatting sqref="E146:Q146">
    <cfRule type="containsBlanks" dxfId="621" priority="616" stopIfTrue="1">
      <formula>LEN(TRIM(E146))=0</formula>
    </cfRule>
    <cfRule type="cellIs" dxfId="620" priority="617" stopIfTrue="1" operator="between">
      <formula>79.1</formula>
      <formula>100</formula>
    </cfRule>
    <cfRule type="cellIs" dxfId="619" priority="618" stopIfTrue="1" operator="between">
      <formula>34.1</formula>
      <formula>79</formula>
    </cfRule>
    <cfRule type="cellIs" dxfId="618" priority="619" stopIfTrue="1" operator="between">
      <formula>13.1</formula>
      <formula>34</formula>
    </cfRule>
    <cfRule type="cellIs" dxfId="617" priority="620" stopIfTrue="1" operator="between">
      <formula>5.1</formula>
      <formula>13</formula>
    </cfRule>
    <cfRule type="cellIs" dxfId="616" priority="621" stopIfTrue="1" operator="between">
      <formula>0</formula>
      <formula>5</formula>
    </cfRule>
    <cfRule type="containsBlanks" dxfId="615" priority="622" stopIfTrue="1">
      <formula>LEN(TRIM(E146))=0</formula>
    </cfRule>
  </conditionalFormatting>
  <conditionalFormatting sqref="S146">
    <cfRule type="cellIs" dxfId="614" priority="615" stopIfTrue="1" operator="equal">
      <formula>"INVIABLE SANITARIAMENTE"</formula>
    </cfRule>
  </conditionalFormatting>
  <conditionalFormatting sqref="S146">
    <cfRule type="containsText" dxfId="613" priority="610" stopIfTrue="1" operator="containsText" text="INVIABLE SANITARIAMENTE">
      <formula>NOT(ISERROR(SEARCH("INVIABLE SANITARIAMENTE",S146)))</formula>
    </cfRule>
    <cfRule type="containsText" dxfId="612" priority="611" stopIfTrue="1" operator="containsText" text="ALTO">
      <formula>NOT(ISERROR(SEARCH("ALTO",S146)))</formula>
    </cfRule>
    <cfRule type="containsText" dxfId="611" priority="612" stopIfTrue="1" operator="containsText" text="MEDIO">
      <formula>NOT(ISERROR(SEARCH("MEDIO",S146)))</formula>
    </cfRule>
    <cfRule type="containsText" dxfId="610" priority="613" stopIfTrue="1" operator="containsText" text="BAJO">
      <formula>NOT(ISERROR(SEARCH("BAJO",S146)))</formula>
    </cfRule>
    <cfRule type="containsText" dxfId="609" priority="614" stopIfTrue="1" operator="containsText" text="SIN RIESGO">
      <formula>NOT(ISERROR(SEARCH("SIN RIESGO",S146)))</formula>
    </cfRule>
  </conditionalFormatting>
  <conditionalFormatting sqref="S146">
    <cfRule type="containsText" dxfId="608" priority="609" stopIfTrue="1" operator="containsText" text="SIN RIESGO">
      <formula>NOT(ISERROR(SEARCH("SIN RIESGO",S146)))</formula>
    </cfRule>
  </conditionalFormatting>
  <conditionalFormatting sqref="S146">
    <cfRule type="cellIs" dxfId="607" priority="608" stopIfTrue="1" operator="equal">
      <formula>"INVIABLE SANITARIAMENTE"</formula>
    </cfRule>
  </conditionalFormatting>
  <conditionalFormatting sqref="S146">
    <cfRule type="containsText" dxfId="606" priority="603" stopIfTrue="1" operator="containsText" text="INVIABLE SANITARIAMENTE">
      <formula>NOT(ISERROR(SEARCH("INVIABLE SANITARIAMENTE",S146)))</formula>
    </cfRule>
    <cfRule type="containsText" dxfId="605" priority="604" stopIfTrue="1" operator="containsText" text="ALTO">
      <formula>NOT(ISERROR(SEARCH("ALTO",S146)))</formula>
    </cfRule>
    <cfRule type="containsText" dxfId="604" priority="605" stopIfTrue="1" operator="containsText" text="MEDIO">
      <formula>NOT(ISERROR(SEARCH("MEDIO",S146)))</formula>
    </cfRule>
    <cfRule type="containsText" dxfId="603" priority="606" stopIfTrue="1" operator="containsText" text="BAJO">
      <formula>NOT(ISERROR(SEARCH("BAJO",S146)))</formula>
    </cfRule>
    <cfRule type="containsText" dxfId="602" priority="607" stopIfTrue="1" operator="containsText" text="SIN RIESGO">
      <formula>NOT(ISERROR(SEARCH("SIN RIESGO",S146)))</formula>
    </cfRule>
  </conditionalFormatting>
  <conditionalFormatting sqref="S146">
    <cfRule type="containsText" dxfId="601" priority="602" stopIfTrue="1" operator="containsText" text="SIN RIESGO">
      <formula>NOT(ISERROR(SEARCH("SIN RIESGO",S146)))</formula>
    </cfRule>
  </conditionalFormatting>
  <conditionalFormatting sqref="R147">
    <cfRule type="cellIs" dxfId="600" priority="600" stopIfTrue="1" operator="equal">
      <formula>"NO"</formula>
    </cfRule>
  </conditionalFormatting>
  <conditionalFormatting sqref="S147">
    <cfRule type="cellIs" dxfId="599" priority="601" stopIfTrue="1" operator="equal">
      <formula>"INVIABLE SANITARIAMENTE"</formula>
    </cfRule>
  </conditionalFormatting>
  <conditionalFormatting sqref="Q147">
    <cfRule type="containsBlanks" dxfId="598" priority="593" stopIfTrue="1">
      <formula>LEN(TRIM(Q147))=0</formula>
    </cfRule>
    <cfRule type="cellIs" dxfId="597" priority="594" stopIfTrue="1" operator="between">
      <formula>80.1</formula>
      <formula>100</formula>
    </cfRule>
    <cfRule type="cellIs" dxfId="596" priority="595" stopIfTrue="1" operator="between">
      <formula>35.1</formula>
      <formula>80</formula>
    </cfRule>
    <cfRule type="cellIs" dxfId="595" priority="596" stopIfTrue="1" operator="between">
      <formula>14.1</formula>
      <formula>35</formula>
    </cfRule>
    <cfRule type="cellIs" dxfId="594" priority="597" stopIfTrue="1" operator="between">
      <formula>5.1</formula>
      <formula>14</formula>
    </cfRule>
    <cfRule type="cellIs" dxfId="593" priority="598" stopIfTrue="1" operator="between">
      <formula>0</formula>
      <formula>5</formula>
    </cfRule>
    <cfRule type="containsBlanks" dxfId="592" priority="599" stopIfTrue="1">
      <formula>LEN(TRIM(Q147))=0</formula>
    </cfRule>
  </conditionalFormatting>
  <conditionalFormatting sqref="S147">
    <cfRule type="containsText" dxfId="591" priority="588" stopIfTrue="1" operator="containsText" text="INVIABLE SANITARIAMENTE">
      <formula>NOT(ISERROR(SEARCH("INVIABLE SANITARIAMENTE",S147)))</formula>
    </cfRule>
    <cfRule type="containsText" dxfId="590" priority="589" stopIfTrue="1" operator="containsText" text="ALTO">
      <formula>NOT(ISERROR(SEARCH("ALTO",S147)))</formula>
    </cfRule>
    <cfRule type="containsText" dxfId="589" priority="590" stopIfTrue="1" operator="containsText" text="MEDIO">
      <formula>NOT(ISERROR(SEARCH("MEDIO",S147)))</formula>
    </cfRule>
    <cfRule type="containsText" dxfId="588" priority="591" stopIfTrue="1" operator="containsText" text="BAJO">
      <formula>NOT(ISERROR(SEARCH("BAJO",S147)))</formula>
    </cfRule>
    <cfRule type="containsText" dxfId="587" priority="592" stopIfTrue="1" operator="containsText" text="SIN RIESGO">
      <formula>NOT(ISERROR(SEARCH("SIN RIESGO",S147)))</formula>
    </cfRule>
  </conditionalFormatting>
  <conditionalFormatting sqref="S147">
    <cfRule type="containsText" dxfId="586" priority="587" stopIfTrue="1" operator="containsText" text="SIN RIESGO">
      <formula>NOT(ISERROR(SEARCH("SIN RIESGO",S147)))</formula>
    </cfRule>
  </conditionalFormatting>
  <conditionalFormatting sqref="E147:Q147">
    <cfRule type="containsBlanks" dxfId="585" priority="580" stopIfTrue="1">
      <formula>LEN(TRIM(E147))=0</formula>
    </cfRule>
    <cfRule type="cellIs" dxfId="584" priority="581" stopIfTrue="1" operator="between">
      <formula>79.1</formula>
      <formula>100</formula>
    </cfRule>
    <cfRule type="cellIs" dxfId="583" priority="582" stopIfTrue="1" operator="between">
      <formula>34.1</formula>
      <formula>79</formula>
    </cfRule>
    <cfRule type="cellIs" dxfId="582" priority="583" stopIfTrue="1" operator="between">
      <formula>13.1</formula>
      <formula>34</formula>
    </cfRule>
    <cfRule type="cellIs" dxfId="581" priority="584" stopIfTrue="1" operator="between">
      <formula>5.1</formula>
      <formula>13</formula>
    </cfRule>
    <cfRule type="cellIs" dxfId="580" priority="585" stopIfTrue="1" operator="between">
      <formula>0</formula>
      <formula>5</formula>
    </cfRule>
    <cfRule type="containsBlanks" dxfId="579" priority="586" stopIfTrue="1">
      <formula>LEN(TRIM(E147))=0</formula>
    </cfRule>
  </conditionalFormatting>
  <conditionalFormatting sqref="S147">
    <cfRule type="cellIs" dxfId="578" priority="579" stopIfTrue="1" operator="equal">
      <formula>"INVIABLE SANITARIAMENTE"</formula>
    </cfRule>
  </conditionalFormatting>
  <conditionalFormatting sqref="S147">
    <cfRule type="containsText" dxfId="577" priority="574" stopIfTrue="1" operator="containsText" text="INVIABLE SANITARIAMENTE">
      <formula>NOT(ISERROR(SEARCH("INVIABLE SANITARIAMENTE",S147)))</formula>
    </cfRule>
    <cfRule type="containsText" dxfId="576" priority="575" stopIfTrue="1" operator="containsText" text="ALTO">
      <formula>NOT(ISERROR(SEARCH("ALTO",S147)))</formula>
    </cfRule>
    <cfRule type="containsText" dxfId="575" priority="576" stopIfTrue="1" operator="containsText" text="MEDIO">
      <formula>NOT(ISERROR(SEARCH("MEDIO",S147)))</formula>
    </cfRule>
    <cfRule type="containsText" dxfId="574" priority="577" stopIfTrue="1" operator="containsText" text="BAJO">
      <formula>NOT(ISERROR(SEARCH("BAJO",S147)))</formula>
    </cfRule>
    <cfRule type="containsText" dxfId="573" priority="578" stopIfTrue="1" operator="containsText" text="SIN RIESGO">
      <formula>NOT(ISERROR(SEARCH("SIN RIESGO",S147)))</formula>
    </cfRule>
  </conditionalFormatting>
  <conditionalFormatting sqref="S147">
    <cfRule type="containsText" dxfId="572" priority="573" stopIfTrue="1" operator="containsText" text="SIN RIESGO">
      <formula>NOT(ISERROR(SEARCH("SIN RIESGO",S147)))</formula>
    </cfRule>
  </conditionalFormatting>
  <conditionalFormatting sqref="S147">
    <cfRule type="cellIs" dxfId="571" priority="572" stopIfTrue="1" operator="equal">
      <formula>"INVIABLE SANITARIAMENTE"</formula>
    </cfRule>
  </conditionalFormatting>
  <conditionalFormatting sqref="S147">
    <cfRule type="containsText" dxfId="570" priority="567" stopIfTrue="1" operator="containsText" text="INVIABLE SANITARIAMENTE">
      <formula>NOT(ISERROR(SEARCH("INVIABLE SANITARIAMENTE",S147)))</formula>
    </cfRule>
    <cfRule type="containsText" dxfId="569" priority="568" stopIfTrue="1" operator="containsText" text="ALTO">
      <formula>NOT(ISERROR(SEARCH("ALTO",S147)))</formula>
    </cfRule>
    <cfRule type="containsText" dxfId="568" priority="569" stopIfTrue="1" operator="containsText" text="MEDIO">
      <formula>NOT(ISERROR(SEARCH("MEDIO",S147)))</formula>
    </cfRule>
    <cfRule type="containsText" dxfId="567" priority="570" stopIfTrue="1" operator="containsText" text="BAJO">
      <formula>NOT(ISERROR(SEARCH("BAJO",S147)))</formula>
    </cfRule>
    <cfRule type="containsText" dxfId="566" priority="571" stopIfTrue="1" operator="containsText" text="SIN RIESGO">
      <formula>NOT(ISERROR(SEARCH("SIN RIESGO",S147)))</formula>
    </cfRule>
  </conditionalFormatting>
  <conditionalFormatting sqref="S147">
    <cfRule type="containsText" dxfId="565" priority="566" stopIfTrue="1" operator="containsText" text="SIN RIESGO">
      <formula>NOT(ISERROR(SEARCH("SIN RIESGO",S147)))</formula>
    </cfRule>
  </conditionalFormatting>
  <conditionalFormatting sqref="R148">
    <cfRule type="cellIs" dxfId="564" priority="564" stopIfTrue="1" operator="equal">
      <formula>"NO"</formula>
    </cfRule>
  </conditionalFormatting>
  <conditionalFormatting sqref="S148">
    <cfRule type="cellIs" dxfId="563" priority="565" stopIfTrue="1" operator="equal">
      <formula>"INVIABLE SANITARIAMENTE"</formula>
    </cfRule>
  </conditionalFormatting>
  <conditionalFormatting sqref="Q148">
    <cfRule type="containsBlanks" dxfId="562" priority="557" stopIfTrue="1">
      <formula>LEN(TRIM(Q148))=0</formula>
    </cfRule>
    <cfRule type="cellIs" dxfId="561" priority="558" stopIfTrue="1" operator="between">
      <formula>80.1</formula>
      <formula>100</formula>
    </cfRule>
    <cfRule type="cellIs" dxfId="560" priority="559" stopIfTrue="1" operator="between">
      <formula>35.1</formula>
      <formula>80</formula>
    </cfRule>
    <cfRule type="cellIs" dxfId="559" priority="560" stopIfTrue="1" operator="between">
      <formula>14.1</formula>
      <formula>35</formula>
    </cfRule>
    <cfRule type="cellIs" dxfId="558" priority="561" stopIfTrue="1" operator="between">
      <formula>5.1</formula>
      <formula>14</formula>
    </cfRule>
    <cfRule type="cellIs" dxfId="557" priority="562" stopIfTrue="1" operator="between">
      <formula>0</formula>
      <formula>5</formula>
    </cfRule>
    <cfRule type="containsBlanks" dxfId="556" priority="563" stopIfTrue="1">
      <formula>LEN(TRIM(Q148))=0</formula>
    </cfRule>
  </conditionalFormatting>
  <conditionalFormatting sqref="S148">
    <cfRule type="containsText" dxfId="555" priority="552" stopIfTrue="1" operator="containsText" text="INVIABLE SANITARIAMENTE">
      <formula>NOT(ISERROR(SEARCH("INVIABLE SANITARIAMENTE",S148)))</formula>
    </cfRule>
    <cfRule type="containsText" dxfId="554" priority="553" stopIfTrue="1" operator="containsText" text="ALTO">
      <formula>NOT(ISERROR(SEARCH("ALTO",S148)))</formula>
    </cfRule>
    <cfRule type="containsText" dxfId="553" priority="554" stopIfTrue="1" operator="containsText" text="MEDIO">
      <formula>NOT(ISERROR(SEARCH("MEDIO",S148)))</formula>
    </cfRule>
    <cfRule type="containsText" dxfId="552" priority="555" stopIfTrue="1" operator="containsText" text="BAJO">
      <formula>NOT(ISERROR(SEARCH("BAJO",S148)))</formula>
    </cfRule>
    <cfRule type="containsText" dxfId="551" priority="556" stopIfTrue="1" operator="containsText" text="SIN RIESGO">
      <formula>NOT(ISERROR(SEARCH("SIN RIESGO",S148)))</formula>
    </cfRule>
  </conditionalFormatting>
  <conditionalFormatting sqref="S148">
    <cfRule type="containsText" dxfId="550" priority="551" stopIfTrue="1" operator="containsText" text="SIN RIESGO">
      <formula>NOT(ISERROR(SEARCH("SIN RIESGO",S148)))</formula>
    </cfRule>
  </conditionalFormatting>
  <conditionalFormatting sqref="E148:Q148">
    <cfRule type="containsBlanks" dxfId="549" priority="544" stopIfTrue="1">
      <formula>LEN(TRIM(E148))=0</formula>
    </cfRule>
    <cfRule type="cellIs" dxfId="548" priority="545" stopIfTrue="1" operator="between">
      <formula>79.1</formula>
      <formula>100</formula>
    </cfRule>
    <cfRule type="cellIs" dxfId="547" priority="546" stopIfTrue="1" operator="between">
      <formula>34.1</formula>
      <formula>79</formula>
    </cfRule>
    <cfRule type="cellIs" dxfId="546" priority="547" stopIfTrue="1" operator="between">
      <formula>13.1</formula>
      <formula>34</formula>
    </cfRule>
    <cfRule type="cellIs" dxfId="545" priority="548" stopIfTrue="1" operator="between">
      <formula>5.1</formula>
      <formula>13</formula>
    </cfRule>
    <cfRule type="cellIs" dxfId="544" priority="549" stopIfTrue="1" operator="between">
      <formula>0</formula>
      <formula>5</formula>
    </cfRule>
    <cfRule type="containsBlanks" dxfId="543" priority="550" stopIfTrue="1">
      <formula>LEN(TRIM(E148))=0</formula>
    </cfRule>
  </conditionalFormatting>
  <conditionalFormatting sqref="S148">
    <cfRule type="cellIs" dxfId="542" priority="543" stopIfTrue="1" operator="equal">
      <formula>"INVIABLE SANITARIAMENTE"</formula>
    </cfRule>
  </conditionalFormatting>
  <conditionalFormatting sqref="S148">
    <cfRule type="containsText" dxfId="541" priority="538" stopIfTrue="1" operator="containsText" text="INVIABLE SANITARIAMENTE">
      <formula>NOT(ISERROR(SEARCH("INVIABLE SANITARIAMENTE",S148)))</formula>
    </cfRule>
    <cfRule type="containsText" dxfId="540" priority="539" stopIfTrue="1" operator="containsText" text="ALTO">
      <formula>NOT(ISERROR(SEARCH("ALTO",S148)))</formula>
    </cfRule>
    <cfRule type="containsText" dxfId="539" priority="540" stopIfTrue="1" operator="containsText" text="MEDIO">
      <formula>NOT(ISERROR(SEARCH("MEDIO",S148)))</formula>
    </cfRule>
    <cfRule type="containsText" dxfId="538" priority="541" stopIfTrue="1" operator="containsText" text="BAJO">
      <formula>NOT(ISERROR(SEARCH("BAJO",S148)))</formula>
    </cfRule>
    <cfRule type="containsText" dxfId="537" priority="542" stopIfTrue="1" operator="containsText" text="SIN RIESGO">
      <formula>NOT(ISERROR(SEARCH("SIN RIESGO",S148)))</formula>
    </cfRule>
  </conditionalFormatting>
  <conditionalFormatting sqref="S148">
    <cfRule type="containsText" dxfId="536" priority="537" stopIfTrue="1" operator="containsText" text="SIN RIESGO">
      <formula>NOT(ISERROR(SEARCH("SIN RIESGO",S148)))</formula>
    </cfRule>
  </conditionalFormatting>
  <conditionalFormatting sqref="S148">
    <cfRule type="cellIs" dxfId="535" priority="536" stopIfTrue="1" operator="equal">
      <formula>"INVIABLE SANITARIAMENTE"</formula>
    </cfRule>
  </conditionalFormatting>
  <conditionalFormatting sqref="S148">
    <cfRule type="containsText" dxfId="534" priority="531" stopIfTrue="1" operator="containsText" text="INVIABLE SANITARIAMENTE">
      <formula>NOT(ISERROR(SEARCH("INVIABLE SANITARIAMENTE",S148)))</formula>
    </cfRule>
    <cfRule type="containsText" dxfId="533" priority="532" stopIfTrue="1" operator="containsText" text="ALTO">
      <formula>NOT(ISERROR(SEARCH("ALTO",S148)))</formula>
    </cfRule>
    <cfRule type="containsText" dxfId="532" priority="533" stopIfTrue="1" operator="containsText" text="MEDIO">
      <formula>NOT(ISERROR(SEARCH("MEDIO",S148)))</formula>
    </cfRule>
    <cfRule type="containsText" dxfId="531" priority="534" stopIfTrue="1" operator="containsText" text="BAJO">
      <formula>NOT(ISERROR(SEARCH("BAJO",S148)))</formula>
    </cfRule>
    <cfRule type="containsText" dxfId="530" priority="535" stopIfTrue="1" operator="containsText" text="SIN RIESGO">
      <formula>NOT(ISERROR(SEARCH("SIN RIESGO",S148)))</formula>
    </cfRule>
  </conditionalFormatting>
  <conditionalFormatting sqref="S148">
    <cfRule type="containsText" dxfId="529" priority="530" stopIfTrue="1" operator="containsText" text="SIN RIESGO">
      <formula>NOT(ISERROR(SEARCH("SIN RIESGO",S148)))</formula>
    </cfRule>
  </conditionalFormatting>
  <conditionalFormatting sqref="R202">
    <cfRule type="cellIs" dxfId="528" priority="528" stopIfTrue="1" operator="equal">
      <formula>"NO"</formula>
    </cfRule>
  </conditionalFormatting>
  <conditionalFormatting sqref="S202">
    <cfRule type="cellIs" dxfId="527" priority="529" stopIfTrue="1" operator="equal">
      <formula>"INVIABLE SANITARIAMENTE"</formula>
    </cfRule>
  </conditionalFormatting>
  <conditionalFormatting sqref="Q202">
    <cfRule type="containsBlanks" dxfId="526" priority="521" stopIfTrue="1">
      <formula>LEN(TRIM(Q202))=0</formula>
    </cfRule>
    <cfRule type="cellIs" dxfId="525" priority="522" stopIfTrue="1" operator="between">
      <formula>80.1</formula>
      <formula>100</formula>
    </cfRule>
    <cfRule type="cellIs" dxfId="524" priority="523" stopIfTrue="1" operator="between">
      <formula>35.1</formula>
      <formula>80</formula>
    </cfRule>
    <cfRule type="cellIs" dxfId="523" priority="524" stopIfTrue="1" operator="between">
      <formula>14.1</formula>
      <formula>35</formula>
    </cfRule>
    <cfRule type="cellIs" dxfId="522" priority="525" stopIfTrue="1" operator="between">
      <formula>5.1</formula>
      <formula>14</formula>
    </cfRule>
    <cfRule type="cellIs" dxfId="521" priority="526" stopIfTrue="1" operator="between">
      <formula>0</formula>
      <formula>5</formula>
    </cfRule>
    <cfRule type="containsBlanks" dxfId="520" priority="527" stopIfTrue="1">
      <formula>LEN(TRIM(Q202))=0</formula>
    </cfRule>
  </conditionalFormatting>
  <conditionalFormatting sqref="S202">
    <cfRule type="containsText" dxfId="519" priority="516" stopIfTrue="1" operator="containsText" text="INVIABLE SANITARIAMENTE">
      <formula>NOT(ISERROR(SEARCH("INVIABLE SANITARIAMENTE",S202)))</formula>
    </cfRule>
    <cfRule type="containsText" dxfId="518" priority="517" stopIfTrue="1" operator="containsText" text="ALTO">
      <formula>NOT(ISERROR(SEARCH("ALTO",S202)))</formula>
    </cfRule>
    <cfRule type="containsText" dxfId="517" priority="518" stopIfTrue="1" operator="containsText" text="MEDIO">
      <formula>NOT(ISERROR(SEARCH("MEDIO",S202)))</formula>
    </cfRule>
    <cfRule type="containsText" dxfId="516" priority="519" stopIfTrue="1" operator="containsText" text="BAJO">
      <formula>NOT(ISERROR(SEARCH("BAJO",S202)))</formula>
    </cfRule>
    <cfRule type="containsText" dxfId="515" priority="520" stopIfTrue="1" operator="containsText" text="SIN RIESGO">
      <formula>NOT(ISERROR(SEARCH("SIN RIESGO",S202)))</formula>
    </cfRule>
  </conditionalFormatting>
  <conditionalFormatting sqref="S202">
    <cfRule type="containsText" dxfId="514" priority="515" stopIfTrue="1" operator="containsText" text="SIN RIESGO">
      <formula>NOT(ISERROR(SEARCH("SIN RIESGO",S202)))</formula>
    </cfRule>
  </conditionalFormatting>
  <conditionalFormatting sqref="E202:Q202">
    <cfRule type="containsBlanks" dxfId="513" priority="508" stopIfTrue="1">
      <formula>LEN(TRIM(E202))=0</formula>
    </cfRule>
    <cfRule type="cellIs" dxfId="512" priority="509" stopIfTrue="1" operator="between">
      <formula>80.1</formula>
      <formula>100</formula>
    </cfRule>
    <cfRule type="cellIs" dxfId="511" priority="510" stopIfTrue="1" operator="between">
      <formula>35.1</formula>
      <formula>80</formula>
    </cfRule>
    <cfRule type="cellIs" dxfId="510" priority="511" stopIfTrue="1" operator="between">
      <formula>14.1</formula>
      <formula>35</formula>
    </cfRule>
    <cfRule type="cellIs" dxfId="509" priority="512" stopIfTrue="1" operator="between">
      <formula>5.1</formula>
      <formula>14</formula>
    </cfRule>
    <cfRule type="cellIs" dxfId="508" priority="513" stopIfTrue="1" operator="between">
      <formula>0</formula>
      <formula>5</formula>
    </cfRule>
    <cfRule type="containsBlanks" dxfId="507" priority="514" stopIfTrue="1">
      <formula>LEN(TRIM(E202))=0</formula>
    </cfRule>
  </conditionalFormatting>
  <conditionalFormatting sqref="S202">
    <cfRule type="cellIs" dxfId="506" priority="507" stopIfTrue="1" operator="equal">
      <formula>"INVIABLE SANITARIAMENTE"</formula>
    </cfRule>
  </conditionalFormatting>
  <conditionalFormatting sqref="S202">
    <cfRule type="containsText" dxfId="505" priority="502" stopIfTrue="1" operator="containsText" text="INVIABLE SANITARIAMENTE">
      <formula>NOT(ISERROR(SEARCH("INVIABLE SANITARIAMENTE",S202)))</formula>
    </cfRule>
    <cfRule type="containsText" dxfId="504" priority="503" stopIfTrue="1" operator="containsText" text="ALTO">
      <formula>NOT(ISERROR(SEARCH("ALTO",S202)))</formula>
    </cfRule>
    <cfRule type="containsText" dxfId="503" priority="504" stopIfTrue="1" operator="containsText" text="MEDIO">
      <formula>NOT(ISERROR(SEARCH("MEDIO",S202)))</formula>
    </cfRule>
    <cfRule type="containsText" dxfId="502" priority="505" stopIfTrue="1" operator="containsText" text="BAJO">
      <formula>NOT(ISERROR(SEARCH("BAJO",S202)))</formula>
    </cfRule>
    <cfRule type="containsText" dxfId="501" priority="506" stopIfTrue="1" operator="containsText" text="SIN RIESGO">
      <formula>NOT(ISERROR(SEARCH("SIN RIESGO",S202)))</formula>
    </cfRule>
  </conditionalFormatting>
  <conditionalFormatting sqref="S202">
    <cfRule type="containsText" dxfId="500" priority="501" stopIfTrue="1" operator="containsText" text="SIN RIESGO">
      <formula>NOT(ISERROR(SEARCH("SIN RIESGO",S202)))</formula>
    </cfRule>
  </conditionalFormatting>
  <conditionalFormatting sqref="S202">
    <cfRule type="cellIs" dxfId="499" priority="500" stopIfTrue="1" operator="equal">
      <formula>"INVIABLE SANITARIAMENTE"</formula>
    </cfRule>
  </conditionalFormatting>
  <conditionalFormatting sqref="S202">
    <cfRule type="containsText" dxfId="498" priority="495" stopIfTrue="1" operator="containsText" text="INVIABLE SANITARIAMENTE">
      <formula>NOT(ISERROR(SEARCH("INVIABLE SANITARIAMENTE",S202)))</formula>
    </cfRule>
    <cfRule type="containsText" dxfId="497" priority="496" stopIfTrue="1" operator="containsText" text="ALTO">
      <formula>NOT(ISERROR(SEARCH("ALTO",S202)))</formula>
    </cfRule>
    <cfRule type="containsText" dxfId="496" priority="497" stopIfTrue="1" operator="containsText" text="MEDIO">
      <formula>NOT(ISERROR(SEARCH("MEDIO",S202)))</formula>
    </cfRule>
    <cfRule type="containsText" dxfId="495" priority="498" stopIfTrue="1" operator="containsText" text="BAJO">
      <formula>NOT(ISERROR(SEARCH("BAJO",S202)))</formula>
    </cfRule>
    <cfRule type="containsText" dxfId="494" priority="499" stopIfTrue="1" operator="containsText" text="SIN RIESGO">
      <formula>NOT(ISERROR(SEARCH("SIN RIESGO",S202)))</formula>
    </cfRule>
  </conditionalFormatting>
  <conditionalFormatting sqref="S202">
    <cfRule type="containsText" dxfId="493" priority="494" stopIfTrue="1" operator="containsText" text="SIN RIESGO">
      <formula>NOT(ISERROR(SEARCH("SIN RIESGO",S202)))</formula>
    </cfRule>
  </conditionalFormatting>
  <conditionalFormatting sqref="E267">
    <cfRule type="containsBlanks" dxfId="492" priority="487" stopIfTrue="1">
      <formula>LEN(TRIM(E267))=0</formula>
    </cfRule>
    <cfRule type="cellIs" dxfId="491" priority="488" stopIfTrue="1" operator="between">
      <formula>79.1</formula>
      <formula>100</formula>
    </cfRule>
    <cfRule type="cellIs" dxfId="490" priority="489" stopIfTrue="1" operator="between">
      <formula>34.1</formula>
      <formula>79</formula>
    </cfRule>
    <cfRule type="cellIs" dxfId="489" priority="490" stopIfTrue="1" operator="between">
      <formula>13.1</formula>
      <formula>34</formula>
    </cfRule>
    <cfRule type="cellIs" dxfId="488" priority="491" stopIfTrue="1" operator="between">
      <formula>5.1</formula>
      <formula>13</formula>
    </cfRule>
    <cfRule type="cellIs" dxfId="487" priority="492" stopIfTrue="1" operator="between">
      <formula>0</formula>
      <formula>5</formula>
    </cfRule>
    <cfRule type="containsBlanks" dxfId="486" priority="493" stopIfTrue="1">
      <formula>LEN(TRIM(E267))=0</formula>
    </cfRule>
  </conditionalFormatting>
  <conditionalFormatting sqref="S504">
    <cfRule type="cellIs" dxfId="485" priority="486" stopIfTrue="1" operator="equal">
      <formula>"INVIABLE SANITARIAMENTE"</formula>
    </cfRule>
  </conditionalFormatting>
  <conditionalFormatting sqref="E504:Q504">
    <cfRule type="containsBlanks" dxfId="484" priority="479" stopIfTrue="1">
      <formula>LEN(TRIM(E504))=0</formula>
    </cfRule>
    <cfRule type="cellIs" dxfId="483" priority="480" stopIfTrue="1" operator="between">
      <formula>80.1</formula>
      <formula>100</formula>
    </cfRule>
    <cfRule type="cellIs" dxfId="482" priority="481" stopIfTrue="1" operator="between">
      <formula>35.1</formula>
      <formula>80</formula>
    </cfRule>
    <cfRule type="cellIs" dxfId="481" priority="482" stopIfTrue="1" operator="between">
      <formula>14.1</formula>
      <formula>35</formula>
    </cfRule>
    <cfRule type="cellIs" dxfId="480" priority="483" stopIfTrue="1" operator="between">
      <formula>5.1</formula>
      <formula>14</formula>
    </cfRule>
    <cfRule type="cellIs" dxfId="479" priority="484" stopIfTrue="1" operator="between">
      <formula>0</formula>
      <formula>5</formula>
    </cfRule>
    <cfRule type="containsBlanks" dxfId="478" priority="485" stopIfTrue="1">
      <formula>LEN(TRIM(E504))=0</formula>
    </cfRule>
  </conditionalFormatting>
  <conditionalFormatting sqref="S504">
    <cfRule type="containsText" dxfId="477" priority="474" stopIfTrue="1" operator="containsText" text="INVIABLE SANITARIAMENTE">
      <formula>NOT(ISERROR(SEARCH("INVIABLE SANITARIAMENTE",S504)))</formula>
    </cfRule>
    <cfRule type="containsText" dxfId="476" priority="475" stopIfTrue="1" operator="containsText" text="ALTO">
      <formula>NOT(ISERROR(SEARCH("ALTO",S504)))</formula>
    </cfRule>
    <cfRule type="containsText" dxfId="475" priority="476" stopIfTrue="1" operator="containsText" text="MEDIO">
      <formula>NOT(ISERROR(SEARCH("MEDIO",S504)))</formula>
    </cfRule>
    <cfRule type="containsText" dxfId="474" priority="477" stopIfTrue="1" operator="containsText" text="BAJO">
      <formula>NOT(ISERROR(SEARCH("BAJO",S504)))</formula>
    </cfRule>
    <cfRule type="containsText" dxfId="473" priority="478" stopIfTrue="1" operator="containsText" text="SIN RIESGO">
      <formula>NOT(ISERROR(SEARCH("SIN RIESGO",S504)))</formula>
    </cfRule>
  </conditionalFormatting>
  <conditionalFormatting sqref="S504">
    <cfRule type="containsText" dxfId="472" priority="473" stopIfTrue="1" operator="containsText" text="SIN RIESGO">
      <formula>NOT(ISERROR(SEARCH("SIN RIESGO",S504)))</formula>
    </cfRule>
  </conditionalFormatting>
  <conditionalFormatting sqref="S504">
    <cfRule type="cellIs" dxfId="471" priority="472" stopIfTrue="1" operator="equal">
      <formula>"INVIABLE SANITARIAMENTE"</formula>
    </cfRule>
  </conditionalFormatting>
  <conditionalFormatting sqref="S504">
    <cfRule type="containsText" dxfId="470" priority="467" stopIfTrue="1" operator="containsText" text="INVIABLE SANITARIAMENTE">
      <formula>NOT(ISERROR(SEARCH("INVIABLE SANITARIAMENTE",S504)))</formula>
    </cfRule>
    <cfRule type="containsText" dxfId="469" priority="468" stopIfTrue="1" operator="containsText" text="ALTO">
      <formula>NOT(ISERROR(SEARCH("ALTO",S504)))</formula>
    </cfRule>
    <cfRule type="containsText" dxfId="468" priority="469" stopIfTrue="1" operator="containsText" text="MEDIO">
      <formula>NOT(ISERROR(SEARCH("MEDIO",S504)))</formula>
    </cfRule>
    <cfRule type="containsText" dxfId="467" priority="470" stopIfTrue="1" operator="containsText" text="BAJO">
      <formula>NOT(ISERROR(SEARCH("BAJO",S504)))</formula>
    </cfRule>
    <cfRule type="containsText" dxfId="466" priority="471" stopIfTrue="1" operator="containsText" text="SIN RIESGO">
      <formula>NOT(ISERROR(SEARCH("SIN RIESGO",S504)))</formula>
    </cfRule>
  </conditionalFormatting>
  <conditionalFormatting sqref="S504">
    <cfRule type="containsText" dxfId="465" priority="466" stopIfTrue="1" operator="containsText" text="SIN RIESGO">
      <formula>NOT(ISERROR(SEARCH("SIN RIESGO",S504)))</formula>
    </cfRule>
  </conditionalFormatting>
  <conditionalFormatting sqref="S504">
    <cfRule type="cellIs" dxfId="464" priority="465" stopIfTrue="1" operator="equal">
      <formula>"INVIABLE SANITARIAMENTE"</formula>
    </cfRule>
  </conditionalFormatting>
  <conditionalFormatting sqref="S504">
    <cfRule type="containsText" dxfId="463" priority="460" stopIfTrue="1" operator="containsText" text="INVIABLE SANITARIAMENTE">
      <formula>NOT(ISERROR(SEARCH("INVIABLE SANITARIAMENTE",S504)))</formula>
    </cfRule>
    <cfRule type="containsText" dxfId="462" priority="461" stopIfTrue="1" operator="containsText" text="ALTO">
      <formula>NOT(ISERROR(SEARCH("ALTO",S504)))</formula>
    </cfRule>
    <cfRule type="containsText" dxfId="461" priority="462" stopIfTrue="1" operator="containsText" text="MEDIO">
      <formula>NOT(ISERROR(SEARCH("MEDIO",S504)))</formula>
    </cfRule>
    <cfRule type="containsText" dxfId="460" priority="463" stopIfTrue="1" operator="containsText" text="BAJO">
      <formula>NOT(ISERROR(SEARCH("BAJO",S504)))</formula>
    </cfRule>
    <cfRule type="containsText" dxfId="459" priority="464" stopIfTrue="1" operator="containsText" text="SIN RIESGO">
      <formula>NOT(ISERROR(SEARCH("SIN RIESGO",S504)))</formula>
    </cfRule>
  </conditionalFormatting>
  <conditionalFormatting sqref="S504">
    <cfRule type="containsText" dxfId="458" priority="459" stopIfTrue="1" operator="containsText" text="SIN RIESGO">
      <formula>NOT(ISERROR(SEARCH("SIN RIESGO",S504)))</formula>
    </cfRule>
  </conditionalFormatting>
  <conditionalFormatting sqref="S550">
    <cfRule type="cellIs" dxfId="457" priority="458" stopIfTrue="1" operator="equal">
      <formula>"INVIABLE SANITARIAMENTE"</formula>
    </cfRule>
  </conditionalFormatting>
  <conditionalFormatting sqref="E550:Q550">
    <cfRule type="containsBlanks" dxfId="456" priority="451" stopIfTrue="1">
      <formula>LEN(TRIM(E550))=0</formula>
    </cfRule>
    <cfRule type="cellIs" dxfId="455" priority="452" stopIfTrue="1" operator="between">
      <formula>80.1</formula>
      <formula>100</formula>
    </cfRule>
    <cfRule type="cellIs" dxfId="454" priority="453" stopIfTrue="1" operator="between">
      <formula>35.1</formula>
      <formula>80</formula>
    </cfRule>
    <cfRule type="cellIs" dxfId="453" priority="454" stopIfTrue="1" operator="between">
      <formula>14.1</formula>
      <formula>35</formula>
    </cfRule>
    <cfRule type="cellIs" dxfId="452" priority="455" stopIfTrue="1" operator="between">
      <formula>5.1</formula>
      <formula>14</formula>
    </cfRule>
    <cfRule type="cellIs" dxfId="451" priority="456" stopIfTrue="1" operator="between">
      <formula>0</formula>
      <formula>5</formula>
    </cfRule>
    <cfRule type="containsBlanks" dxfId="450" priority="457" stopIfTrue="1">
      <formula>LEN(TRIM(E550))=0</formula>
    </cfRule>
  </conditionalFormatting>
  <conditionalFormatting sqref="S550">
    <cfRule type="containsText" dxfId="449" priority="446" stopIfTrue="1" operator="containsText" text="INVIABLE SANITARIAMENTE">
      <formula>NOT(ISERROR(SEARCH("INVIABLE SANITARIAMENTE",S550)))</formula>
    </cfRule>
    <cfRule type="containsText" dxfId="448" priority="447" stopIfTrue="1" operator="containsText" text="ALTO">
      <formula>NOT(ISERROR(SEARCH("ALTO",S550)))</formula>
    </cfRule>
    <cfRule type="containsText" dxfId="447" priority="448" stopIfTrue="1" operator="containsText" text="MEDIO">
      <formula>NOT(ISERROR(SEARCH("MEDIO",S550)))</formula>
    </cfRule>
    <cfRule type="containsText" dxfId="446" priority="449" stopIfTrue="1" operator="containsText" text="BAJO">
      <formula>NOT(ISERROR(SEARCH("BAJO",S550)))</formula>
    </cfRule>
    <cfRule type="containsText" dxfId="445" priority="450" stopIfTrue="1" operator="containsText" text="SIN RIESGO">
      <formula>NOT(ISERROR(SEARCH("SIN RIESGO",S550)))</formula>
    </cfRule>
  </conditionalFormatting>
  <conditionalFormatting sqref="S550">
    <cfRule type="containsText" dxfId="444" priority="445" stopIfTrue="1" operator="containsText" text="SIN RIESGO">
      <formula>NOT(ISERROR(SEARCH("SIN RIESGO",S550)))</formula>
    </cfRule>
  </conditionalFormatting>
  <conditionalFormatting sqref="S550">
    <cfRule type="cellIs" dxfId="443" priority="444" stopIfTrue="1" operator="equal">
      <formula>"INVIABLE SANITARIAMENTE"</formula>
    </cfRule>
  </conditionalFormatting>
  <conditionalFormatting sqref="S550">
    <cfRule type="containsText" dxfId="442" priority="439" stopIfTrue="1" operator="containsText" text="INVIABLE SANITARIAMENTE">
      <formula>NOT(ISERROR(SEARCH("INVIABLE SANITARIAMENTE",S550)))</formula>
    </cfRule>
    <cfRule type="containsText" dxfId="441" priority="440" stopIfTrue="1" operator="containsText" text="ALTO">
      <formula>NOT(ISERROR(SEARCH("ALTO",S550)))</formula>
    </cfRule>
    <cfRule type="containsText" dxfId="440" priority="441" stopIfTrue="1" operator="containsText" text="MEDIO">
      <formula>NOT(ISERROR(SEARCH("MEDIO",S550)))</formula>
    </cfRule>
    <cfRule type="containsText" dxfId="439" priority="442" stopIfTrue="1" operator="containsText" text="BAJO">
      <formula>NOT(ISERROR(SEARCH("BAJO",S550)))</formula>
    </cfRule>
    <cfRule type="containsText" dxfId="438" priority="443" stopIfTrue="1" operator="containsText" text="SIN RIESGO">
      <formula>NOT(ISERROR(SEARCH("SIN RIESGO",S550)))</formula>
    </cfRule>
  </conditionalFormatting>
  <conditionalFormatting sqref="S550">
    <cfRule type="containsText" dxfId="437" priority="438" stopIfTrue="1" operator="containsText" text="SIN RIESGO">
      <formula>NOT(ISERROR(SEARCH("SIN RIESGO",S550)))</formula>
    </cfRule>
  </conditionalFormatting>
  <conditionalFormatting sqref="S550">
    <cfRule type="cellIs" dxfId="436" priority="437" stopIfTrue="1" operator="equal">
      <formula>"INVIABLE SANITARIAMENTE"</formula>
    </cfRule>
  </conditionalFormatting>
  <conditionalFormatting sqref="S550">
    <cfRule type="containsText" dxfId="435" priority="432" stopIfTrue="1" operator="containsText" text="INVIABLE SANITARIAMENTE">
      <formula>NOT(ISERROR(SEARCH("INVIABLE SANITARIAMENTE",S550)))</formula>
    </cfRule>
    <cfRule type="containsText" dxfId="434" priority="433" stopIfTrue="1" operator="containsText" text="ALTO">
      <formula>NOT(ISERROR(SEARCH("ALTO",S550)))</formula>
    </cfRule>
    <cfRule type="containsText" dxfId="433" priority="434" stopIfTrue="1" operator="containsText" text="MEDIO">
      <formula>NOT(ISERROR(SEARCH("MEDIO",S550)))</formula>
    </cfRule>
    <cfRule type="containsText" dxfId="432" priority="435" stopIfTrue="1" operator="containsText" text="BAJO">
      <formula>NOT(ISERROR(SEARCH("BAJO",S550)))</formula>
    </cfRule>
    <cfRule type="containsText" dxfId="431" priority="436" stopIfTrue="1" operator="containsText" text="SIN RIESGO">
      <formula>NOT(ISERROR(SEARCH("SIN RIESGO",S550)))</formula>
    </cfRule>
  </conditionalFormatting>
  <conditionalFormatting sqref="S550">
    <cfRule type="containsText" dxfId="430" priority="431" stopIfTrue="1" operator="containsText" text="SIN RIESGO">
      <formula>NOT(ISERROR(SEARCH("SIN RIESGO",S550)))</formula>
    </cfRule>
  </conditionalFormatting>
  <conditionalFormatting sqref="S548">
    <cfRule type="cellIs" dxfId="429" priority="430" stopIfTrue="1" operator="equal">
      <formula>"INVIABLE SANITARIAMENTE"</formula>
    </cfRule>
  </conditionalFormatting>
  <conditionalFormatting sqref="E548:Q548">
    <cfRule type="containsBlanks" dxfId="428" priority="423" stopIfTrue="1">
      <formula>LEN(TRIM(E548))=0</formula>
    </cfRule>
    <cfRule type="cellIs" dxfId="427" priority="424" stopIfTrue="1" operator="between">
      <formula>80.1</formula>
      <formula>100</formula>
    </cfRule>
    <cfRule type="cellIs" dxfId="426" priority="425" stopIfTrue="1" operator="between">
      <formula>35.1</formula>
      <formula>80</formula>
    </cfRule>
    <cfRule type="cellIs" dxfId="425" priority="426" stopIfTrue="1" operator="between">
      <formula>14.1</formula>
      <formula>35</formula>
    </cfRule>
    <cfRule type="cellIs" dxfId="424" priority="427" stopIfTrue="1" operator="between">
      <formula>5.1</formula>
      <formula>14</formula>
    </cfRule>
    <cfRule type="cellIs" dxfId="423" priority="428" stopIfTrue="1" operator="between">
      <formula>0</formula>
      <formula>5</formula>
    </cfRule>
    <cfRule type="containsBlanks" dxfId="422" priority="429" stopIfTrue="1">
      <formula>LEN(TRIM(E548))=0</formula>
    </cfRule>
  </conditionalFormatting>
  <conditionalFormatting sqref="S548">
    <cfRule type="containsText" dxfId="421" priority="418" stopIfTrue="1" operator="containsText" text="INVIABLE SANITARIAMENTE">
      <formula>NOT(ISERROR(SEARCH("INVIABLE SANITARIAMENTE",S548)))</formula>
    </cfRule>
    <cfRule type="containsText" dxfId="420" priority="419" stopIfTrue="1" operator="containsText" text="ALTO">
      <formula>NOT(ISERROR(SEARCH("ALTO",S548)))</formula>
    </cfRule>
    <cfRule type="containsText" dxfId="419" priority="420" stopIfTrue="1" operator="containsText" text="MEDIO">
      <formula>NOT(ISERROR(SEARCH("MEDIO",S548)))</formula>
    </cfRule>
    <cfRule type="containsText" dxfId="418" priority="421" stopIfTrue="1" operator="containsText" text="BAJO">
      <formula>NOT(ISERROR(SEARCH("BAJO",S548)))</formula>
    </cfRule>
    <cfRule type="containsText" dxfId="417" priority="422" stopIfTrue="1" operator="containsText" text="SIN RIESGO">
      <formula>NOT(ISERROR(SEARCH("SIN RIESGO",S548)))</formula>
    </cfRule>
  </conditionalFormatting>
  <conditionalFormatting sqref="S548">
    <cfRule type="containsText" dxfId="416" priority="417" stopIfTrue="1" operator="containsText" text="SIN RIESGO">
      <formula>NOT(ISERROR(SEARCH("SIN RIESGO",S548)))</formula>
    </cfRule>
  </conditionalFormatting>
  <conditionalFormatting sqref="S548">
    <cfRule type="cellIs" dxfId="415" priority="416" stopIfTrue="1" operator="equal">
      <formula>"INVIABLE SANITARIAMENTE"</formula>
    </cfRule>
  </conditionalFormatting>
  <conditionalFormatting sqref="S548">
    <cfRule type="containsText" dxfId="414" priority="411" stopIfTrue="1" operator="containsText" text="INVIABLE SANITARIAMENTE">
      <formula>NOT(ISERROR(SEARCH("INVIABLE SANITARIAMENTE",S548)))</formula>
    </cfRule>
    <cfRule type="containsText" dxfId="413" priority="412" stopIfTrue="1" operator="containsText" text="ALTO">
      <formula>NOT(ISERROR(SEARCH("ALTO",S548)))</formula>
    </cfRule>
    <cfRule type="containsText" dxfId="412" priority="413" stopIfTrue="1" operator="containsText" text="MEDIO">
      <formula>NOT(ISERROR(SEARCH("MEDIO",S548)))</formula>
    </cfRule>
    <cfRule type="containsText" dxfId="411" priority="414" stopIfTrue="1" operator="containsText" text="BAJO">
      <formula>NOT(ISERROR(SEARCH("BAJO",S548)))</formula>
    </cfRule>
    <cfRule type="containsText" dxfId="410" priority="415" stopIfTrue="1" operator="containsText" text="SIN RIESGO">
      <formula>NOT(ISERROR(SEARCH("SIN RIESGO",S548)))</formula>
    </cfRule>
  </conditionalFormatting>
  <conditionalFormatting sqref="S548">
    <cfRule type="containsText" dxfId="409" priority="410" stopIfTrue="1" operator="containsText" text="SIN RIESGO">
      <formula>NOT(ISERROR(SEARCH("SIN RIESGO",S548)))</formula>
    </cfRule>
  </conditionalFormatting>
  <conditionalFormatting sqref="S548">
    <cfRule type="cellIs" dxfId="408" priority="409" stopIfTrue="1" operator="equal">
      <formula>"INVIABLE SANITARIAMENTE"</formula>
    </cfRule>
  </conditionalFormatting>
  <conditionalFormatting sqref="S548">
    <cfRule type="containsText" dxfId="407" priority="404" stopIfTrue="1" operator="containsText" text="INVIABLE SANITARIAMENTE">
      <formula>NOT(ISERROR(SEARCH("INVIABLE SANITARIAMENTE",S548)))</formula>
    </cfRule>
    <cfRule type="containsText" dxfId="406" priority="405" stopIfTrue="1" operator="containsText" text="ALTO">
      <formula>NOT(ISERROR(SEARCH("ALTO",S548)))</formula>
    </cfRule>
    <cfRule type="containsText" dxfId="405" priority="406" stopIfTrue="1" operator="containsText" text="MEDIO">
      <formula>NOT(ISERROR(SEARCH("MEDIO",S548)))</formula>
    </cfRule>
    <cfRule type="containsText" dxfId="404" priority="407" stopIfTrue="1" operator="containsText" text="BAJO">
      <formula>NOT(ISERROR(SEARCH("BAJO",S548)))</formula>
    </cfRule>
    <cfRule type="containsText" dxfId="403" priority="408" stopIfTrue="1" operator="containsText" text="SIN RIESGO">
      <formula>NOT(ISERROR(SEARCH("SIN RIESGO",S548)))</formula>
    </cfRule>
  </conditionalFormatting>
  <conditionalFormatting sqref="S548">
    <cfRule type="containsText" dxfId="402" priority="403" stopIfTrue="1" operator="containsText" text="SIN RIESGO">
      <formula>NOT(ISERROR(SEARCH("SIN RIESGO",S548)))</formula>
    </cfRule>
  </conditionalFormatting>
  <conditionalFormatting sqref="S549">
    <cfRule type="cellIs" dxfId="401" priority="402" stopIfTrue="1" operator="equal">
      <formula>"INVIABLE SANITARIAMENTE"</formula>
    </cfRule>
  </conditionalFormatting>
  <conditionalFormatting sqref="E549:Q549">
    <cfRule type="containsBlanks" dxfId="400" priority="395" stopIfTrue="1">
      <formula>LEN(TRIM(E549))=0</formula>
    </cfRule>
    <cfRule type="cellIs" dxfId="399" priority="396" stopIfTrue="1" operator="between">
      <formula>80.1</formula>
      <formula>100</formula>
    </cfRule>
    <cfRule type="cellIs" dxfId="398" priority="397" stopIfTrue="1" operator="between">
      <formula>35.1</formula>
      <formula>80</formula>
    </cfRule>
    <cfRule type="cellIs" dxfId="397" priority="398" stopIfTrue="1" operator="between">
      <formula>14.1</formula>
      <formula>35</formula>
    </cfRule>
    <cfRule type="cellIs" dxfId="396" priority="399" stopIfTrue="1" operator="between">
      <formula>5.1</formula>
      <formula>14</formula>
    </cfRule>
    <cfRule type="cellIs" dxfId="395" priority="400" stopIfTrue="1" operator="between">
      <formula>0</formula>
      <formula>5</formula>
    </cfRule>
    <cfRule type="containsBlanks" dxfId="394" priority="401" stopIfTrue="1">
      <formula>LEN(TRIM(E549))=0</formula>
    </cfRule>
  </conditionalFormatting>
  <conditionalFormatting sqref="S549">
    <cfRule type="containsText" dxfId="393" priority="390" stopIfTrue="1" operator="containsText" text="INVIABLE SANITARIAMENTE">
      <formula>NOT(ISERROR(SEARCH("INVIABLE SANITARIAMENTE",S549)))</formula>
    </cfRule>
    <cfRule type="containsText" dxfId="392" priority="391" stopIfTrue="1" operator="containsText" text="ALTO">
      <formula>NOT(ISERROR(SEARCH("ALTO",S549)))</formula>
    </cfRule>
    <cfRule type="containsText" dxfId="391" priority="392" stopIfTrue="1" operator="containsText" text="MEDIO">
      <formula>NOT(ISERROR(SEARCH("MEDIO",S549)))</formula>
    </cfRule>
    <cfRule type="containsText" dxfId="390" priority="393" stopIfTrue="1" operator="containsText" text="BAJO">
      <formula>NOT(ISERROR(SEARCH("BAJO",S549)))</formula>
    </cfRule>
    <cfRule type="containsText" dxfId="389" priority="394" stopIfTrue="1" operator="containsText" text="SIN RIESGO">
      <formula>NOT(ISERROR(SEARCH("SIN RIESGO",S549)))</formula>
    </cfRule>
  </conditionalFormatting>
  <conditionalFormatting sqref="S549">
    <cfRule type="containsText" dxfId="388" priority="389" stopIfTrue="1" operator="containsText" text="SIN RIESGO">
      <formula>NOT(ISERROR(SEARCH("SIN RIESGO",S549)))</formula>
    </cfRule>
  </conditionalFormatting>
  <conditionalFormatting sqref="S549">
    <cfRule type="cellIs" dxfId="387" priority="388" stopIfTrue="1" operator="equal">
      <formula>"INVIABLE SANITARIAMENTE"</formula>
    </cfRule>
  </conditionalFormatting>
  <conditionalFormatting sqref="S549">
    <cfRule type="containsText" dxfId="386" priority="383" stopIfTrue="1" operator="containsText" text="INVIABLE SANITARIAMENTE">
      <formula>NOT(ISERROR(SEARCH("INVIABLE SANITARIAMENTE",S549)))</formula>
    </cfRule>
    <cfRule type="containsText" dxfId="385" priority="384" stopIfTrue="1" operator="containsText" text="ALTO">
      <formula>NOT(ISERROR(SEARCH("ALTO",S549)))</formula>
    </cfRule>
    <cfRule type="containsText" dxfId="384" priority="385" stopIfTrue="1" operator="containsText" text="MEDIO">
      <formula>NOT(ISERROR(SEARCH("MEDIO",S549)))</formula>
    </cfRule>
    <cfRule type="containsText" dxfId="383" priority="386" stopIfTrue="1" operator="containsText" text="BAJO">
      <formula>NOT(ISERROR(SEARCH("BAJO",S549)))</formula>
    </cfRule>
    <cfRule type="containsText" dxfId="382" priority="387" stopIfTrue="1" operator="containsText" text="SIN RIESGO">
      <formula>NOT(ISERROR(SEARCH("SIN RIESGO",S549)))</formula>
    </cfRule>
  </conditionalFormatting>
  <conditionalFormatting sqref="S549">
    <cfRule type="containsText" dxfId="381" priority="382" stopIfTrue="1" operator="containsText" text="SIN RIESGO">
      <formula>NOT(ISERROR(SEARCH("SIN RIESGO",S549)))</formula>
    </cfRule>
  </conditionalFormatting>
  <conditionalFormatting sqref="S549">
    <cfRule type="cellIs" dxfId="380" priority="381" stopIfTrue="1" operator="equal">
      <formula>"INVIABLE SANITARIAMENTE"</formula>
    </cfRule>
  </conditionalFormatting>
  <conditionalFormatting sqref="S549">
    <cfRule type="containsText" dxfId="379" priority="376" stopIfTrue="1" operator="containsText" text="INVIABLE SANITARIAMENTE">
      <formula>NOT(ISERROR(SEARCH("INVIABLE SANITARIAMENTE",S549)))</formula>
    </cfRule>
    <cfRule type="containsText" dxfId="378" priority="377" stopIfTrue="1" operator="containsText" text="ALTO">
      <formula>NOT(ISERROR(SEARCH("ALTO",S549)))</formula>
    </cfRule>
    <cfRule type="containsText" dxfId="377" priority="378" stopIfTrue="1" operator="containsText" text="MEDIO">
      <formula>NOT(ISERROR(SEARCH("MEDIO",S549)))</formula>
    </cfRule>
    <cfRule type="containsText" dxfId="376" priority="379" stopIfTrue="1" operator="containsText" text="BAJO">
      <formula>NOT(ISERROR(SEARCH("BAJO",S549)))</formula>
    </cfRule>
    <cfRule type="containsText" dxfId="375" priority="380" stopIfTrue="1" operator="containsText" text="SIN RIESGO">
      <formula>NOT(ISERROR(SEARCH("SIN RIESGO",S549)))</formula>
    </cfRule>
  </conditionalFormatting>
  <conditionalFormatting sqref="S549">
    <cfRule type="containsText" dxfId="374" priority="375" stopIfTrue="1" operator="containsText" text="SIN RIESGO">
      <formula>NOT(ISERROR(SEARCH("SIN RIESGO",S549)))</formula>
    </cfRule>
  </conditionalFormatting>
  <conditionalFormatting sqref="Q68">
    <cfRule type="containsBlanks" dxfId="373" priority="368" stopIfTrue="1">
      <formula>LEN(TRIM(Q68))=0</formula>
    </cfRule>
    <cfRule type="cellIs" dxfId="372" priority="369" stopIfTrue="1" operator="between">
      <formula>80.1</formula>
      <formula>100</formula>
    </cfRule>
    <cfRule type="cellIs" dxfId="371" priority="370" stopIfTrue="1" operator="between">
      <formula>35.1</formula>
      <formula>80</formula>
    </cfRule>
    <cfRule type="cellIs" dxfId="370" priority="371" stopIfTrue="1" operator="between">
      <formula>14.1</formula>
      <formula>35</formula>
    </cfRule>
    <cfRule type="cellIs" dxfId="369" priority="372" stopIfTrue="1" operator="between">
      <formula>5.1</formula>
      <formula>14</formula>
    </cfRule>
    <cfRule type="cellIs" dxfId="368" priority="373" stopIfTrue="1" operator="between">
      <formula>0</formula>
      <formula>5</formula>
    </cfRule>
    <cfRule type="containsBlanks" dxfId="367" priority="374" stopIfTrue="1">
      <formula>LEN(TRIM(Q68))=0</formula>
    </cfRule>
  </conditionalFormatting>
  <conditionalFormatting sqref="S68">
    <cfRule type="cellIs" dxfId="366" priority="367" stopIfTrue="1" operator="equal">
      <formula>"INVIABLE SANITARIAMENTE"</formula>
    </cfRule>
  </conditionalFormatting>
  <conditionalFormatting sqref="S68">
    <cfRule type="containsText" dxfId="365" priority="362" stopIfTrue="1" operator="containsText" text="INVIABLE SANITARIAMENTE">
      <formula>NOT(ISERROR(SEARCH("INVIABLE SANITARIAMENTE",S68)))</formula>
    </cfRule>
    <cfRule type="containsText" dxfId="364" priority="363" stopIfTrue="1" operator="containsText" text="ALTO">
      <formula>NOT(ISERROR(SEARCH("ALTO",S68)))</formula>
    </cfRule>
    <cfRule type="containsText" dxfId="363" priority="364" stopIfTrue="1" operator="containsText" text="MEDIO">
      <formula>NOT(ISERROR(SEARCH("MEDIO",S68)))</formula>
    </cfRule>
    <cfRule type="containsText" dxfId="362" priority="365" stopIfTrue="1" operator="containsText" text="BAJO">
      <formula>NOT(ISERROR(SEARCH("BAJO",S68)))</formula>
    </cfRule>
    <cfRule type="containsText" dxfId="361" priority="366" stopIfTrue="1" operator="containsText" text="SIN RIESGO">
      <formula>NOT(ISERROR(SEARCH("SIN RIESGO",S68)))</formula>
    </cfRule>
  </conditionalFormatting>
  <conditionalFormatting sqref="S68">
    <cfRule type="containsText" dxfId="360" priority="361" stopIfTrue="1" operator="containsText" text="SIN RIESGO">
      <formula>NOT(ISERROR(SEARCH("SIN RIESGO",S68)))</formula>
    </cfRule>
  </conditionalFormatting>
  <conditionalFormatting sqref="R68">
    <cfRule type="cellIs" dxfId="359" priority="360" stopIfTrue="1" operator="equal">
      <formula>"NO"</formula>
    </cfRule>
  </conditionalFormatting>
  <conditionalFormatting sqref="S68">
    <cfRule type="cellIs" dxfId="358" priority="359" stopIfTrue="1" operator="equal">
      <formula>"INVIABLE SANITARIAMENTE"</formula>
    </cfRule>
  </conditionalFormatting>
  <conditionalFormatting sqref="E68:Q68">
    <cfRule type="containsBlanks" dxfId="357" priority="352" stopIfTrue="1">
      <formula>LEN(TRIM(E68))=0</formula>
    </cfRule>
    <cfRule type="cellIs" dxfId="356" priority="353" stopIfTrue="1" operator="between">
      <formula>80.1</formula>
      <formula>100</formula>
    </cfRule>
    <cfRule type="cellIs" dxfId="355" priority="354" stopIfTrue="1" operator="between">
      <formula>35.1</formula>
      <formula>80</formula>
    </cfRule>
    <cfRule type="cellIs" dxfId="354" priority="355" stopIfTrue="1" operator="between">
      <formula>14.1</formula>
      <formula>35</formula>
    </cfRule>
    <cfRule type="cellIs" dxfId="353" priority="356" stopIfTrue="1" operator="between">
      <formula>5.1</formula>
      <formula>14</formula>
    </cfRule>
    <cfRule type="cellIs" dxfId="352" priority="357" stopIfTrue="1" operator="between">
      <formula>0</formula>
      <formula>5</formula>
    </cfRule>
    <cfRule type="containsBlanks" dxfId="351" priority="358" stopIfTrue="1">
      <formula>LEN(TRIM(E68))=0</formula>
    </cfRule>
  </conditionalFormatting>
  <conditionalFormatting sqref="S68">
    <cfRule type="containsText" dxfId="350" priority="347" stopIfTrue="1" operator="containsText" text="INVIABLE SANITARIAMENTE">
      <formula>NOT(ISERROR(SEARCH("INVIABLE SANITARIAMENTE",S68)))</formula>
    </cfRule>
    <cfRule type="containsText" dxfId="349" priority="348" stopIfTrue="1" operator="containsText" text="ALTO">
      <formula>NOT(ISERROR(SEARCH("ALTO",S68)))</formula>
    </cfRule>
    <cfRule type="containsText" dxfId="348" priority="349" stopIfTrue="1" operator="containsText" text="MEDIO">
      <formula>NOT(ISERROR(SEARCH("MEDIO",S68)))</formula>
    </cfRule>
    <cfRule type="containsText" dxfId="347" priority="350" stopIfTrue="1" operator="containsText" text="BAJO">
      <formula>NOT(ISERROR(SEARCH("BAJO",S68)))</formula>
    </cfRule>
    <cfRule type="containsText" dxfId="346" priority="351" stopIfTrue="1" operator="containsText" text="SIN RIESGO">
      <formula>NOT(ISERROR(SEARCH("SIN RIESGO",S68)))</formula>
    </cfRule>
  </conditionalFormatting>
  <conditionalFormatting sqref="S68">
    <cfRule type="containsText" dxfId="345" priority="346" stopIfTrue="1" operator="containsText" text="SIN RIESGO">
      <formula>NOT(ISERROR(SEARCH("SIN RIESGO",S68)))</formula>
    </cfRule>
  </conditionalFormatting>
  <conditionalFormatting sqref="Q69">
    <cfRule type="containsBlanks" dxfId="344" priority="339" stopIfTrue="1">
      <formula>LEN(TRIM(Q69))=0</formula>
    </cfRule>
    <cfRule type="cellIs" dxfId="343" priority="340" stopIfTrue="1" operator="between">
      <formula>80.1</formula>
      <formula>100</formula>
    </cfRule>
    <cfRule type="cellIs" dxfId="342" priority="341" stopIfTrue="1" operator="between">
      <formula>35.1</formula>
      <formula>80</formula>
    </cfRule>
    <cfRule type="cellIs" dxfId="341" priority="342" stopIfTrue="1" operator="between">
      <formula>14.1</formula>
      <formula>35</formula>
    </cfRule>
    <cfRule type="cellIs" dxfId="340" priority="343" stopIfTrue="1" operator="between">
      <formula>5.1</formula>
      <formula>14</formula>
    </cfRule>
    <cfRule type="cellIs" dxfId="339" priority="344" stopIfTrue="1" operator="between">
      <formula>0</formula>
      <formula>5</formula>
    </cfRule>
    <cfRule type="containsBlanks" dxfId="338" priority="345" stopIfTrue="1">
      <formula>LEN(TRIM(Q69))=0</formula>
    </cfRule>
  </conditionalFormatting>
  <conditionalFormatting sqref="S69">
    <cfRule type="cellIs" dxfId="337" priority="338" stopIfTrue="1" operator="equal">
      <formula>"INVIABLE SANITARIAMENTE"</formula>
    </cfRule>
  </conditionalFormatting>
  <conditionalFormatting sqref="S69">
    <cfRule type="containsText" dxfId="336" priority="333" stopIfTrue="1" operator="containsText" text="INVIABLE SANITARIAMENTE">
      <formula>NOT(ISERROR(SEARCH("INVIABLE SANITARIAMENTE",S69)))</formula>
    </cfRule>
    <cfRule type="containsText" dxfId="335" priority="334" stopIfTrue="1" operator="containsText" text="ALTO">
      <formula>NOT(ISERROR(SEARCH("ALTO",S69)))</formula>
    </cfRule>
    <cfRule type="containsText" dxfId="334" priority="335" stopIfTrue="1" operator="containsText" text="MEDIO">
      <formula>NOT(ISERROR(SEARCH("MEDIO",S69)))</formula>
    </cfRule>
    <cfRule type="containsText" dxfId="333" priority="336" stopIfTrue="1" operator="containsText" text="BAJO">
      <formula>NOT(ISERROR(SEARCH("BAJO",S69)))</formula>
    </cfRule>
    <cfRule type="containsText" dxfId="332" priority="337" stopIfTrue="1" operator="containsText" text="SIN RIESGO">
      <formula>NOT(ISERROR(SEARCH("SIN RIESGO",S69)))</formula>
    </cfRule>
  </conditionalFormatting>
  <conditionalFormatting sqref="S69">
    <cfRule type="containsText" dxfId="331" priority="332" stopIfTrue="1" operator="containsText" text="SIN RIESGO">
      <formula>NOT(ISERROR(SEARCH("SIN RIESGO",S69)))</formula>
    </cfRule>
  </conditionalFormatting>
  <conditionalFormatting sqref="R69">
    <cfRule type="cellIs" dxfId="330" priority="331" stopIfTrue="1" operator="equal">
      <formula>"NO"</formula>
    </cfRule>
  </conditionalFormatting>
  <conditionalFormatting sqref="S69">
    <cfRule type="cellIs" dxfId="329" priority="330" stopIfTrue="1" operator="equal">
      <formula>"INVIABLE SANITARIAMENTE"</formula>
    </cfRule>
  </conditionalFormatting>
  <conditionalFormatting sqref="E69:Q69">
    <cfRule type="containsBlanks" dxfId="328" priority="323" stopIfTrue="1">
      <formula>LEN(TRIM(E69))=0</formula>
    </cfRule>
    <cfRule type="cellIs" dxfId="327" priority="324" stopIfTrue="1" operator="between">
      <formula>80.1</formula>
      <formula>100</formula>
    </cfRule>
    <cfRule type="cellIs" dxfId="326" priority="325" stopIfTrue="1" operator="between">
      <formula>35.1</formula>
      <formula>80</formula>
    </cfRule>
    <cfRule type="cellIs" dxfId="325" priority="326" stopIfTrue="1" operator="between">
      <formula>14.1</formula>
      <formula>35</formula>
    </cfRule>
    <cfRule type="cellIs" dxfId="324" priority="327" stopIfTrue="1" operator="between">
      <formula>5.1</formula>
      <formula>14</formula>
    </cfRule>
    <cfRule type="cellIs" dxfId="323" priority="328" stopIfTrue="1" operator="between">
      <formula>0</formula>
      <formula>5</formula>
    </cfRule>
    <cfRule type="containsBlanks" dxfId="322" priority="329" stopIfTrue="1">
      <formula>LEN(TRIM(E69))=0</formula>
    </cfRule>
  </conditionalFormatting>
  <conditionalFormatting sqref="S69">
    <cfRule type="containsText" dxfId="321" priority="318" stopIfTrue="1" operator="containsText" text="INVIABLE SANITARIAMENTE">
      <formula>NOT(ISERROR(SEARCH("INVIABLE SANITARIAMENTE",S69)))</formula>
    </cfRule>
    <cfRule type="containsText" dxfId="320" priority="319" stopIfTrue="1" operator="containsText" text="ALTO">
      <formula>NOT(ISERROR(SEARCH("ALTO",S69)))</formula>
    </cfRule>
    <cfRule type="containsText" dxfId="319" priority="320" stopIfTrue="1" operator="containsText" text="MEDIO">
      <formula>NOT(ISERROR(SEARCH("MEDIO",S69)))</formula>
    </cfRule>
    <cfRule type="containsText" dxfId="318" priority="321" stopIfTrue="1" operator="containsText" text="BAJO">
      <formula>NOT(ISERROR(SEARCH("BAJO",S69)))</formula>
    </cfRule>
    <cfRule type="containsText" dxfId="317" priority="322" stopIfTrue="1" operator="containsText" text="SIN RIESGO">
      <formula>NOT(ISERROR(SEARCH("SIN RIESGO",S69)))</formula>
    </cfRule>
  </conditionalFormatting>
  <conditionalFormatting sqref="S69">
    <cfRule type="containsText" dxfId="316" priority="317" stopIfTrue="1" operator="containsText" text="SIN RIESGO">
      <formula>NOT(ISERROR(SEARCH("SIN RIESGO",S69)))</formula>
    </cfRule>
  </conditionalFormatting>
  <conditionalFormatting sqref="Q70">
    <cfRule type="containsBlanks" dxfId="315" priority="310" stopIfTrue="1">
      <formula>LEN(TRIM(Q70))=0</formula>
    </cfRule>
    <cfRule type="cellIs" dxfId="314" priority="311" stopIfTrue="1" operator="between">
      <formula>80.1</formula>
      <formula>100</formula>
    </cfRule>
    <cfRule type="cellIs" dxfId="313" priority="312" stopIfTrue="1" operator="between">
      <formula>35.1</formula>
      <formula>80</formula>
    </cfRule>
    <cfRule type="cellIs" dxfId="312" priority="313" stopIfTrue="1" operator="between">
      <formula>14.1</formula>
      <formula>35</formula>
    </cfRule>
    <cfRule type="cellIs" dxfId="311" priority="314" stopIfTrue="1" operator="between">
      <formula>5.1</formula>
      <formula>14</formula>
    </cfRule>
    <cfRule type="cellIs" dxfId="310" priority="315" stopIfTrue="1" operator="between">
      <formula>0</formula>
      <formula>5</formula>
    </cfRule>
    <cfRule type="containsBlanks" dxfId="309" priority="316" stopIfTrue="1">
      <formula>LEN(TRIM(Q70))=0</formula>
    </cfRule>
  </conditionalFormatting>
  <conditionalFormatting sqref="S70">
    <cfRule type="cellIs" dxfId="308" priority="309" stopIfTrue="1" operator="equal">
      <formula>"INVIABLE SANITARIAMENTE"</formula>
    </cfRule>
  </conditionalFormatting>
  <conditionalFormatting sqref="S70">
    <cfRule type="containsText" dxfId="307" priority="304" stopIfTrue="1" operator="containsText" text="INVIABLE SANITARIAMENTE">
      <formula>NOT(ISERROR(SEARCH("INVIABLE SANITARIAMENTE",S70)))</formula>
    </cfRule>
    <cfRule type="containsText" dxfId="306" priority="305" stopIfTrue="1" operator="containsText" text="ALTO">
      <formula>NOT(ISERROR(SEARCH("ALTO",S70)))</formula>
    </cfRule>
    <cfRule type="containsText" dxfId="305" priority="306" stopIfTrue="1" operator="containsText" text="MEDIO">
      <formula>NOT(ISERROR(SEARCH("MEDIO",S70)))</formula>
    </cfRule>
    <cfRule type="containsText" dxfId="304" priority="307" stopIfTrue="1" operator="containsText" text="BAJO">
      <formula>NOT(ISERROR(SEARCH("BAJO",S70)))</formula>
    </cfRule>
    <cfRule type="containsText" dxfId="303" priority="308" stopIfTrue="1" operator="containsText" text="SIN RIESGO">
      <formula>NOT(ISERROR(SEARCH("SIN RIESGO",S70)))</formula>
    </cfRule>
  </conditionalFormatting>
  <conditionalFormatting sqref="S70">
    <cfRule type="containsText" dxfId="302" priority="303" stopIfTrue="1" operator="containsText" text="SIN RIESGO">
      <formula>NOT(ISERROR(SEARCH("SIN RIESGO",S70)))</formula>
    </cfRule>
  </conditionalFormatting>
  <conditionalFormatting sqref="R70">
    <cfRule type="cellIs" dxfId="301" priority="302" stopIfTrue="1" operator="equal">
      <formula>"NO"</formula>
    </cfRule>
  </conditionalFormatting>
  <conditionalFormatting sqref="S70">
    <cfRule type="cellIs" dxfId="300" priority="301" stopIfTrue="1" operator="equal">
      <formula>"INVIABLE SANITARIAMENTE"</formula>
    </cfRule>
  </conditionalFormatting>
  <conditionalFormatting sqref="E70:Q70 G71">
    <cfRule type="containsBlanks" dxfId="299" priority="294" stopIfTrue="1">
      <formula>LEN(TRIM(E70))=0</formula>
    </cfRule>
    <cfRule type="cellIs" dxfId="298" priority="295" stopIfTrue="1" operator="between">
      <formula>80.1</formula>
      <formula>100</formula>
    </cfRule>
    <cfRule type="cellIs" dxfId="297" priority="296" stopIfTrue="1" operator="between">
      <formula>35.1</formula>
      <formula>80</formula>
    </cfRule>
    <cfRule type="cellIs" dxfId="296" priority="297" stopIfTrue="1" operator="between">
      <formula>14.1</formula>
      <formula>35</formula>
    </cfRule>
    <cfRule type="cellIs" dxfId="295" priority="298" stopIfTrue="1" operator="between">
      <formula>5.1</formula>
      <formula>14</formula>
    </cfRule>
    <cfRule type="cellIs" dxfId="294" priority="299" stopIfTrue="1" operator="between">
      <formula>0</formula>
      <formula>5</formula>
    </cfRule>
    <cfRule type="containsBlanks" dxfId="293" priority="300" stopIfTrue="1">
      <formula>LEN(TRIM(E70))=0</formula>
    </cfRule>
  </conditionalFormatting>
  <conditionalFormatting sqref="S70">
    <cfRule type="containsText" dxfId="292" priority="289" stopIfTrue="1" operator="containsText" text="INVIABLE SANITARIAMENTE">
      <formula>NOT(ISERROR(SEARCH("INVIABLE SANITARIAMENTE",S70)))</formula>
    </cfRule>
    <cfRule type="containsText" dxfId="291" priority="290" stopIfTrue="1" operator="containsText" text="ALTO">
      <formula>NOT(ISERROR(SEARCH("ALTO",S70)))</formula>
    </cfRule>
    <cfRule type="containsText" dxfId="290" priority="291" stopIfTrue="1" operator="containsText" text="MEDIO">
      <formula>NOT(ISERROR(SEARCH("MEDIO",S70)))</formula>
    </cfRule>
    <cfRule type="containsText" dxfId="289" priority="292" stopIfTrue="1" operator="containsText" text="BAJO">
      <formula>NOT(ISERROR(SEARCH("BAJO",S70)))</formula>
    </cfRule>
    <cfRule type="containsText" dxfId="288" priority="293" stopIfTrue="1" operator="containsText" text="SIN RIESGO">
      <formula>NOT(ISERROR(SEARCH("SIN RIESGO",S70)))</formula>
    </cfRule>
  </conditionalFormatting>
  <conditionalFormatting sqref="S70">
    <cfRule type="containsText" dxfId="287" priority="288" stopIfTrue="1" operator="containsText" text="SIN RIESGO">
      <formula>NOT(ISERROR(SEARCH("SIN RIESGO",S70)))</formula>
    </cfRule>
  </conditionalFormatting>
  <conditionalFormatting sqref="Q107">
    <cfRule type="containsBlanks" dxfId="286" priority="281" stopIfTrue="1">
      <formula>LEN(TRIM(Q107))=0</formula>
    </cfRule>
    <cfRule type="cellIs" dxfId="285" priority="282" stopIfTrue="1" operator="between">
      <formula>80.1</formula>
      <formula>100</formula>
    </cfRule>
    <cfRule type="cellIs" dxfId="284" priority="283" stopIfTrue="1" operator="between">
      <formula>35.1</formula>
      <formula>80</formula>
    </cfRule>
    <cfRule type="cellIs" dxfId="283" priority="284" stopIfTrue="1" operator="between">
      <formula>14.1</formula>
      <formula>35</formula>
    </cfRule>
    <cfRule type="cellIs" dxfId="282" priority="285" stopIfTrue="1" operator="between">
      <formula>5.1</formula>
      <formula>14</formula>
    </cfRule>
    <cfRule type="cellIs" dxfId="281" priority="286" stopIfTrue="1" operator="between">
      <formula>0</formula>
      <formula>5</formula>
    </cfRule>
    <cfRule type="containsBlanks" dxfId="280" priority="287" stopIfTrue="1">
      <formula>LEN(TRIM(Q107))=0</formula>
    </cfRule>
  </conditionalFormatting>
  <conditionalFormatting sqref="N107:O107 L107 J107">
    <cfRule type="containsBlanks" dxfId="279" priority="274" stopIfTrue="1">
      <formula>LEN(TRIM(J107))=0</formula>
    </cfRule>
    <cfRule type="cellIs" dxfId="278" priority="275" stopIfTrue="1" operator="between">
      <formula>80.1</formula>
      <formula>100</formula>
    </cfRule>
    <cfRule type="cellIs" dxfId="277" priority="276" stopIfTrue="1" operator="between">
      <formula>35.1</formula>
      <formula>80</formula>
    </cfRule>
    <cfRule type="cellIs" dxfId="276" priority="277" stopIfTrue="1" operator="between">
      <formula>14.1</formula>
      <formula>35</formula>
    </cfRule>
    <cfRule type="cellIs" dxfId="275" priority="278" stopIfTrue="1" operator="between">
      <formula>5.1</formula>
      <formula>14</formula>
    </cfRule>
    <cfRule type="cellIs" dxfId="274" priority="279" stopIfTrue="1" operator="between">
      <formula>0</formula>
      <formula>5</formula>
    </cfRule>
    <cfRule type="containsBlanks" dxfId="273" priority="280" stopIfTrue="1">
      <formula>LEN(TRIM(J107))=0</formula>
    </cfRule>
  </conditionalFormatting>
  <conditionalFormatting sqref="G107:I107 P107 M107 K107 E107">
    <cfRule type="containsBlanks" dxfId="272" priority="267" stopIfTrue="1">
      <formula>LEN(TRIM(E107))=0</formula>
    </cfRule>
    <cfRule type="cellIs" dxfId="271" priority="268" stopIfTrue="1" operator="between">
      <formula>80.1</formula>
      <formula>100</formula>
    </cfRule>
    <cfRule type="cellIs" dxfId="270" priority="269" stopIfTrue="1" operator="between">
      <formula>35.1</formula>
      <formula>80</formula>
    </cfRule>
    <cfRule type="cellIs" dxfId="269" priority="270" stopIfTrue="1" operator="between">
      <formula>14.1</formula>
      <formula>35</formula>
    </cfRule>
    <cfRule type="cellIs" dxfId="268" priority="271" stopIfTrue="1" operator="between">
      <formula>5.1</formula>
      <formula>14</formula>
    </cfRule>
    <cfRule type="cellIs" dxfId="267" priority="272" stopIfTrue="1" operator="between">
      <formula>0</formula>
      <formula>5</formula>
    </cfRule>
    <cfRule type="containsBlanks" dxfId="266" priority="273" stopIfTrue="1">
      <formula>LEN(TRIM(E107))=0</formula>
    </cfRule>
  </conditionalFormatting>
  <conditionalFormatting sqref="F107">
    <cfRule type="containsBlanks" dxfId="265" priority="260" stopIfTrue="1">
      <formula>LEN(TRIM(F107))=0</formula>
    </cfRule>
    <cfRule type="cellIs" dxfId="264" priority="261" stopIfTrue="1" operator="between">
      <formula>79.1</formula>
      <formula>100</formula>
    </cfRule>
    <cfRule type="cellIs" dxfId="263" priority="262" stopIfTrue="1" operator="between">
      <formula>34.1</formula>
      <formula>79</formula>
    </cfRule>
    <cfRule type="cellIs" dxfId="262" priority="263" stopIfTrue="1" operator="between">
      <formula>13.1</formula>
      <formula>34</formula>
    </cfRule>
    <cfRule type="cellIs" dxfId="261" priority="264" stopIfTrue="1" operator="between">
      <formula>5.1</formula>
      <formula>13</formula>
    </cfRule>
    <cfRule type="cellIs" dxfId="260" priority="265" stopIfTrue="1" operator="between">
      <formula>0</formula>
      <formula>5</formula>
    </cfRule>
    <cfRule type="containsBlanks" dxfId="259" priority="266" stopIfTrue="1">
      <formula>LEN(TRIM(F107))=0</formula>
    </cfRule>
  </conditionalFormatting>
  <conditionalFormatting sqref="R107">
    <cfRule type="cellIs" dxfId="258" priority="259" stopIfTrue="1" operator="equal">
      <formula>"NO"</formula>
    </cfRule>
  </conditionalFormatting>
  <conditionalFormatting sqref="S107">
    <cfRule type="cellIs" dxfId="257" priority="258" stopIfTrue="1" operator="equal">
      <formula>"INVIABLE SANITARIAMENTE"</formula>
    </cfRule>
  </conditionalFormatting>
  <conditionalFormatting sqref="S107">
    <cfRule type="containsText" dxfId="256" priority="253" stopIfTrue="1" operator="containsText" text="INVIABLE SANITARIAMENTE">
      <formula>NOT(ISERROR(SEARCH("INVIABLE SANITARIAMENTE",S107)))</formula>
    </cfRule>
    <cfRule type="containsText" dxfId="255" priority="254" stopIfTrue="1" operator="containsText" text="ALTO">
      <formula>NOT(ISERROR(SEARCH("ALTO",S107)))</formula>
    </cfRule>
    <cfRule type="containsText" dxfId="254" priority="255" stopIfTrue="1" operator="containsText" text="MEDIO">
      <formula>NOT(ISERROR(SEARCH("MEDIO",S107)))</formula>
    </cfRule>
    <cfRule type="containsText" dxfId="253" priority="256" stopIfTrue="1" operator="containsText" text="BAJO">
      <formula>NOT(ISERROR(SEARCH("BAJO",S107)))</formula>
    </cfRule>
    <cfRule type="containsText" dxfId="252" priority="257" stopIfTrue="1" operator="containsText" text="SIN RIESGO">
      <formula>NOT(ISERROR(SEARCH("SIN RIESGO",S107)))</formula>
    </cfRule>
  </conditionalFormatting>
  <conditionalFormatting sqref="S107">
    <cfRule type="containsText" dxfId="251" priority="252" stopIfTrue="1" operator="containsText" text="SIN RIESGO">
      <formula>NOT(ISERROR(SEARCH("SIN RIESGO",S107)))</formula>
    </cfRule>
  </conditionalFormatting>
  <conditionalFormatting sqref="S107">
    <cfRule type="cellIs" dxfId="250" priority="251" stopIfTrue="1" operator="equal">
      <formula>"INVIABLE SANITARIAMENTE"</formula>
    </cfRule>
  </conditionalFormatting>
  <conditionalFormatting sqref="S107">
    <cfRule type="containsText" dxfId="249" priority="246" stopIfTrue="1" operator="containsText" text="INVIABLE SANITARIAMENTE">
      <formula>NOT(ISERROR(SEARCH("INVIABLE SANITARIAMENTE",S107)))</formula>
    </cfRule>
    <cfRule type="containsText" dxfId="248" priority="247" stopIfTrue="1" operator="containsText" text="ALTO">
      <formula>NOT(ISERROR(SEARCH("ALTO",S107)))</formula>
    </cfRule>
    <cfRule type="containsText" dxfId="247" priority="248" stopIfTrue="1" operator="containsText" text="MEDIO">
      <formula>NOT(ISERROR(SEARCH("MEDIO",S107)))</formula>
    </cfRule>
    <cfRule type="containsText" dxfId="246" priority="249" stopIfTrue="1" operator="containsText" text="BAJO">
      <formula>NOT(ISERROR(SEARCH("BAJO",S107)))</formula>
    </cfRule>
    <cfRule type="containsText" dxfId="245" priority="250" stopIfTrue="1" operator="containsText" text="SIN RIESGO">
      <formula>NOT(ISERROR(SEARCH("SIN RIESGO",S107)))</formula>
    </cfRule>
  </conditionalFormatting>
  <conditionalFormatting sqref="S107">
    <cfRule type="containsText" dxfId="244" priority="245" stopIfTrue="1" operator="containsText" text="SIN RIESGO">
      <formula>NOT(ISERROR(SEARCH("SIN RIESGO",S107)))</formula>
    </cfRule>
  </conditionalFormatting>
  <conditionalFormatting sqref="Q109">
    <cfRule type="containsBlanks" dxfId="243" priority="238" stopIfTrue="1">
      <formula>LEN(TRIM(Q109))=0</formula>
    </cfRule>
    <cfRule type="cellIs" dxfId="242" priority="239" stopIfTrue="1" operator="between">
      <formula>80.1</formula>
      <formula>100</formula>
    </cfRule>
    <cfRule type="cellIs" dxfId="241" priority="240" stopIfTrue="1" operator="between">
      <formula>35.1</formula>
      <formula>80</formula>
    </cfRule>
    <cfRule type="cellIs" dxfId="240" priority="241" stopIfTrue="1" operator="between">
      <formula>14.1</formula>
      <formula>35</formula>
    </cfRule>
    <cfRule type="cellIs" dxfId="239" priority="242" stopIfTrue="1" operator="between">
      <formula>5.1</formula>
      <formula>14</formula>
    </cfRule>
    <cfRule type="cellIs" dxfId="238" priority="243" stopIfTrue="1" operator="between">
      <formula>0</formula>
      <formula>5</formula>
    </cfRule>
    <cfRule type="containsBlanks" dxfId="237" priority="244" stopIfTrue="1">
      <formula>LEN(TRIM(Q109))=0</formula>
    </cfRule>
  </conditionalFormatting>
  <conditionalFormatting sqref="N109:O109 L109 J109">
    <cfRule type="containsBlanks" dxfId="236" priority="231" stopIfTrue="1">
      <formula>LEN(TRIM(J109))=0</formula>
    </cfRule>
    <cfRule type="cellIs" dxfId="235" priority="232" stopIfTrue="1" operator="between">
      <formula>80.1</formula>
      <formula>100</formula>
    </cfRule>
    <cfRule type="cellIs" dxfId="234" priority="233" stopIfTrue="1" operator="between">
      <formula>35.1</formula>
      <formula>80</formula>
    </cfRule>
    <cfRule type="cellIs" dxfId="233" priority="234" stopIfTrue="1" operator="between">
      <formula>14.1</formula>
      <formula>35</formula>
    </cfRule>
    <cfRule type="cellIs" dxfId="232" priority="235" stopIfTrue="1" operator="between">
      <formula>5.1</formula>
      <formula>14</formula>
    </cfRule>
    <cfRule type="cellIs" dxfId="231" priority="236" stopIfTrue="1" operator="between">
      <formula>0</formula>
      <formula>5</formula>
    </cfRule>
    <cfRule type="containsBlanks" dxfId="230" priority="237" stopIfTrue="1">
      <formula>LEN(TRIM(J109))=0</formula>
    </cfRule>
  </conditionalFormatting>
  <conditionalFormatting sqref="P109 M109 K109 G109:I109 E109">
    <cfRule type="containsBlanks" dxfId="229" priority="224" stopIfTrue="1">
      <formula>LEN(TRIM(E109))=0</formula>
    </cfRule>
    <cfRule type="cellIs" dxfId="228" priority="225" stopIfTrue="1" operator="between">
      <formula>80.1</formula>
      <formula>100</formula>
    </cfRule>
    <cfRule type="cellIs" dxfId="227" priority="226" stopIfTrue="1" operator="between">
      <formula>35.1</formula>
      <formula>80</formula>
    </cfRule>
    <cfRule type="cellIs" dxfId="226" priority="227" stopIfTrue="1" operator="between">
      <formula>14.1</formula>
      <formula>35</formula>
    </cfRule>
    <cfRule type="cellIs" dxfId="225" priority="228" stopIfTrue="1" operator="between">
      <formula>5.1</formula>
      <formula>14</formula>
    </cfRule>
    <cfRule type="cellIs" dxfId="224" priority="229" stopIfTrue="1" operator="between">
      <formula>0</formula>
      <formula>5</formula>
    </cfRule>
    <cfRule type="containsBlanks" dxfId="223" priority="230" stopIfTrue="1">
      <formula>LEN(TRIM(E109))=0</formula>
    </cfRule>
  </conditionalFormatting>
  <conditionalFormatting sqref="F109">
    <cfRule type="containsBlanks" dxfId="222" priority="217" stopIfTrue="1">
      <formula>LEN(TRIM(F109))=0</formula>
    </cfRule>
    <cfRule type="cellIs" dxfId="221" priority="218" stopIfTrue="1" operator="between">
      <formula>79.1</formula>
      <formula>100</formula>
    </cfRule>
    <cfRule type="cellIs" dxfId="220" priority="219" stopIfTrue="1" operator="between">
      <formula>34.1</formula>
      <formula>79</formula>
    </cfRule>
    <cfRule type="cellIs" dxfId="219" priority="220" stopIfTrue="1" operator="between">
      <formula>13.1</formula>
      <formula>34</formula>
    </cfRule>
    <cfRule type="cellIs" dxfId="218" priority="221" stopIfTrue="1" operator="between">
      <formula>5.1</formula>
      <formula>13</formula>
    </cfRule>
    <cfRule type="cellIs" dxfId="217" priority="222" stopIfTrue="1" operator="between">
      <formula>0</formula>
      <formula>5</formula>
    </cfRule>
    <cfRule type="containsBlanks" dxfId="216" priority="223" stopIfTrue="1">
      <formula>LEN(TRIM(F109))=0</formula>
    </cfRule>
  </conditionalFormatting>
  <conditionalFormatting sqref="R109">
    <cfRule type="cellIs" dxfId="215" priority="216" stopIfTrue="1" operator="equal">
      <formula>"NO"</formula>
    </cfRule>
  </conditionalFormatting>
  <conditionalFormatting sqref="S109">
    <cfRule type="cellIs" dxfId="214" priority="215" stopIfTrue="1" operator="equal">
      <formula>"INVIABLE SANITARIAMENTE"</formula>
    </cfRule>
  </conditionalFormatting>
  <conditionalFormatting sqref="S109">
    <cfRule type="containsText" dxfId="213" priority="210" stopIfTrue="1" operator="containsText" text="INVIABLE SANITARIAMENTE">
      <formula>NOT(ISERROR(SEARCH("INVIABLE SANITARIAMENTE",S109)))</formula>
    </cfRule>
    <cfRule type="containsText" dxfId="212" priority="211" stopIfTrue="1" operator="containsText" text="ALTO">
      <formula>NOT(ISERROR(SEARCH("ALTO",S109)))</formula>
    </cfRule>
    <cfRule type="containsText" dxfId="211" priority="212" stopIfTrue="1" operator="containsText" text="MEDIO">
      <formula>NOT(ISERROR(SEARCH("MEDIO",S109)))</formula>
    </cfRule>
    <cfRule type="containsText" dxfId="210" priority="213" stopIfTrue="1" operator="containsText" text="BAJO">
      <formula>NOT(ISERROR(SEARCH("BAJO",S109)))</formula>
    </cfRule>
    <cfRule type="containsText" dxfId="209" priority="214" stopIfTrue="1" operator="containsText" text="SIN RIESGO">
      <formula>NOT(ISERROR(SEARCH("SIN RIESGO",S109)))</formula>
    </cfRule>
  </conditionalFormatting>
  <conditionalFormatting sqref="S109">
    <cfRule type="containsText" dxfId="208" priority="209" stopIfTrue="1" operator="containsText" text="SIN RIESGO">
      <formula>NOT(ISERROR(SEARCH("SIN RIESGO",S109)))</formula>
    </cfRule>
  </conditionalFormatting>
  <conditionalFormatting sqref="S109">
    <cfRule type="cellIs" dxfId="207" priority="208" stopIfTrue="1" operator="equal">
      <formula>"INVIABLE SANITARIAMENTE"</formula>
    </cfRule>
  </conditionalFormatting>
  <conditionalFormatting sqref="S109">
    <cfRule type="containsText" dxfId="206" priority="203" stopIfTrue="1" operator="containsText" text="INVIABLE SANITARIAMENTE">
      <formula>NOT(ISERROR(SEARCH("INVIABLE SANITARIAMENTE",S109)))</formula>
    </cfRule>
    <cfRule type="containsText" dxfId="205" priority="204" stopIfTrue="1" operator="containsText" text="ALTO">
      <formula>NOT(ISERROR(SEARCH("ALTO",S109)))</formula>
    </cfRule>
    <cfRule type="containsText" dxfId="204" priority="205" stopIfTrue="1" operator="containsText" text="MEDIO">
      <formula>NOT(ISERROR(SEARCH("MEDIO",S109)))</formula>
    </cfRule>
    <cfRule type="containsText" dxfId="203" priority="206" stopIfTrue="1" operator="containsText" text="BAJO">
      <formula>NOT(ISERROR(SEARCH("BAJO",S109)))</formula>
    </cfRule>
    <cfRule type="containsText" dxfId="202" priority="207" stopIfTrue="1" operator="containsText" text="SIN RIESGO">
      <formula>NOT(ISERROR(SEARCH("SIN RIESGO",S109)))</formula>
    </cfRule>
  </conditionalFormatting>
  <conditionalFormatting sqref="S109">
    <cfRule type="containsText" dxfId="201" priority="202" stopIfTrue="1" operator="containsText" text="SIN RIESGO">
      <formula>NOT(ISERROR(SEARCH("SIN RIESGO",S109)))</formula>
    </cfRule>
  </conditionalFormatting>
  <conditionalFormatting sqref="R346">
    <cfRule type="cellIs" dxfId="200" priority="200" stopIfTrue="1" operator="equal">
      <formula>"NO"</formula>
    </cfRule>
  </conditionalFormatting>
  <conditionalFormatting sqref="S346">
    <cfRule type="cellIs" dxfId="199" priority="201" stopIfTrue="1" operator="equal">
      <formula>"INVIABLE SANITARIAMENTE"</formula>
    </cfRule>
  </conditionalFormatting>
  <conditionalFormatting sqref="E346:Q346">
    <cfRule type="containsBlanks" dxfId="198" priority="193" stopIfTrue="1">
      <formula>LEN(TRIM(E346))=0</formula>
    </cfRule>
    <cfRule type="cellIs" dxfId="197" priority="194" stopIfTrue="1" operator="between">
      <formula>80.1</formula>
      <formula>100</formula>
    </cfRule>
    <cfRule type="cellIs" dxfId="196" priority="195" stopIfTrue="1" operator="between">
      <formula>35.1</formula>
      <formula>80</formula>
    </cfRule>
    <cfRule type="cellIs" dxfId="195" priority="196" stopIfTrue="1" operator="between">
      <formula>14.1</formula>
      <formula>35</formula>
    </cfRule>
    <cfRule type="cellIs" dxfId="194" priority="197" stopIfTrue="1" operator="between">
      <formula>5.1</formula>
      <formula>14</formula>
    </cfRule>
    <cfRule type="cellIs" dxfId="193" priority="198" stopIfTrue="1" operator="between">
      <formula>0</formula>
      <formula>5</formula>
    </cfRule>
    <cfRule type="containsBlanks" dxfId="192" priority="199" stopIfTrue="1">
      <formula>LEN(TRIM(E346))=0</formula>
    </cfRule>
  </conditionalFormatting>
  <conditionalFormatting sqref="S346">
    <cfRule type="containsText" dxfId="191" priority="188" stopIfTrue="1" operator="containsText" text="INVIABLE SANITARIAMENTE">
      <formula>NOT(ISERROR(SEARCH("INVIABLE SANITARIAMENTE",S346)))</formula>
    </cfRule>
    <cfRule type="containsText" dxfId="190" priority="189" stopIfTrue="1" operator="containsText" text="ALTO">
      <formula>NOT(ISERROR(SEARCH("ALTO",S346)))</formula>
    </cfRule>
    <cfRule type="containsText" dxfId="189" priority="190" stopIfTrue="1" operator="containsText" text="MEDIO">
      <formula>NOT(ISERROR(SEARCH("MEDIO",S346)))</formula>
    </cfRule>
    <cfRule type="containsText" dxfId="188" priority="191" stopIfTrue="1" operator="containsText" text="BAJO">
      <formula>NOT(ISERROR(SEARCH("BAJO",S346)))</formula>
    </cfRule>
    <cfRule type="containsText" dxfId="187" priority="192" stopIfTrue="1" operator="containsText" text="SIN RIESGO">
      <formula>NOT(ISERROR(SEARCH("SIN RIESGO",S346)))</formula>
    </cfRule>
  </conditionalFormatting>
  <conditionalFormatting sqref="S346">
    <cfRule type="containsText" dxfId="186" priority="187" stopIfTrue="1" operator="containsText" text="SIN RIESGO">
      <formula>NOT(ISERROR(SEARCH("SIN RIESGO",S346)))</formula>
    </cfRule>
  </conditionalFormatting>
  <conditionalFormatting sqref="E346:Q346">
    <cfRule type="containsBlanks" dxfId="185" priority="180" stopIfTrue="1">
      <formula>LEN(TRIM(E346))=0</formula>
    </cfRule>
    <cfRule type="cellIs" dxfId="184" priority="181" stopIfTrue="1" operator="between">
      <formula>80.1</formula>
      <formula>100</formula>
    </cfRule>
    <cfRule type="cellIs" dxfId="183" priority="182" stopIfTrue="1" operator="between">
      <formula>35.1</formula>
      <formula>80</formula>
    </cfRule>
    <cfRule type="cellIs" dxfId="182" priority="183" stopIfTrue="1" operator="between">
      <formula>14.1</formula>
      <formula>35</formula>
    </cfRule>
    <cfRule type="cellIs" dxfId="181" priority="184" stopIfTrue="1" operator="between">
      <formula>5.1</formula>
      <formula>14</formula>
    </cfRule>
    <cfRule type="cellIs" dxfId="180" priority="185" stopIfTrue="1" operator="between">
      <formula>0</formula>
      <formula>5</formula>
    </cfRule>
    <cfRule type="containsBlanks" dxfId="179" priority="186" stopIfTrue="1">
      <formula>LEN(TRIM(E346))=0</formula>
    </cfRule>
  </conditionalFormatting>
  <conditionalFormatting sqref="S346">
    <cfRule type="cellIs" dxfId="178" priority="179" stopIfTrue="1" operator="equal">
      <formula>"INVIABLE SANITARIAMENTE"</formula>
    </cfRule>
  </conditionalFormatting>
  <conditionalFormatting sqref="S346">
    <cfRule type="containsText" dxfId="177" priority="174" stopIfTrue="1" operator="containsText" text="INVIABLE SANITARIAMENTE">
      <formula>NOT(ISERROR(SEARCH("INVIABLE SANITARIAMENTE",S346)))</formula>
    </cfRule>
    <cfRule type="containsText" dxfId="176" priority="175" stopIfTrue="1" operator="containsText" text="ALTO">
      <formula>NOT(ISERROR(SEARCH("ALTO",S346)))</formula>
    </cfRule>
    <cfRule type="containsText" dxfId="175" priority="176" stopIfTrue="1" operator="containsText" text="MEDIO">
      <formula>NOT(ISERROR(SEARCH("MEDIO",S346)))</formula>
    </cfRule>
    <cfRule type="containsText" dxfId="174" priority="177" stopIfTrue="1" operator="containsText" text="BAJO">
      <formula>NOT(ISERROR(SEARCH("BAJO",S346)))</formula>
    </cfRule>
    <cfRule type="containsText" dxfId="173" priority="178" stopIfTrue="1" operator="containsText" text="SIN RIESGO">
      <formula>NOT(ISERROR(SEARCH("SIN RIESGO",S346)))</formula>
    </cfRule>
  </conditionalFormatting>
  <conditionalFormatting sqref="S346">
    <cfRule type="containsText" dxfId="172" priority="173" stopIfTrue="1" operator="containsText" text="SIN RIESGO">
      <formula>NOT(ISERROR(SEARCH("SIN RIESGO",S346)))</formula>
    </cfRule>
  </conditionalFormatting>
  <conditionalFormatting sqref="S346">
    <cfRule type="cellIs" dxfId="171" priority="172" stopIfTrue="1" operator="equal">
      <formula>"INVIABLE SANITARIAMENTE"</formula>
    </cfRule>
  </conditionalFormatting>
  <conditionalFormatting sqref="S346">
    <cfRule type="containsText" dxfId="170" priority="167" stopIfTrue="1" operator="containsText" text="INVIABLE SANITARIAMENTE">
      <formula>NOT(ISERROR(SEARCH("INVIABLE SANITARIAMENTE",S346)))</formula>
    </cfRule>
    <cfRule type="containsText" dxfId="169" priority="168" stopIfTrue="1" operator="containsText" text="ALTO">
      <formula>NOT(ISERROR(SEARCH("ALTO",S346)))</formula>
    </cfRule>
    <cfRule type="containsText" dxfId="168" priority="169" stopIfTrue="1" operator="containsText" text="MEDIO">
      <formula>NOT(ISERROR(SEARCH("MEDIO",S346)))</formula>
    </cfRule>
    <cfRule type="containsText" dxfId="167" priority="170" stopIfTrue="1" operator="containsText" text="BAJO">
      <formula>NOT(ISERROR(SEARCH("BAJO",S346)))</formula>
    </cfRule>
    <cfRule type="containsText" dxfId="166" priority="171" stopIfTrue="1" operator="containsText" text="SIN RIESGO">
      <formula>NOT(ISERROR(SEARCH("SIN RIESGO",S346)))</formula>
    </cfRule>
  </conditionalFormatting>
  <conditionalFormatting sqref="S346">
    <cfRule type="containsText" dxfId="165" priority="166" stopIfTrue="1" operator="containsText" text="SIN RIESGO">
      <formula>NOT(ISERROR(SEARCH("SIN RIESGO",S346)))</formula>
    </cfRule>
  </conditionalFormatting>
  <conditionalFormatting sqref="R347">
    <cfRule type="cellIs" dxfId="164" priority="164" stopIfTrue="1" operator="equal">
      <formula>"NO"</formula>
    </cfRule>
  </conditionalFormatting>
  <conditionalFormatting sqref="S347">
    <cfRule type="cellIs" dxfId="163" priority="165" stopIfTrue="1" operator="equal">
      <formula>"INVIABLE SANITARIAMENTE"</formula>
    </cfRule>
  </conditionalFormatting>
  <conditionalFormatting sqref="E347:Q347">
    <cfRule type="containsBlanks" dxfId="162" priority="157" stopIfTrue="1">
      <formula>LEN(TRIM(E347))=0</formula>
    </cfRule>
    <cfRule type="cellIs" dxfId="161" priority="158" stopIfTrue="1" operator="between">
      <formula>80.1</formula>
      <formula>100</formula>
    </cfRule>
    <cfRule type="cellIs" dxfId="160" priority="159" stopIfTrue="1" operator="between">
      <formula>35.1</formula>
      <formula>80</formula>
    </cfRule>
    <cfRule type="cellIs" dxfId="159" priority="160" stopIfTrue="1" operator="between">
      <formula>14.1</formula>
      <formula>35</formula>
    </cfRule>
    <cfRule type="cellIs" dxfId="158" priority="161" stopIfTrue="1" operator="between">
      <formula>5.1</formula>
      <formula>14</formula>
    </cfRule>
    <cfRule type="cellIs" dxfId="157" priority="162" stopIfTrue="1" operator="between">
      <formula>0</formula>
      <formula>5</formula>
    </cfRule>
    <cfRule type="containsBlanks" dxfId="156" priority="163" stopIfTrue="1">
      <formula>LEN(TRIM(E347))=0</formula>
    </cfRule>
  </conditionalFormatting>
  <conditionalFormatting sqref="S347">
    <cfRule type="containsText" dxfId="155" priority="152" stopIfTrue="1" operator="containsText" text="INVIABLE SANITARIAMENTE">
      <formula>NOT(ISERROR(SEARCH("INVIABLE SANITARIAMENTE",S347)))</formula>
    </cfRule>
    <cfRule type="containsText" dxfId="154" priority="153" stopIfTrue="1" operator="containsText" text="ALTO">
      <formula>NOT(ISERROR(SEARCH("ALTO",S347)))</formula>
    </cfRule>
    <cfRule type="containsText" dxfId="153" priority="154" stopIfTrue="1" operator="containsText" text="MEDIO">
      <formula>NOT(ISERROR(SEARCH("MEDIO",S347)))</formula>
    </cfRule>
    <cfRule type="containsText" dxfId="152" priority="155" stopIfTrue="1" operator="containsText" text="BAJO">
      <formula>NOT(ISERROR(SEARCH("BAJO",S347)))</formula>
    </cfRule>
    <cfRule type="containsText" dxfId="151" priority="156" stopIfTrue="1" operator="containsText" text="SIN RIESGO">
      <formula>NOT(ISERROR(SEARCH("SIN RIESGO",S347)))</formula>
    </cfRule>
  </conditionalFormatting>
  <conditionalFormatting sqref="S347">
    <cfRule type="containsText" dxfId="150" priority="151" stopIfTrue="1" operator="containsText" text="SIN RIESGO">
      <formula>NOT(ISERROR(SEARCH("SIN RIESGO",S347)))</formula>
    </cfRule>
  </conditionalFormatting>
  <conditionalFormatting sqref="E347:Q347">
    <cfRule type="containsBlanks" dxfId="149" priority="144" stopIfTrue="1">
      <formula>LEN(TRIM(E347))=0</formula>
    </cfRule>
    <cfRule type="cellIs" dxfId="148" priority="145" stopIfTrue="1" operator="between">
      <formula>80.1</formula>
      <formula>100</formula>
    </cfRule>
    <cfRule type="cellIs" dxfId="147" priority="146" stopIfTrue="1" operator="between">
      <formula>35.1</formula>
      <formula>80</formula>
    </cfRule>
    <cfRule type="cellIs" dxfId="146" priority="147" stopIfTrue="1" operator="between">
      <formula>14.1</formula>
      <formula>35</formula>
    </cfRule>
    <cfRule type="cellIs" dxfId="145" priority="148" stopIfTrue="1" operator="between">
      <formula>5.1</formula>
      <formula>14</formula>
    </cfRule>
    <cfRule type="cellIs" dxfId="144" priority="149" stopIfTrue="1" operator="between">
      <formula>0</formula>
      <formula>5</formula>
    </cfRule>
    <cfRule type="containsBlanks" dxfId="143" priority="150" stopIfTrue="1">
      <formula>LEN(TRIM(E347))=0</formula>
    </cfRule>
  </conditionalFormatting>
  <conditionalFormatting sqref="S347">
    <cfRule type="cellIs" dxfId="142" priority="143" stopIfTrue="1" operator="equal">
      <formula>"INVIABLE SANITARIAMENTE"</formula>
    </cfRule>
  </conditionalFormatting>
  <conditionalFormatting sqref="S347">
    <cfRule type="containsText" dxfId="141" priority="138" stopIfTrue="1" operator="containsText" text="INVIABLE SANITARIAMENTE">
      <formula>NOT(ISERROR(SEARCH("INVIABLE SANITARIAMENTE",S347)))</formula>
    </cfRule>
    <cfRule type="containsText" dxfId="140" priority="139" stopIfTrue="1" operator="containsText" text="ALTO">
      <formula>NOT(ISERROR(SEARCH("ALTO",S347)))</formula>
    </cfRule>
    <cfRule type="containsText" dxfId="139" priority="140" stopIfTrue="1" operator="containsText" text="MEDIO">
      <formula>NOT(ISERROR(SEARCH("MEDIO",S347)))</formula>
    </cfRule>
    <cfRule type="containsText" dxfId="138" priority="141" stopIfTrue="1" operator="containsText" text="BAJO">
      <formula>NOT(ISERROR(SEARCH("BAJO",S347)))</formula>
    </cfRule>
    <cfRule type="containsText" dxfId="137" priority="142" stopIfTrue="1" operator="containsText" text="SIN RIESGO">
      <formula>NOT(ISERROR(SEARCH("SIN RIESGO",S347)))</formula>
    </cfRule>
  </conditionalFormatting>
  <conditionalFormatting sqref="S347">
    <cfRule type="containsText" dxfId="136" priority="137" stopIfTrue="1" operator="containsText" text="SIN RIESGO">
      <formula>NOT(ISERROR(SEARCH("SIN RIESGO",S347)))</formula>
    </cfRule>
  </conditionalFormatting>
  <conditionalFormatting sqref="S347">
    <cfRule type="cellIs" dxfId="135" priority="136" stopIfTrue="1" operator="equal">
      <formula>"INVIABLE SANITARIAMENTE"</formula>
    </cfRule>
  </conditionalFormatting>
  <conditionalFormatting sqref="S347">
    <cfRule type="containsText" dxfId="134" priority="131" stopIfTrue="1" operator="containsText" text="INVIABLE SANITARIAMENTE">
      <formula>NOT(ISERROR(SEARCH("INVIABLE SANITARIAMENTE",S347)))</formula>
    </cfRule>
    <cfRule type="containsText" dxfId="133" priority="132" stopIfTrue="1" operator="containsText" text="ALTO">
      <formula>NOT(ISERROR(SEARCH("ALTO",S347)))</formula>
    </cfRule>
    <cfRule type="containsText" dxfId="132" priority="133" stopIfTrue="1" operator="containsText" text="MEDIO">
      <formula>NOT(ISERROR(SEARCH("MEDIO",S347)))</formula>
    </cfRule>
    <cfRule type="containsText" dxfId="131" priority="134" stopIfTrue="1" operator="containsText" text="BAJO">
      <formula>NOT(ISERROR(SEARCH("BAJO",S347)))</formula>
    </cfRule>
    <cfRule type="containsText" dxfId="130" priority="135" stopIfTrue="1" operator="containsText" text="SIN RIESGO">
      <formula>NOT(ISERROR(SEARCH("SIN RIESGO",S347)))</formula>
    </cfRule>
  </conditionalFormatting>
  <conditionalFormatting sqref="S347">
    <cfRule type="containsText" dxfId="129" priority="130" stopIfTrue="1" operator="containsText" text="SIN RIESGO">
      <formula>NOT(ISERROR(SEARCH("SIN RIESGO",S347)))</formula>
    </cfRule>
  </conditionalFormatting>
  <conditionalFormatting sqref="S441">
    <cfRule type="cellIs" dxfId="128" priority="129" stopIfTrue="1" operator="equal">
      <formula>"INVIABLE SANITARIAMENTE"</formula>
    </cfRule>
  </conditionalFormatting>
  <conditionalFormatting sqref="E441:Q441">
    <cfRule type="containsBlanks" dxfId="127" priority="122" stopIfTrue="1">
      <formula>LEN(TRIM(E441))=0</formula>
    </cfRule>
    <cfRule type="cellIs" dxfId="126" priority="123" stopIfTrue="1" operator="between">
      <formula>80.1</formula>
      <formula>100</formula>
    </cfRule>
    <cfRule type="cellIs" dxfId="125" priority="124" stopIfTrue="1" operator="between">
      <formula>35.1</formula>
      <formula>80</formula>
    </cfRule>
    <cfRule type="cellIs" dxfId="124" priority="125" stopIfTrue="1" operator="between">
      <formula>14.1</formula>
      <formula>35</formula>
    </cfRule>
    <cfRule type="cellIs" dxfId="123" priority="126" stopIfTrue="1" operator="between">
      <formula>5.1</formula>
      <formula>14</formula>
    </cfRule>
    <cfRule type="cellIs" dxfId="122" priority="127" stopIfTrue="1" operator="between">
      <formula>0</formula>
      <formula>5</formula>
    </cfRule>
    <cfRule type="containsBlanks" dxfId="121" priority="128" stopIfTrue="1">
      <formula>LEN(TRIM(E441))=0</formula>
    </cfRule>
  </conditionalFormatting>
  <conditionalFormatting sqref="S441">
    <cfRule type="containsText" dxfId="120" priority="117" stopIfTrue="1" operator="containsText" text="INVIABLE SANITARIAMENTE">
      <formula>NOT(ISERROR(SEARCH("INVIABLE SANITARIAMENTE",S441)))</formula>
    </cfRule>
    <cfRule type="containsText" dxfId="119" priority="118" stopIfTrue="1" operator="containsText" text="ALTO">
      <formula>NOT(ISERROR(SEARCH("ALTO",S441)))</formula>
    </cfRule>
    <cfRule type="containsText" dxfId="118" priority="119" stopIfTrue="1" operator="containsText" text="MEDIO">
      <formula>NOT(ISERROR(SEARCH("MEDIO",S441)))</formula>
    </cfRule>
    <cfRule type="containsText" dxfId="117" priority="120" stopIfTrue="1" operator="containsText" text="BAJO">
      <formula>NOT(ISERROR(SEARCH("BAJO",S441)))</formula>
    </cfRule>
    <cfRule type="containsText" dxfId="116" priority="121" stopIfTrue="1" operator="containsText" text="SIN RIESGO">
      <formula>NOT(ISERROR(SEARCH("SIN RIESGO",S441)))</formula>
    </cfRule>
  </conditionalFormatting>
  <conditionalFormatting sqref="S441">
    <cfRule type="containsText" dxfId="115" priority="116" stopIfTrue="1" operator="containsText" text="SIN RIESGO">
      <formula>NOT(ISERROR(SEARCH("SIN RIESGO",S441)))</formula>
    </cfRule>
  </conditionalFormatting>
  <conditionalFormatting sqref="R441">
    <cfRule type="cellIs" dxfId="114" priority="115" stopIfTrue="1" operator="equal">
      <formula>"NO"</formula>
    </cfRule>
  </conditionalFormatting>
  <conditionalFormatting sqref="Q441">
    <cfRule type="containsBlanks" dxfId="113" priority="108" stopIfTrue="1">
      <formula>LEN(TRIM(Q441))=0</formula>
    </cfRule>
    <cfRule type="cellIs" dxfId="112" priority="109" stopIfTrue="1" operator="between">
      <formula>80.1</formula>
      <formula>100</formula>
    </cfRule>
    <cfRule type="cellIs" dxfId="111" priority="110" stopIfTrue="1" operator="between">
      <formula>35.1</formula>
      <formula>80</formula>
    </cfRule>
    <cfRule type="cellIs" dxfId="110" priority="111" stopIfTrue="1" operator="between">
      <formula>14.1</formula>
      <formula>35</formula>
    </cfRule>
    <cfRule type="cellIs" dxfId="109" priority="112" stopIfTrue="1" operator="between">
      <formula>5.1</formula>
      <formula>14</formula>
    </cfRule>
    <cfRule type="cellIs" dxfId="108" priority="113" stopIfTrue="1" operator="between">
      <formula>0</formula>
      <formula>5</formula>
    </cfRule>
    <cfRule type="containsBlanks" dxfId="107" priority="114" stopIfTrue="1">
      <formula>LEN(TRIM(Q441))=0</formula>
    </cfRule>
  </conditionalFormatting>
  <conditionalFormatting sqref="Q441">
    <cfRule type="containsBlanks" dxfId="106" priority="101" stopIfTrue="1">
      <formula>LEN(TRIM(Q441))=0</formula>
    </cfRule>
    <cfRule type="cellIs" dxfId="105" priority="102" stopIfTrue="1" operator="between">
      <formula>80.1</formula>
      <formula>100</formula>
    </cfRule>
    <cfRule type="cellIs" dxfId="104" priority="103" stopIfTrue="1" operator="between">
      <formula>35.1</formula>
      <formula>80</formula>
    </cfRule>
    <cfRule type="cellIs" dxfId="103" priority="104" stopIfTrue="1" operator="between">
      <formula>14.1</formula>
      <formula>35</formula>
    </cfRule>
    <cfRule type="cellIs" dxfId="102" priority="105" stopIfTrue="1" operator="between">
      <formula>5.1</formula>
      <formula>14</formula>
    </cfRule>
    <cfRule type="cellIs" dxfId="101" priority="106" stopIfTrue="1" operator="between">
      <formula>0</formula>
      <formula>5</formula>
    </cfRule>
    <cfRule type="containsBlanks" dxfId="100" priority="107" stopIfTrue="1">
      <formula>LEN(TRIM(Q441))=0</formula>
    </cfRule>
  </conditionalFormatting>
  <conditionalFormatting sqref="S441">
    <cfRule type="cellIs" dxfId="99" priority="100" stopIfTrue="1" operator="equal">
      <formula>"INVIABLE SANITARIAMENTE"</formula>
    </cfRule>
  </conditionalFormatting>
  <conditionalFormatting sqref="S441">
    <cfRule type="containsText" dxfId="98" priority="95" stopIfTrue="1" operator="containsText" text="INVIABLE SANITARIAMENTE">
      <formula>NOT(ISERROR(SEARCH("INVIABLE SANITARIAMENTE",S441)))</formula>
    </cfRule>
    <cfRule type="containsText" dxfId="97" priority="96" stopIfTrue="1" operator="containsText" text="ALTO">
      <formula>NOT(ISERROR(SEARCH("ALTO",S441)))</formula>
    </cfRule>
    <cfRule type="containsText" dxfId="96" priority="97" stopIfTrue="1" operator="containsText" text="MEDIO">
      <formula>NOT(ISERROR(SEARCH("MEDIO",S441)))</formula>
    </cfRule>
    <cfRule type="containsText" dxfId="95" priority="98" stopIfTrue="1" operator="containsText" text="BAJO">
      <formula>NOT(ISERROR(SEARCH("BAJO",S441)))</formula>
    </cfRule>
    <cfRule type="containsText" dxfId="94" priority="99" stopIfTrue="1" operator="containsText" text="SIN RIESGO">
      <formula>NOT(ISERROR(SEARCH("SIN RIESGO",S441)))</formula>
    </cfRule>
  </conditionalFormatting>
  <conditionalFormatting sqref="S441">
    <cfRule type="containsText" dxfId="93" priority="94" stopIfTrue="1" operator="containsText" text="SIN RIESGO">
      <formula>NOT(ISERROR(SEARCH("SIN RIESGO",S441)))</formula>
    </cfRule>
  </conditionalFormatting>
  <conditionalFormatting sqref="S441">
    <cfRule type="cellIs" dxfId="92" priority="93" stopIfTrue="1" operator="equal">
      <formula>"INVIABLE SANITARIAMENTE"</formula>
    </cfRule>
  </conditionalFormatting>
  <conditionalFormatting sqref="S441">
    <cfRule type="containsText" dxfId="91" priority="88" stopIfTrue="1" operator="containsText" text="INVIABLE SANITARIAMENTE">
      <formula>NOT(ISERROR(SEARCH("INVIABLE SANITARIAMENTE",S441)))</formula>
    </cfRule>
    <cfRule type="containsText" dxfId="90" priority="89" stopIfTrue="1" operator="containsText" text="ALTO">
      <formula>NOT(ISERROR(SEARCH("ALTO",S441)))</formula>
    </cfRule>
    <cfRule type="containsText" dxfId="89" priority="90" stopIfTrue="1" operator="containsText" text="MEDIO">
      <formula>NOT(ISERROR(SEARCH("MEDIO",S441)))</formula>
    </cfRule>
    <cfRule type="containsText" dxfId="88" priority="91" stopIfTrue="1" operator="containsText" text="BAJO">
      <formula>NOT(ISERROR(SEARCH("BAJO",S441)))</formula>
    </cfRule>
    <cfRule type="containsText" dxfId="87" priority="92" stopIfTrue="1" operator="containsText" text="SIN RIESGO">
      <formula>NOT(ISERROR(SEARCH("SIN RIESGO",S441)))</formula>
    </cfRule>
  </conditionalFormatting>
  <conditionalFormatting sqref="S441">
    <cfRule type="containsText" dxfId="86" priority="87" stopIfTrue="1" operator="containsText" text="SIN RIESGO">
      <formula>NOT(ISERROR(SEARCH("SIN RIESGO",S441)))</formula>
    </cfRule>
  </conditionalFormatting>
  <conditionalFormatting sqref="S442">
    <cfRule type="cellIs" dxfId="85" priority="86" stopIfTrue="1" operator="equal">
      <formula>"INVIABLE SANITARIAMENTE"</formula>
    </cfRule>
  </conditionalFormatting>
  <conditionalFormatting sqref="E442:Q442">
    <cfRule type="containsBlanks" dxfId="84" priority="79" stopIfTrue="1">
      <formula>LEN(TRIM(E442))=0</formula>
    </cfRule>
    <cfRule type="cellIs" dxfId="83" priority="80" stopIfTrue="1" operator="between">
      <formula>80.1</formula>
      <formula>100</formula>
    </cfRule>
    <cfRule type="cellIs" dxfId="82" priority="81" stopIfTrue="1" operator="between">
      <formula>35.1</formula>
      <formula>80</formula>
    </cfRule>
    <cfRule type="cellIs" dxfId="81" priority="82" stopIfTrue="1" operator="between">
      <formula>14.1</formula>
      <formula>35</formula>
    </cfRule>
    <cfRule type="cellIs" dxfId="80" priority="83" stopIfTrue="1" operator="between">
      <formula>5.1</formula>
      <formula>14</formula>
    </cfRule>
    <cfRule type="cellIs" dxfId="79" priority="84" stopIfTrue="1" operator="between">
      <formula>0</formula>
      <formula>5</formula>
    </cfRule>
    <cfRule type="containsBlanks" dxfId="78" priority="85" stopIfTrue="1">
      <formula>LEN(TRIM(E442))=0</formula>
    </cfRule>
  </conditionalFormatting>
  <conditionalFormatting sqref="S442">
    <cfRule type="containsText" dxfId="77" priority="74" stopIfTrue="1" operator="containsText" text="INVIABLE SANITARIAMENTE">
      <formula>NOT(ISERROR(SEARCH("INVIABLE SANITARIAMENTE",S442)))</formula>
    </cfRule>
    <cfRule type="containsText" dxfId="76" priority="75" stopIfTrue="1" operator="containsText" text="ALTO">
      <formula>NOT(ISERROR(SEARCH("ALTO",S442)))</formula>
    </cfRule>
    <cfRule type="containsText" dxfId="75" priority="76" stopIfTrue="1" operator="containsText" text="MEDIO">
      <formula>NOT(ISERROR(SEARCH("MEDIO",S442)))</formula>
    </cfRule>
    <cfRule type="containsText" dxfId="74" priority="77" stopIfTrue="1" operator="containsText" text="BAJO">
      <formula>NOT(ISERROR(SEARCH("BAJO",S442)))</formula>
    </cfRule>
    <cfRule type="containsText" dxfId="73" priority="78" stopIfTrue="1" operator="containsText" text="SIN RIESGO">
      <formula>NOT(ISERROR(SEARCH("SIN RIESGO",S442)))</formula>
    </cfRule>
  </conditionalFormatting>
  <conditionalFormatting sqref="S442">
    <cfRule type="containsText" dxfId="72" priority="73" stopIfTrue="1" operator="containsText" text="SIN RIESGO">
      <formula>NOT(ISERROR(SEARCH("SIN RIESGO",S442)))</formula>
    </cfRule>
  </conditionalFormatting>
  <conditionalFormatting sqref="R442">
    <cfRule type="cellIs" dxfId="71" priority="72" stopIfTrue="1" operator="equal">
      <formula>"NO"</formula>
    </cfRule>
  </conditionalFormatting>
  <conditionalFormatting sqref="Q442">
    <cfRule type="containsBlanks" dxfId="70" priority="65" stopIfTrue="1">
      <formula>LEN(TRIM(Q442))=0</formula>
    </cfRule>
    <cfRule type="cellIs" dxfId="69" priority="66" stopIfTrue="1" operator="between">
      <formula>80.1</formula>
      <formula>100</formula>
    </cfRule>
    <cfRule type="cellIs" dxfId="68" priority="67" stopIfTrue="1" operator="between">
      <formula>35.1</formula>
      <formula>80</formula>
    </cfRule>
    <cfRule type="cellIs" dxfId="67" priority="68" stopIfTrue="1" operator="between">
      <formula>14.1</formula>
      <formula>35</formula>
    </cfRule>
    <cfRule type="cellIs" dxfId="66" priority="69" stopIfTrue="1" operator="between">
      <formula>5.1</formula>
      <formula>14</formula>
    </cfRule>
    <cfRule type="cellIs" dxfId="65" priority="70" stopIfTrue="1" operator="between">
      <formula>0</formula>
      <formula>5</formula>
    </cfRule>
    <cfRule type="containsBlanks" dxfId="64" priority="71" stopIfTrue="1">
      <formula>LEN(TRIM(Q442))=0</formula>
    </cfRule>
  </conditionalFormatting>
  <conditionalFormatting sqref="Q442">
    <cfRule type="containsBlanks" dxfId="63" priority="58" stopIfTrue="1">
      <formula>LEN(TRIM(Q442))=0</formula>
    </cfRule>
    <cfRule type="cellIs" dxfId="62" priority="59" stopIfTrue="1" operator="between">
      <formula>80.1</formula>
      <formula>100</formula>
    </cfRule>
    <cfRule type="cellIs" dxfId="61" priority="60" stopIfTrue="1" operator="between">
      <formula>35.1</formula>
      <formula>80</formula>
    </cfRule>
    <cfRule type="cellIs" dxfId="60" priority="61" stopIfTrue="1" operator="between">
      <formula>14.1</formula>
      <formula>35</formula>
    </cfRule>
    <cfRule type="cellIs" dxfId="59" priority="62" stopIfTrue="1" operator="between">
      <formula>5.1</formula>
      <formula>14</formula>
    </cfRule>
    <cfRule type="cellIs" dxfId="58" priority="63" stopIfTrue="1" operator="between">
      <formula>0</formula>
      <formula>5</formula>
    </cfRule>
    <cfRule type="containsBlanks" dxfId="57" priority="64" stopIfTrue="1">
      <formula>LEN(TRIM(Q442))=0</formula>
    </cfRule>
  </conditionalFormatting>
  <conditionalFormatting sqref="S442">
    <cfRule type="cellIs" dxfId="56" priority="57" stopIfTrue="1" operator="equal">
      <formula>"INVIABLE SANITARIAMENTE"</formula>
    </cfRule>
  </conditionalFormatting>
  <conditionalFormatting sqref="S442">
    <cfRule type="containsText" dxfId="55" priority="52" stopIfTrue="1" operator="containsText" text="INVIABLE SANITARIAMENTE">
      <formula>NOT(ISERROR(SEARCH("INVIABLE SANITARIAMENTE",S442)))</formula>
    </cfRule>
    <cfRule type="containsText" dxfId="54" priority="53" stopIfTrue="1" operator="containsText" text="ALTO">
      <formula>NOT(ISERROR(SEARCH("ALTO",S442)))</formula>
    </cfRule>
    <cfRule type="containsText" dxfId="53" priority="54" stopIfTrue="1" operator="containsText" text="MEDIO">
      <formula>NOT(ISERROR(SEARCH("MEDIO",S442)))</formula>
    </cfRule>
    <cfRule type="containsText" dxfId="52" priority="55" stopIfTrue="1" operator="containsText" text="BAJO">
      <formula>NOT(ISERROR(SEARCH("BAJO",S442)))</formula>
    </cfRule>
    <cfRule type="containsText" dxfId="51" priority="56" stopIfTrue="1" operator="containsText" text="SIN RIESGO">
      <formula>NOT(ISERROR(SEARCH("SIN RIESGO",S442)))</formula>
    </cfRule>
  </conditionalFormatting>
  <conditionalFormatting sqref="S442">
    <cfRule type="containsText" dxfId="50" priority="51" stopIfTrue="1" operator="containsText" text="SIN RIESGO">
      <formula>NOT(ISERROR(SEARCH("SIN RIESGO",S442)))</formula>
    </cfRule>
  </conditionalFormatting>
  <conditionalFormatting sqref="S442">
    <cfRule type="cellIs" dxfId="49" priority="50" stopIfTrue="1" operator="equal">
      <formula>"INVIABLE SANITARIAMENTE"</formula>
    </cfRule>
  </conditionalFormatting>
  <conditionalFormatting sqref="S442">
    <cfRule type="containsText" dxfId="48" priority="45" stopIfTrue="1" operator="containsText" text="INVIABLE SANITARIAMENTE">
      <formula>NOT(ISERROR(SEARCH("INVIABLE SANITARIAMENTE",S442)))</formula>
    </cfRule>
    <cfRule type="containsText" dxfId="47" priority="46" stopIfTrue="1" operator="containsText" text="ALTO">
      <formula>NOT(ISERROR(SEARCH("ALTO",S442)))</formula>
    </cfRule>
    <cfRule type="containsText" dxfId="46" priority="47" stopIfTrue="1" operator="containsText" text="MEDIO">
      <formula>NOT(ISERROR(SEARCH("MEDIO",S442)))</formula>
    </cfRule>
    <cfRule type="containsText" dxfId="45" priority="48" stopIfTrue="1" operator="containsText" text="BAJO">
      <formula>NOT(ISERROR(SEARCH("BAJO",S442)))</formula>
    </cfRule>
    <cfRule type="containsText" dxfId="44" priority="49" stopIfTrue="1" operator="containsText" text="SIN RIESGO">
      <formula>NOT(ISERROR(SEARCH("SIN RIESGO",S442)))</formula>
    </cfRule>
  </conditionalFormatting>
  <conditionalFormatting sqref="S442">
    <cfRule type="containsText" dxfId="43" priority="44" stopIfTrue="1" operator="containsText" text="SIN RIESGO">
      <formula>NOT(ISERROR(SEARCH("SIN RIESGO",S442)))</formula>
    </cfRule>
  </conditionalFormatting>
  <conditionalFormatting sqref="S452">
    <cfRule type="cellIs" dxfId="42" priority="43" stopIfTrue="1" operator="equal">
      <formula>"INVIABLE SANITARIAMENTE"</formula>
    </cfRule>
  </conditionalFormatting>
  <conditionalFormatting sqref="E452:Q452">
    <cfRule type="containsBlanks" dxfId="41" priority="36" stopIfTrue="1">
      <formula>LEN(TRIM(E452))=0</formula>
    </cfRule>
    <cfRule type="cellIs" dxfId="40" priority="37" stopIfTrue="1" operator="between">
      <formula>80.1</formula>
      <formula>100</formula>
    </cfRule>
    <cfRule type="cellIs" dxfId="39" priority="38" stopIfTrue="1" operator="between">
      <formula>35.1</formula>
      <formula>80</formula>
    </cfRule>
    <cfRule type="cellIs" dxfId="38" priority="39" stopIfTrue="1" operator="between">
      <formula>14.1</formula>
      <formula>35</formula>
    </cfRule>
    <cfRule type="cellIs" dxfId="37" priority="40" stopIfTrue="1" operator="between">
      <formula>5.1</formula>
      <formula>14</formula>
    </cfRule>
    <cfRule type="cellIs" dxfId="36" priority="41" stopIfTrue="1" operator="between">
      <formula>0</formula>
      <formula>5</formula>
    </cfRule>
    <cfRule type="containsBlanks" dxfId="35" priority="42" stopIfTrue="1">
      <formula>LEN(TRIM(E452))=0</formula>
    </cfRule>
  </conditionalFormatting>
  <conditionalFormatting sqref="S452">
    <cfRule type="containsText" dxfId="34" priority="31" stopIfTrue="1" operator="containsText" text="INVIABLE SANITARIAMENTE">
      <formula>NOT(ISERROR(SEARCH("INVIABLE SANITARIAMENTE",S452)))</formula>
    </cfRule>
    <cfRule type="containsText" dxfId="33" priority="32" stopIfTrue="1" operator="containsText" text="ALTO">
      <formula>NOT(ISERROR(SEARCH("ALTO",S452)))</formula>
    </cfRule>
    <cfRule type="containsText" dxfId="32" priority="33" stopIfTrue="1" operator="containsText" text="MEDIO">
      <formula>NOT(ISERROR(SEARCH("MEDIO",S452)))</formula>
    </cfRule>
    <cfRule type="containsText" dxfId="31" priority="34" stopIfTrue="1" operator="containsText" text="BAJO">
      <formula>NOT(ISERROR(SEARCH("BAJO",S452)))</formula>
    </cfRule>
    <cfRule type="containsText" dxfId="30" priority="35" stopIfTrue="1" operator="containsText" text="SIN RIESGO">
      <formula>NOT(ISERROR(SEARCH("SIN RIESGO",S452)))</formula>
    </cfRule>
  </conditionalFormatting>
  <conditionalFormatting sqref="S452">
    <cfRule type="containsText" dxfId="29" priority="30" stopIfTrue="1" operator="containsText" text="SIN RIESGO">
      <formula>NOT(ISERROR(SEARCH("SIN RIESGO",S452)))</formula>
    </cfRule>
  </conditionalFormatting>
  <conditionalFormatting sqref="R452">
    <cfRule type="cellIs" dxfId="28" priority="29" stopIfTrue="1" operator="equal">
      <formula>"NO"</formula>
    </cfRule>
  </conditionalFormatting>
  <conditionalFormatting sqref="Q452">
    <cfRule type="containsBlanks" dxfId="27" priority="22" stopIfTrue="1">
      <formula>LEN(TRIM(Q452))=0</formula>
    </cfRule>
    <cfRule type="cellIs" dxfId="26" priority="23" stopIfTrue="1" operator="between">
      <formula>80.1</formula>
      <formula>100</formula>
    </cfRule>
    <cfRule type="cellIs" dxfId="25" priority="24" stopIfTrue="1" operator="between">
      <formula>35.1</formula>
      <formula>80</formula>
    </cfRule>
    <cfRule type="cellIs" dxfId="24" priority="25" stopIfTrue="1" operator="between">
      <formula>14.1</formula>
      <formula>35</formula>
    </cfRule>
    <cfRule type="cellIs" dxfId="23" priority="26" stopIfTrue="1" operator="between">
      <formula>5.1</formula>
      <formula>14</formula>
    </cfRule>
    <cfRule type="cellIs" dxfId="22" priority="27" stopIfTrue="1" operator="between">
      <formula>0</formula>
      <formula>5</formula>
    </cfRule>
    <cfRule type="containsBlanks" dxfId="21" priority="28" stopIfTrue="1">
      <formula>LEN(TRIM(Q452))=0</formula>
    </cfRule>
  </conditionalFormatting>
  <conditionalFormatting sqref="Q452">
    <cfRule type="containsBlanks" dxfId="20" priority="15" stopIfTrue="1">
      <formula>LEN(TRIM(Q452))=0</formula>
    </cfRule>
    <cfRule type="cellIs" dxfId="19" priority="16" stopIfTrue="1" operator="between">
      <formula>80.1</formula>
      <formula>100</formula>
    </cfRule>
    <cfRule type="cellIs" dxfId="18" priority="17" stopIfTrue="1" operator="between">
      <formula>35.1</formula>
      <formula>80</formula>
    </cfRule>
    <cfRule type="cellIs" dxfId="17" priority="18" stopIfTrue="1" operator="between">
      <formula>14.1</formula>
      <formula>35</formula>
    </cfRule>
    <cfRule type="cellIs" dxfId="16" priority="19" stopIfTrue="1" operator="between">
      <formula>5.1</formula>
      <formula>14</formula>
    </cfRule>
    <cfRule type="cellIs" dxfId="15" priority="20" stopIfTrue="1" operator="between">
      <formula>0</formula>
      <formula>5</formula>
    </cfRule>
    <cfRule type="containsBlanks" dxfId="14" priority="21" stopIfTrue="1">
      <formula>LEN(TRIM(Q452))=0</formula>
    </cfRule>
  </conditionalFormatting>
  <conditionalFormatting sqref="S452">
    <cfRule type="cellIs" dxfId="13" priority="14" stopIfTrue="1" operator="equal">
      <formula>"INVIABLE SANITARIAMENTE"</formula>
    </cfRule>
  </conditionalFormatting>
  <conditionalFormatting sqref="S452">
    <cfRule type="containsText" dxfId="12" priority="9" stopIfTrue="1" operator="containsText" text="INVIABLE SANITARIAMENTE">
      <formula>NOT(ISERROR(SEARCH("INVIABLE SANITARIAMENTE",S452)))</formula>
    </cfRule>
    <cfRule type="containsText" dxfId="11" priority="10" stopIfTrue="1" operator="containsText" text="ALTO">
      <formula>NOT(ISERROR(SEARCH("ALTO",S452)))</formula>
    </cfRule>
    <cfRule type="containsText" dxfId="10" priority="11" stopIfTrue="1" operator="containsText" text="MEDIO">
      <formula>NOT(ISERROR(SEARCH("MEDIO",S452)))</formula>
    </cfRule>
    <cfRule type="containsText" dxfId="9" priority="12" stopIfTrue="1" operator="containsText" text="BAJO">
      <formula>NOT(ISERROR(SEARCH("BAJO",S452)))</formula>
    </cfRule>
    <cfRule type="containsText" dxfId="8" priority="13" stopIfTrue="1" operator="containsText" text="SIN RIESGO">
      <formula>NOT(ISERROR(SEARCH("SIN RIESGO",S452)))</formula>
    </cfRule>
  </conditionalFormatting>
  <conditionalFormatting sqref="S452">
    <cfRule type="containsText" dxfId="7" priority="8" stopIfTrue="1" operator="containsText" text="SIN RIESGO">
      <formula>NOT(ISERROR(SEARCH("SIN RIESGO",S452)))</formula>
    </cfRule>
  </conditionalFormatting>
  <conditionalFormatting sqref="S452">
    <cfRule type="cellIs" dxfId="6" priority="7" stopIfTrue="1" operator="equal">
      <formula>"INVIABLE SANITARIAMENTE"</formula>
    </cfRule>
  </conditionalFormatting>
  <conditionalFormatting sqref="S452">
    <cfRule type="containsText" dxfId="5" priority="2" stopIfTrue="1" operator="containsText" text="INVIABLE SANITARIAMENTE">
      <formula>NOT(ISERROR(SEARCH("INVIABLE SANITARIAMENTE",S452)))</formula>
    </cfRule>
    <cfRule type="containsText" dxfId="4" priority="3" stopIfTrue="1" operator="containsText" text="ALTO">
      <formula>NOT(ISERROR(SEARCH("ALTO",S452)))</formula>
    </cfRule>
    <cfRule type="containsText" dxfId="3" priority="4" stopIfTrue="1" operator="containsText" text="MEDIO">
      <formula>NOT(ISERROR(SEARCH("MEDIO",S452)))</formula>
    </cfRule>
    <cfRule type="containsText" dxfId="2" priority="5" stopIfTrue="1" operator="containsText" text="BAJO">
      <formula>NOT(ISERROR(SEARCH("BAJO",S452)))</formula>
    </cfRule>
    <cfRule type="containsText" dxfId="1" priority="6" stopIfTrue="1" operator="containsText" text="SIN RIESGO">
      <formula>NOT(ISERROR(SEARCH("SIN RIESGO",S452)))</formula>
    </cfRule>
  </conditionalFormatting>
  <conditionalFormatting sqref="S452">
    <cfRule type="containsText" dxfId="0" priority="1" stopIfTrue="1" operator="containsText" text="SIN RIESGO">
      <formula>NOT(ISERROR(SEARCH("SIN RIESGO",S452)))</formula>
    </cfRule>
  </conditionalFormatting>
  <printOptions horizontalCentered="1"/>
  <pageMargins left="0.28999999999999998" right="0.2" top="0.6692913385826772" bottom="0.9055118110236221" header="0.43" footer="0.59055118110236227"/>
  <pageSetup paperSize="14" scale="75" orientation="landscape" r:id="rId5"/>
  <headerFooter alignWithMargins="0">
    <oddHeader xml:space="preserve">&amp;L
&amp;C&amp;"Arial,Negrita"&amp;12
&amp;R
&amp;"Arial,Negrita"&amp;12
</oddHeader>
    <oddFooter>&amp;L                                       NA: APLICA.     INDICE DE RIESGO DE CALIDAD DEL  AGUA- IRCA- APTA PARA EL CONSUMO HUMANO. 0 - 5 % % SE CONSIDERA NO APTA PARA EL CONSUMO: 5.1 - 100 %&amp;R
&amp;P</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VALLE DE ABURRA</vt:lpstr>
      <vt:lpstr>URABA</vt:lpstr>
      <vt:lpstr>NORTE</vt:lpstr>
      <vt:lpstr>OCCIDENTE</vt:lpstr>
      <vt:lpstr>SUROESTE</vt:lpstr>
      <vt:lpstr>BAJO CAUCA</vt:lpstr>
      <vt:lpstr>MAGDALENA MEDIO</vt:lpstr>
      <vt:lpstr>NORDESTE</vt:lpstr>
      <vt:lpstr>ORIENTE</vt:lpstr>
      <vt:lpstr>CONSOLIDADO-ACUEDUCTOSRURALES1</vt:lpstr>
      <vt:lpstr>CONSOLIDADO-ACUEDUCTOSRURALES2</vt:lpstr>
      <vt:lpstr>Hoja1</vt:lpstr>
      <vt:lpstr>Recuperado_Hoja9</vt:lpstr>
      <vt:lpstr>'MAGDALENA MEDIO'!Títulos_a_imprimir</vt:lpstr>
    </vt:vector>
  </TitlesOfParts>
  <Company>DSSA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jtabaresm</dc:creator>
  <cp:lastModifiedBy>JOHN TABARES</cp:lastModifiedBy>
  <cp:lastPrinted>2019-07-04T14:31:52Z</cp:lastPrinted>
  <dcterms:created xsi:type="dcterms:W3CDTF">2008-05-21T23:04:50Z</dcterms:created>
  <dcterms:modified xsi:type="dcterms:W3CDTF">2020-10-08T16:01:28Z</dcterms:modified>
</cp:coreProperties>
</file>